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4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5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60" windowWidth="13995" windowHeight="12120"/>
  </bookViews>
  <sheets>
    <sheet name="Overall Scatter" sheetId="4" r:id="rId1"/>
    <sheet name="Reason-Bar" sheetId="9" r:id="rId2"/>
    <sheet name="Time-Cost-Scatter" sheetId="12" r:id="rId3"/>
    <sheet name="Service-Scatter" sheetId="5" r:id="rId4"/>
    <sheet name="Service-Bar" sheetId="13" r:id="rId5"/>
    <sheet name="Prime-Scatter" sheetId="6" r:id="rId6"/>
    <sheet name="Prime-Bar" sheetId="16" r:id="rId7"/>
    <sheet name="Comp-Bar" sheetId="19" r:id="rId8"/>
    <sheet name="Comp-Detail" sheetId="20" r:id="rId9"/>
    <sheet name="Funding-Bar" sheetId="21" r:id="rId10"/>
    <sheet name="Funding-Detail" sheetId="22" r:id="rId11"/>
  </sheets>
  <externalReferences>
    <externalReference r:id="rId12"/>
    <externalReference r:id="rId13"/>
  </externalReferences>
  <definedNames>
    <definedName name="Competition_Baseline">'Comp-Bar'!$L$7:$L$110</definedName>
    <definedName name="Competition_Follow_On">'Comp-Bar'!$F$7:$F$110</definedName>
    <definedName name="Competition_Full_Open_Multiple">'Comp-Bar'!$B$7:$B$110</definedName>
    <definedName name="Competition_Full_Open_Single">'Comp-Bar'!$C$7:$C$110</definedName>
    <definedName name="Competition_None">'Comp-Bar'!$G$7:$G$110</definedName>
    <definedName name="Competition_Overrun_Dollars">'Comp-Bar'!$K$7:$K$110</definedName>
    <definedName name="Competition_Overrun_Percent">'Comp-Bar'!$J$7:$J$110</definedName>
    <definedName name="Competition_Partial_Multiple">'Comp-Bar'!$D$7:$D$110</definedName>
    <definedName name="Competition_Partial_Single">'Comp-Bar'!$E$7:$E$110</definedName>
    <definedName name="Competition_Unclear">'Comp-Bar'!$H$7:$H$110</definedName>
    <definedName name="Funding_Baseline">'Funding-Bar'!$K$5:$K$108</definedName>
    <definedName name="Funding_Combination">'Funding-Bar'!$C$5:$C$108</definedName>
    <definedName name="Funding_Cost_Award_Incent">'Funding-Bar'!$D$5:$D$108</definedName>
    <definedName name="Funding_Cost_Other">'Funding-Bar'!$E$5:$E$108</definedName>
    <definedName name="Funding_Fixed_Price">'Funding-Bar'!$B$5:$B$108</definedName>
    <definedName name="Funding_Overrun_Dollars">'Funding-Bar'!$J$5:$J$108</definedName>
    <definedName name="Funding_Overrun_Percent">'Funding-Bar'!$H$5:$H$108</definedName>
    <definedName name="Funding_Unclear">'Funding-Bar'!$F$5:$F$108</definedName>
    <definedName name="LOOKUP_Company_Filter">'Prime-Scatter'!$J$48:$L$67</definedName>
    <definedName name="LOOKUP_PRIME_AGGREGATES">'Prime-Scatter'!$A$4:$H$9</definedName>
    <definedName name="PRIME_BASELINE">'Prime-Scatter'!$F$10:$F$113</definedName>
    <definedName name="PRIME_OVERRUN_DOLLARS">'Prime-Scatter'!$E$10:$E$113</definedName>
    <definedName name="PRIME_OVERRUN_PERCENT">'Prime-Scatter'!$D$10:$D$113</definedName>
    <definedName name="PRIME_PRIME_ALL">'Prime-Scatter'!$B$10:$B$113</definedName>
    <definedName name="PRIME_PRIME_FEW">'Prime-Scatter'!$C$10:$C$113</definedName>
    <definedName name="Reason_Baseline">'Reason-Bar'!$K$8:$K$111</definedName>
    <definedName name="Reason_Engineering">'Reason-Bar'!$F$8:$F$111</definedName>
    <definedName name="Reason_Estimating">'Reason-Bar'!$G$8:$G$111</definedName>
    <definedName name="Reason_Other">'Reason-Bar'!$H$8:$H$111</definedName>
    <definedName name="Reason_Quantity">'Reason-Bar'!$D$8:$D$111</definedName>
    <definedName name="Reason_Schedule">'Reason-Bar'!$E$8:$E$111</definedName>
    <definedName name="Reason_Support">'Reason-Bar'!$I$8:$I$111</definedName>
    <definedName name="Reason_Total">'Reason-Bar'!$J$8:$J$111</definedName>
    <definedName name="Service_Baseline">'Service-Bar'!$E$8:$E$111</definedName>
    <definedName name="Service_Overrun_Dollars">'Service-Bar'!$D$8:$D$111</definedName>
    <definedName name="Service_Overrun_Percentage">'Service-Bar'!$C$8:$C$111</definedName>
    <definedName name="Service_Service">'Service-Bar'!$B$8:$B$111</definedName>
  </definedNames>
  <calcPr calcId="145621" calcMode="manual" concurrentCalc="0" concurrentManualCount="1"/>
</workbook>
</file>

<file path=xl/calcChain.xml><?xml version="1.0" encoding="utf-8"?>
<calcChain xmlns="http://schemas.openxmlformats.org/spreadsheetml/2006/main">
  <c r="E2" i="4" l="1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E4" i="4"/>
  <c r="B2" i="4"/>
  <c r="B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2" i="4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K3" i="9"/>
  <c r="K111" i="9"/>
  <c r="J3" i="9"/>
  <c r="J111" i="9"/>
  <c r="I3" i="9"/>
  <c r="I111" i="9"/>
  <c r="H3" i="9"/>
  <c r="H111" i="9"/>
  <c r="G3" i="9"/>
  <c r="G111" i="9"/>
  <c r="F3" i="9"/>
  <c r="F111" i="9"/>
  <c r="E3" i="9"/>
  <c r="E111" i="9"/>
  <c r="D3" i="9"/>
  <c r="D111" i="9"/>
  <c r="K110" i="9"/>
  <c r="J110" i="9"/>
  <c r="I110" i="9"/>
  <c r="H110" i="9"/>
  <c r="G110" i="9"/>
  <c r="F110" i="9"/>
  <c r="E110" i="9"/>
  <c r="D110" i="9"/>
  <c r="K109" i="9"/>
  <c r="J109" i="9"/>
  <c r="I109" i="9"/>
  <c r="H109" i="9"/>
  <c r="G109" i="9"/>
  <c r="F109" i="9"/>
  <c r="E109" i="9"/>
  <c r="D109" i="9"/>
  <c r="K108" i="9"/>
  <c r="J108" i="9"/>
  <c r="I108" i="9"/>
  <c r="H108" i="9"/>
  <c r="G108" i="9"/>
  <c r="F108" i="9"/>
  <c r="E108" i="9"/>
  <c r="D108" i="9"/>
  <c r="K107" i="9"/>
  <c r="J107" i="9"/>
  <c r="I107" i="9"/>
  <c r="H107" i="9"/>
  <c r="G107" i="9"/>
  <c r="F107" i="9"/>
  <c r="E107" i="9"/>
  <c r="D107" i="9"/>
  <c r="K106" i="9"/>
  <c r="J106" i="9"/>
  <c r="I106" i="9"/>
  <c r="H106" i="9"/>
  <c r="G106" i="9"/>
  <c r="F106" i="9"/>
  <c r="E106" i="9"/>
  <c r="D106" i="9"/>
  <c r="K105" i="9"/>
  <c r="J105" i="9"/>
  <c r="I105" i="9"/>
  <c r="H105" i="9"/>
  <c r="G105" i="9"/>
  <c r="F105" i="9"/>
  <c r="E105" i="9"/>
  <c r="D105" i="9"/>
  <c r="K104" i="9"/>
  <c r="J104" i="9"/>
  <c r="I104" i="9"/>
  <c r="H104" i="9"/>
  <c r="G104" i="9"/>
  <c r="F104" i="9"/>
  <c r="E104" i="9"/>
  <c r="D104" i="9"/>
  <c r="K103" i="9"/>
  <c r="J103" i="9"/>
  <c r="I103" i="9"/>
  <c r="H103" i="9"/>
  <c r="G103" i="9"/>
  <c r="F103" i="9"/>
  <c r="E103" i="9"/>
  <c r="D103" i="9"/>
  <c r="K102" i="9"/>
  <c r="J102" i="9"/>
  <c r="I102" i="9"/>
  <c r="H102" i="9"/>
  <c r="G102" i="9"/>
  <c r="F102" i="9"/>
  <c r="E102" i="9"/>
  <c r="D102" i="9"/>
  <c r="K101" i="9"/>
  <c r="J101" i="9"/>
  <c r="I101" i="9"/>
  <c r="H101" i="9"/>
  <c r="G101" i="9"/>
  <c r="F101" i="9"/>
  <c r="E101" i="9"/>
  <c r="D101" i="9"/>
  <c r="K100" i="9"/>
  <c r="J100" i="9"/>
  <c r="I100" i="9"/>
  <c r="H100" i="9"/>
  <c r="G100" i="9"/>
  <c r="F100" i="9"/>
  <c r="E100" i="9"/>
  <c r="D100" i="9"/>
  <c r="K99" i="9"/>
  <c r="J99" i="9"/>
  <c r="I99" i="9"/>
  <c r="H99" i="9"/>
  <c r="G99" i="9"/>
  <c r="F99" i="9"/>
  <c r="E99" i="9"/>
  <c r="D99" i="9"/>
  <c r="K98" i="9"/>
  <c r="J98" i="9"/>
  <c r="I98" i="9"/>
  <c r="H98" i="9"/>
  <c r="G98" i="9"/>
  <c r="F98" i="9"/>
  <c r="E98" i="9"/>
  <c r="D98" i="9"/>
  <c r="K97" i="9"/>
  <c r="J97" i="9"/>
  <c r="I97" i="9"/>
  <c r="H97" i="9"/>
  <c r="G97" i="9"/>
  <c r="F97" i="9"/>
  <c r="E97" i="9"/>
  <c r="D97" i="9"/>
  <c r="K96" i="9"/>
  <c r="J96" i="9"/>
  <c r="I96" i="9"/>
  <c r="H96" i="9"/>
  <c r="G96" i="9"/>
  <c r="F96" i="9"/>
  <c r="E96" i="9"/>
  <c r="D96" i="9"/>
  <c r="K95" i="9"/>
  <c r="J95" i="9"/>
  <c r="I95" i="9"/>
  <c r="H95" i="9"/>
  <c r="G95" i="9"/>
  <c r="F95" i="9"/>
  <c r="E95" i="9"/>
  <c r="D95" i="9"/>
  <c r="K94" i="9"/>
  <c r="J94" i="9"/>
  <c r="I94" i="9"/>
  <c r="H94" i="9"/>
  <c r="G94" i="9"/>
  <c r="F94" i="9"/>
  <c r="E94" i="9"/>
  <c r="D94" i="9"/>
  <c r="K93" i="9"/>
  <c r="J93" i="9"/>
  <c r="I93" i="9"/>
  <c r="H93" i="9"/>
  <c r="G93" i="9"/>
  <c r="F93" i="9"/>
  <c r="E93" i="9"/>
  <c r="D93" i="9"/>
  <c r="K92" i="9"/>
  <c r="J92" i="9"/>
  <c r="I92" i="9"/>
  <c r="H92" i="9"/>
  <c r="G92" i="9"/>
  <c r="F92" i="9"/>
  <c r="E92" i="9"/>
  <c r="D92" i="9"/>
  <c r="K91" i="9"/>
  <c r="J91" i="9"/>
  <c r="I91" i="9"/>
  <c r="H91" i="9"/>
  <c r="G91" i="9"/>
  <c r="F91" i="9"/>
  <c r="E91" i="9"/>
  <c r="D91" i="9"/>
  <c r="K90" i="9"/>
  <c r="J90" i="9"/>
  <c r="I90" i="9"/>
  <c r="H90" i="9"/>
  <c r="G90" i="9"/>
  <c r="F90" i="9"/>
  <c r="E90" i="9"/>
  <c r="D90" i="9"/>
  <c r="K89" i="9"/>
  <c r="J89" i="9"/>
  <c r="I89" i="9"/>
  <c r="H89" i="9"/>
  <c r="G89" i="9"/>
  <c r="F89" i="9"/>
  <c r="E89" i="9"/>
  <c r="D89" i="9"/>
  <c r="K88" i="9"/>
  <c r="J88" i="9"/>
  <c r="I88" i="9"/>
  <c r="H88" i="9"/>
  <c r="G88" i="9"/>
  <c r="F88" i="9"/>
  <c r="E88" i="9"/>
  <c r="D88" i="9"/>
  <c r="K87" i="9"/>
  <c r="J87" i="9"/>
  <c r="I87" i="9"/>
  <c r="H87" i="9"/>
  <c r="G87" i="9"/>
  <c r="F87" i="9"/>
  <c r="E87" i="9"/>
  <c r="D87" i="9"/>
  <c r="K86" i="9"/>
  <c r="J86" i="9"/>
  <c r="I86" i="9"/>
  <c r="H86" i="9"/>
  <c r="G86" i="9"/>
  <c r="F86" i="9"/>
  <c r="E86" i="9"/>
  <c r="D86" i="9"/>
  <c r="K85" i="9"/>
  <c r="J85" i="9"/>
  <c r="I85" i="9"/>
  <c r="H85" i="9"/>
  <c r="G85" i="9"/>
  <c r="F85" i="9"/>
  <c r="E85" i="9"/>
  <c r="D85" i="9"/>
  <c r="K84" i="9"/>
  <c r="J84" i="9"/>
  <c r="I84" i="9"/>
  <c r="H84" i="9"/>
  <c r="G84" i="9"/>
  <c r="F84" i="9"/>
  <c r="E84" i="9"/>
  <c r="D84" i="9"/>
  <c r="K83" i="9"/>
  <c r="J83" i="9"/>
  <c r="I83" i="9"/>
  <c r="H83" i="9"/>
  <c r="G83" i="9"/>
  <c r="F83" i="9"/>
  <c r="E83" i="9"/>
  <c r="D83" i="9"/>
  <c r="K82" i="9"/>
  <c r="J82" i="9"/>
  <c r="I82" i="9"/>
  <c r="H82" i="9"/>
  <c r="G82" i="9"/>
  <c r="F82" i="9"/>
  <c r="E82" i="9"/>
  <c r="D82" i="9"/>
  <c r="K81" i="9"/>
  <c r="J81" i="9"/>
  <c r="I81" i="9"/>
  <c r="H81" i="9"/>
  <c r="G81" i="9"/>
  <c r="F81" i="9"/>
  <c r="E81" i="9"/>
  <c r="D81" i="9"/>
  <c r="K80" i="9"/>
  <c r="J80" i="9"/>
  <c r="I80" i="9"/>
  <c r="H80" i="9"/>
  <c r="G80" i="9"/>
  <c r="F80" i="9"/>
  <c r="E80" i="9"/>
  <c r="D80" i="9"/>
  <c r="K79" i="9"/>
  <c r="J79" i="9"/>
  <c r="I79" i="9"/>
  <c r="H79" i="9"/>
  <c r="G79" i="9"/>
  <c r="F79" i="9"/>
  <c r="E79" i="9"/>
  <c r="D79" i="9"/>
  <c r="K78" i="9"/>
  <c r="J78" i="9"/>
  <c r="I78" i="9"/>
  <c r="H78" i="9"/>
  <c r="G78" i="9"/>
  <c r="F78" i="9"/>
  <c r="E78" i="9"/>
  <c r="D78" i="9"/>
  <c r="K77" i="9"/>
  <c r="J77" i="9"/>
  <c r="I77" i="9"/>
  <c r="H77" i="9"/>
  <c r="G77" i="9"/>
  <c r="F77" i="9"/>
  <c r="E77" i="9"/>
  <c r="D77" i="9"/>
  <c r="K76" i="9"/>
  <c r="J76" i="9"/>
  <c r="I76" i="9"/>
  <c r="H76" i="9"/>
  <c r="G76" i="9"/>
  <c r="F76" i="9"/>
  <c r="E76" i="9"/>
  <c r="D76" i="9"/>
  <c r="K75" i="9"/>
  <c r="J75" i="9"/>
  <c r="I75" i="9"/>
  <c r="H75" i="9"/>
  <c r="G75" i="9"/>
  <c r="F75" i="9"/>
  <c r="E75" i="9"/>
  <c r="D75" i="9"/>
  <c r="K74" i="9"/>
  <c r="J74" i="9"/>
  <c r="I74" i="9"/>
  <c r="H74" i="9"/>
  <c r="G74" i="9"/>
  <c r="F74" i="9"/>
  <c r="E74" i="9"/>
  <c r="D74" i="9"/>
  <c r="K73" i="9"/>
  <c r="J73" i="9"/>
  <c r="I73" i="9"/>
  <c r="H73" i="9"/>
  <c r="G73" i="9"/>
  <c r="F73" i="9"/>
  <c r="E73" i="9"/>
  <c r="D73" i="9"/>
  <c r="K72" i="9"/>
  <c r="J72" i="9"/>
  <c r="I72" i="9"/>
  <c r="H72" i="9"/>
  <c r="G72" i="9"/>
  <c r="F72" i="9"/>
  <c r="E72" i="9"/>
  <c r="D72" i="9"/>
  <c r="K71" i="9"/>
  <c r="J71" i="9"/>
  <c r="I71" i="9"/>
  <c r="H71" i="9"/>
  <c r="G71" i="9"/>
  <c r="F71" i="9"/>
  <c r="E71" i="9"/>
  <c r="D71" i="9"/>
  <c r="K70" i="9"/>
  <c r="J70" i="9"/>
  <c r="I70" i="9"/>
  <c r="H70" i="9"/>
  <c r="G70" i="9"/>
  <c r="F70" i="9"/>
  <c r="E70" i="9"/>
  <c r="D70" i="9"/>
  <c r="K69" i="9"/>
  <c r="J69" i="9"/>
  <c r="I69" i="9"/>
  <c r="H69" i="9"/>
  <c r="G69" i="9"/>
  <c r="F69" i="9"/>
  <c r="E69" i="9"/>
  <c r="D69" i="9"/>
  <c r="K68" i="9"/>
  <c r="J68" i="9"/>
  <c r="I68" i="9"/>
  <c r="H68" i="9"/>
  <c r="G68" i="9"/>
  <c r="F68" i="9"/>
  <c r="E68" i="9"/>
  <c r="D68" i="9"/>
  <c r="K67" i="9"/>
  <c r="J67" i="9"/>
  <c r="I67" i="9"/>
  <c r="H67" i="9"/>
  <c r="G67" i="9"/>
  <c r="F67" i="9"/>
  <c r="E67" i="9"/>
  <c r="D67" i="9"/>
  <c r="K66" i="9"/>
  <c r="J66" i="9"/>
  <c r="I66" i="9"/>
  <c r="H66" i="9"/>
  <c r="G66" i="9"/>
  <c r="F66" i="9"/>
  <c r="E66" i="9"/>
  <c r="D66" i="9"/>
  <c r="K65" i="9"/>
  <c r="J65" i="9"/>
  <c r="I65" i="9"/>
  <c r="H65" i="9"/>
  <c r="G65" i="9"/>
  <c r="F65" i="9"/>
  <c r="E65" i="9"/>
  <c r="D65" i="9"/>
  <c r="K64" i="9"/>
  <c r="J64" i="9"/>
  <c r="I64" i="9"/>
  <c r="H64" i="9"/>
  <c r="G64" i="9"/>
  <c r="F64" i="9"/>
  <c r="E64" i="9"/>
  <c r="D64" i="9"/>
  <c r="K63" i="9"/>
  <c r="J63" i="9"/>
  <c r="I63" i="9"/>
  <c r="H63" i="9"/>
  <c r="G63" i="9"/>
  <c r="F63" i="9"/>
  <c r="E63" i="9"/>
  <c r="D63" i="9"/>
  <c r="K62" i="9"/>
  <c r="J62" i="9"/>
  <c r="I62" i="9"/>
  <c r="H62" i="9"/>
  <c r="G62" i="9"/>
  <c r="F62" i="9"/>
  <c r="E62" i="9"/>
  <c r="D62" i="9"/>
  <c r="K61" i="9"/>
  <c r="J61" i="9"/>
  <c r="I61" i="9"/>
  <c r="H61" i="9"/>
  <c r="G61" i="9"/>
  <c r="F61" i="9"/>
  <c r="E61" i="9"/>
  <c r="D61" i="9"/>
  <c r="K60" i="9"/>
  <c r="J60" i="9"/>
  <c r="I60" i="9"/>
  <c r="H60" i="9"/>
  <c r="G60" i="9"/>
  <c r="F60" i="9"/>
  <c r="E60" i="9"/>
  <c r="D60" i="9"/>
  <c r="K59" i="9"/>
  <c r="J59" i="9"/>
  <c r="I59" i="9"/>
  <c r="H59" i="9"/>
  <c r="G59" i="9"/>
  <c r="F59" i="9"/>
  <c r="E59" i="9"/>
  <c r="D59" i="9"/>
  <c r="K58" i="9"/>
  <c r="J58" i="9"/>
  <c r="I58" i="9"/>
  <c r="H58" i="9"/>
  <c r="G58" i="9"/>
  <c r="F58" i="9"/>
  <c r="E58" i="9"/>
  <c r="D58" i="9"/>
  <c r="K57" i="9"/>
  <c r="J57" i="9"/>
  <c r="I57" i="9"/>
  <c r="H57" i="9"/>
  <c r="G57" i="9"/>
  <c r="F57" i="9"/>
  <c r="E57" i="9"/>
  <c r="D57" i="9"/>
  <c r="K56" i="9"/>
  <c r="J56" i="9"/>
  <c r="I56" i="9"/>
  <c r="H56" i="9"/>
  <c r="G56" i="9"/>
  <c r="F56" i="9"/>
  <c r="E56" i="9"/>
  <c r="D56" i="9"/>
  <c r="K55" i="9"/>
  <c r="J55" i="9"/>
  <c r="I55" i="9"/>
  <c r="H55" i="9"/>
  <c r="G55" i="9"/>
  <c r="F55" i="9"/>
  <c r="E55" i="9"/>
  <c r="D55" i="9"/>
  <c r="K54" i="9"/>
  <c r="J54" i="9"/>
  <c r="I54" i="9"/>
  <c r="H54" i="9"/>
  <c r="G54" i="9"/>
  <c r="F54" i="9"/>
  <c r="E54" i="9"/>
  <c r="D54" i="9"/>
  <c r="K53" i="9"/>
  <c r="J53" i="9"/>
  <c r="I53" i="9"/>
  <c r="H53" i="9"/>
  <c r="G53" i="9"/>
  <c r="F53" i="9"/>
  <c r="E53" i="9"/>
  <c r="D53" i="9"/>
  <c r="K52" i="9"/>
  <c r="J52" i="9"/>
  <c r="I52" i="9"/>
  <c r="H52" i="9"/>
  <c r="G52" i="9"/>
  <c r="F52" i="9"/>
  <c r="E52" i="9"/>
  <c r="D52" i="9"/>
  <c r="K51" i="9"/>
  <c r="J51" i="9"/>
  <c r="I51" i="9"/>
  <c r="H51" i="9"/>
  <c r="G51" i="9"/>
  <c r="F51" i="9"/>
  <c r="E51" i="9"/>
  <c r="D51" i="9"/>
  <c r="K50" i="9"/>
  <c r="J50" i="9"/>
  <c r="I50" i="9"/>
  <c r="H50" i="9"/>
  <c r="G50" i="9"/>
  <c r="F50" i="9"/>
  <c r="E50" i="9"/>
  <c r="D50" i="9"/>
  <c r="K49" i="9"/>
  <c r="J49" i="9"/>
  <c r="I49" i="9"/>
  <c r="H49" i="9"/>
  <c r="G49" i="9"/>
  <c r="F49" i="9"/>
  <c r="E49" i="9"/>
  <c r="D49" i="9"/>
  <c r="K48" i="9"/>
  <c r="J48" i="9"/>
  <c r="I48" i="9"/>
  <c r="H48" i="9"/>
  <c r="G48" i="9"/>
  <c r="F48" i="9"/>
  <c r="E48" i="9"/>
  <c r="D48" i="9"/>
  <c r="K47" i="9"/>
  <c r="J47" i="9"/>
  <c r="I47" i="9"/>
  <c r="H47" i="9"/>
  <c r="G47" i="9"/>
  <c r="F47" i="9"/>
  <c r="E47" i="9"/>
  <c r="D47" i="9"/>
  <c r="K46" i="9"/>
  <c r="J46" i="9"/>
  <c r="I46" i="9"/>
  <c r="H46" i="9"/>
  <c r="G46" i="9"/>
  <c r="F46" i="9"/>
  <c r="E46" i="9"/>
  <c r="D46" i="9"/>
  <c r="K45" i="9"/>
  <c r="J45" i="9"/>
  <c r="I45" i="9"/>
  <c r="H45" i="9"/>
  <c r="G45" i="9"/>
  <c r="F45" i="9"/>
  <c r="E45" i="9"/>
  <c r="D45" i="9"/>
  <c r="K44" i="9"/>
  <c r="J44" i="9"/>
  <c r="I44" i="9"/>
  <c r="H44" i="9"/>
  <c r="G44" i="9"/>
  <c r="F44" i="9"/>
  <c r="E44" i="9"/>
  <c r="D44" i="9"/>
  <c r="K43" i="9"/>
  <c r="J43" i="9"/>
  <c r="I43" i="9"/>
  <c r="H43" i="9"/>
  <c r="G43" i="9"/>
  <c r="F43" i="9"/>
  <c r="E43" i="9"/>
  <c r="D43" i="9"/>
  <c r="K42" i="9"/>
  <c r="J42" i="9"/>
  <c r="I42" i="9"/>
  <c r="H42" i="9"/>
  <c r="G42" i="9"/>
  <c r="F42" i="9"/>
  <c r="E42" i="9"/>
  <c r="D42" i="9"/>
  <c r="K41" i="9"/>
  <c r="J41" i="9"/>
  <c r="I41" i="9"/>
  <c r="H41" i="9"/>
  <c r="G41" i="9"/>
  <c r="F41" i="9"/>
  <c r="E41" i="9"/>
  <c r="D41" i="9"/>
  <c r="K40" i="9"/>
  <c r="J40" i="9"/>
  <c r="I40" i="9"/>
  <c r="H40" i="9"/>
  <c r="G40" i="9"/>
  <c r="F40" i="9"/>
  <c r="E40" i="9"/>
  <c r="D40" i="9"/>
  <c r="K39" i="9"/>
  <c r="J39" i="9"/>
  <c r="I39" i="9"/>
  <c r="H39" i="9"/>
  <c r="G39" i="9"/>
  <c r="F39" i="9"/>
  <c r="E39" i="9"/>
  <c r="D39" i="9"/>
  <c r="K38" i="9"/>
  <c r="J38" i="9"/>
  <c r="I38" i="9"/>
  <c r="H38" i="9"/>
  <c r="G38" i="9"/>
  <c r="F38" i="9"/>
  <c r="E38" i="9"/>
  <c r="D38" i="9"/>
  <c r="K37" i="9"/>
  <c r="J37" i="9"/>
  <c r="I37" i="9"/>
  <c r="H37" i="9"/>
  <c r="G37" i="9"/>
  <c r="F37" i="9"/>
  <c r="E37" i="9"/>
  <c r="D37" i="9"/>
  <c r="K36" i="9"/>
  <c r="J36" i="9"/>
  <c r="I36" i="9"/>
  <c r="H36" i="9"/>
  <c r="G36" i="9"/>
  <c r="F36" i="9"/>
  <c r="E36" i="9"/>
  <c r="D36" i="9"/>
  <c r="K35" i="9"/>
  <c r="J35" i="9"/>
  <c r="I35" i="9"/>
  <c r="H35" i="9"/>
  <c r="G35" i="9"/>
  <c r="F35" i="9"/>
  <c r="E35" i="9"/>
  <c r="D35" i="9"/>
  <c r="K34" i="9"/>
  <c r="J34" i="9"/>
  <c r="I34" i="9"/>
  <c r="H34" i="9"/>
  <c r="G34" i="9"/>
  <c r="F34" i="9"/>
  <c r="E34" i="9"/>
  <c r="D34" i="9"/>
  <c r="K33" i="9"/>
  <c r="J33" i="9"/>
  <c r="I33" i="9"/>
  <c r="H33" i="9"/>
  <c r="G33" i="9"/>
  <c r="F33" i="9"/>
  <c r="E33" i="9"/>
  <c r="D33" i="9"/>
  <c r="K32" i="9"/>
  <c r="J32" i="9"/>
  <c r="I32" i="9"/>
  <c r="H32" i="9"/>
  <c r="G32" i="9"/>
  <c r="F32" i="9"/>
  <c r="E32" i="9"/>
  <c r="D32" i="9"/>
  <c r="K31" i="9"/>
  <c r="J31" i="9"/>
  <c r="I31" i="9"/>
  <c r="H31" i="9"/>
  <c r="G31" i="9"/>
  <c r="F31" i="9"/>
  <c r="E31" i="9"/>
  <c r="D31" i="9"/>
  <c r="K30" i="9"/>
  <c r="J30" i="9"/>
  <c r="I30" i="9"/>
  <c r="H30" i="9"/>
  <c r="G30" i="9"/>
  <c r="F30" i="9"/>
  <c r="E30" i="9"/>
  <c r="D30" i="9"/>
  <c r="K29" i="9"/>
  <c r="J29" i="9"/>
  <c r="I29" i="9"/>
  <c r="H29" i="9"/>
  <c r="G29" i="9"/>
  <c r="F29" i="9"/>
  <c r="E29" i="9"/>
  <c r="D29" i="9"/>
  <c r="K28" i="9"/>
  <c r="J28" i="9"/>
  <c r="I28" i="9"/>
  <c r="H28" i="9"/>
  <c r="G28" i="9"/>
  <c r="F28" i="9"/>
  <c r="E28" i="9"/>
  <c r="D28" i="9"/>
  <c r="K27" i="9"/>
  <c r="J27" i="9"/>
  <c r="I27" i="9"/>
  <c r="H27" i="9"/>
  <c r="G27" i="9"/>
  <c r="F27" i="9"/>
  <c r="E27" i="9"/>
  <c r="D27" i="9"/>
  <c r="K26" i="9"/>
  <c r="J26" i="9"/>
  <c r="I26" i="9"/>
  <c r="H26" i="9"/>
  <c r="G26" i="9"/>
  <c r="F26" i="9"/>
  <c r="E26" i="9"/>
  <c r="D26" i="9"/>
  <c r="K25" i="9"/>
  <c r="J25" i="9"/>
  <c r="I25" i="9"/>
  <c r="H25" i="9"/>
  <c r="G25" i="9"/>
  <c r="F25" i="9"/>
  <c r="E25" i="9"/>
  <c r="D25" i="9"/>
  <c r="K24" i="9"/>
  <c r="J24" i="9"/>
  <c r="I24" i="9"/>
  <c r="H24" i="9"/>
  <c r="G24" i="9"/>
  <c r="F24" i="9"/>
  <c r="E24" i="9"/>
  <c r="D24" i="9"/>
  <c r="K23" i="9"/>
  <c r="J23" i="9"/>
  <c r="I23" i="9"/>
  <c r="H23" i="9"/>
  <c r="G23" i="9"/>
  <c r="F23" i="9"/>
  <c r="E23" i="9"/>
  <c r="D23" i="9"/>
  <c r="K22" i="9"/>
  <c r="J22" i="9"/>
  <c r="I22" i="9"/>
  <c r="H22" i="9"/>
  <c r="G22" i="9"/>
  <c r="F22" i="9"/>
  <c r="E22" i="9"/>
  <c r="D22" i="9"/>
  <c r="K21" i="9"/>
  <c r="J21" i="9"/>
  <c r="I21" i="9"/>
  <c r="H21" i="9"/>
  <c r="G21" i="9"/>
  <c r="F21" i="9"/>
  <c r="E21" i="9"/>
  <c r="D21" i="9"/>
  <c r="K20" i="9"/>
  <c r="J20" i="9"/>
  <c r="I20" i="9"/>
  <c r="H20" i="9"/>
  <c r="G20" i="9"/>
  <c r="F20" i="9"/>
  <c r="E20" i="9"/>
  <c r="D20" i="9"/>
  <c r="K19" i="9"/>
  <c r="J19" i="9"/>
  <c r="I19" i="9"/>
  <c r="H19" i="9"/>
  <c r="G19" i="9"/>
  <c r="F19" i="9"/>
  <c r="E19" i="9"/>
  <c r="D19" i="9"/>
  <c r="K18" i="9"/>
  <c r="J18" i="9"/>
  <c r="I18" i="9"/>
  <c r="H18" i="9"/>
  <c r="G18" i="9"/>
  <c r="F18" i="9"/>
  <c r="E18" i="9"/>
  <c r="D18" i="9"/>
  <c r="K17" i="9"/>
  <c r="J17" i="9"/>
  <c r="I17" i="9"/>
  <c r="H17" i="9"/>
  <c r="G17" i="9"/>
  <c r="F17" i="9"/>
  <c r="E17" i="9"/>
  <c r="D17" i="9"/>
  <c r="K16" i="9"/>
  <c r="J16" i="9"/>
  <c r="I16" i="9"/>
  <c r="H16" i="9"/>
  <c r="G16" i="9"/>
  <c r="F16" i="9"/>
  <c r="E16" i="9"/>
  <c r="D16" i="9"/>
  <c r="K15" i="9"/>
  <c r="J15" i="9"/>
  <c r="I15" i="9"/>
  <c r="H15" i="9"/>
  <c r="G15" i="9"/>
  <c r="F15" i="9"/>
  <c r="E15" i="9"/>
  <c r="D15" i="9"/>
  <c r="K14" i="9"/>
  <c r="J14" i="9"/>
  <c r="I14" i="9"/>
  <c r="H14" i="9"/>
  <c r="G14" i="9"/>
  <c r="F14" i="9"/>
  <c r="E14" i="9"/>
  <c r="D14" i="9"/>
  <c r="K13" i="9"/>
  <c r="J13" i="9"/>
  <c r="I13" i="9"/>
  <c r="H13" i="9"/>
  <c r="G13" i="9"/>
  <c r="F13" i="9"/>
  <c r="E13" i="9"/>
  <c r="D13" i="9"/>
  <c r="K12" i="9"/>
  <c r="J12" i="9"/>
  <c r="I12" i="9"/>
  <c r="H12" i="9"/>
  <c r="G12" i="9"/>
  <c r="F12" i="9"/>
  <c r="E12" i="9"/>
  <c r="D12" i="9"/>
  <c r="K11" i="9"/>
  <c r="J11" i="9"/>
  <c r="I11" i="9"/>
  <c r="H11" i="9"/>
  <c r="G11" i="9"/>
  <c r="F11" i="9"/>
  <c r="E11" i="9"/>
  <c r="D11" i="9"/>
  <c r="K10" i="9"/>
  <c r="J10" i="9"/>
  <c r="I10" i="9"/>
  <c r="H10" i="9"/>
  <c r="G10" i="9"/>
  <c r="F10" i="9"/>
  <c r="E10" i="9"/>
  <c r="D10" i="9"/>
  <c r="K9" i="9"/>
  <c r="J9" i="9"/>
  <c r="I9" i="9"/>
  <c r="H9" i="9"/>
  <c r="G9" i="9"/>
  <c r="F9" i="9"/>
  <c r="E9" i="9"/>
  <c r="D9" i="9"/>
  <c r="K8" i="9"/>
  <c r="J8" i="9"/>
  <c r="I8" i="9"/>
  <c r="H8" i="9"/>
  <c r="G8" i="9"/>
  <c r="F8" i="9"/>
  <c r="E8" i="9"/>
  <c r="D8" i="9"/>
  <c r="B8" i="9"/>
  <c r="B3" i="9"/>
  <c r="P3" i="22"/>
  <c r="P115" i="22"/>
  <c r="Q115" i="22"/>
  <c r="O115" i="22"/>
  <c r="N115" i="22"/>
  <c r="M115" i="22"/>
  <c r="L115" i="22"/>
  <c r="K115" i="22"/>
  <c r="J115" i="22"/>
  <c r="I115" i="22"/>
  <c r="H115" i="22"/>
  <c r="G115" i="22"/>
  <c r="P114" i="22"/>
  <c r="Q114" i="22"/>
  <c r="O114" i="22"/>
  <c r="N114" i="22"/>
  <c r="M114" i="22"/>
  <c r="L114" i="22"/>
  <c r="K114" i="22"/>
  <c r="J114" i="22"/>
  <c r="I114" i="22"/>
  <c r="H114" i="22"/>
  <c r="G114" i="22"/>
  <c r="P113" i="22"/>
  <c r="Q113" i="22"/>
  <c r="O113" i="22"/>
  <c r="N113" i="22"/>
  <c r="M113" i="22"/>
  <c r="L113" i="22"/>
  <c r="K113" i="22"/>
  <c r="J113" i="22"/>
  <c r="I113" i="22"/>
  <c r="H113" i="22"/>
  <c r="G113" i="22"/>
  <c r="P112" i="22"/>
  <c r="Q112" i="22"/>
  <c r="O112" i="22"/>
  <c r="N112" i="22"/>
  <c r="M112" i="22"/>
  <c r="L112" i="22"/>
  <c r="K112" i="22"/>
  <c r="J112" i="22"/>
  <c r="I112" i="22"/>
  <c r="H112" i="22"/>
  <c r="G112" i="22"/>
  <c r="P111" i="22"/>
  <c r="Q111" i="22"/>
  <c r="O111" i="22"/>
  <c r="N111" i="22"/>
  <c r="M111" i="22"/>
  <c r="L111" i="22"/>
  <c r="K111" i="22"/>
  <c r="J111" i="22"/>
  <c r="I111" i="22"/>
  <c r="H111" i="22"/>
  <c r="G111" i="22"/>
  <c r="P110" i="22"/>
  <c r="Q110" i="22"/>
  <c r="O110" i="22"/>
  <c r="N110" i="22"/>
  <c r="M110" i="22"/>
  <c r="L110" i="22"/>
  <c r="K110" i="22"/>
  <c r="J110" i="22"/>
  <c r="I110" i="22"/>
  <c r="H110" i="22"/>
  <c r="G110" i="22"/>
  <c r="P109" i="22"/>
  <c r="Q109" i="22"/>
  <c r="O109" i="22"/>
  <c r="N109" i="22"/>
  <c r="M109" i="22"/>
  <c r="L109" i="22"/>
  <c r="K109" i="22"/>
  <c r="J109" i="22"/>
  <c r="I109" i="22"/>
  <c r="H109" i="22"/>
  <c r="G109" i="22"/>
  <c r="P108" i="22"/>
  <c r="Q108" i="22"/>
  <c r="O108" i="22"/>
  <c r="N108" i="22"/>
  <c r="M108" i="22"/>
  <c r="L108" i="22"/>
  <c r="K108" i="22"/>
  <c r="J108" i="22"/>
  <c r="I108" i="22"/>
  <c r="H108" i="22"/>
  <c r="G108" i="22"/>
  <c r="P107" i="22"/>
  <c r="Q107" i="22"/>
  <c r="O107" i="22"/>
  <c r="N107" i="22"/>
  <c r="M107" i="22"/>
  <c r="L107" i="22"/>
  <c r="K107" i="22"/>
  <c r="J107" i="22"/>
  <c r="I107" i="22"/>
  <c r="H107" i="22"/>
  <c r="G107" i="22"/>
  <c r="P106" i="22"/>
  <c r="Q106" i="22"/>
  <c r="O106" i="22"/>
  <c r="N106" i="22"/>
  <c r="M106" i="22"/>
  <c r="L106" i="22"/>
  <c r="K106" i="22"/>
  <c r="J106" i="22"/>
  <c r="I106" i="22"/>
  <c r="H106" i="22"/>
  <c r="G106" i="22"/>
  <c r="P105" i="22"/>
  <c r="Q105" i="22"/>
  <c r="O105" i="22"/>
  <c r="N105" i="22"/>
  <c r="M105" i="22"/>
  <c r="L105" i="22"/>
  <c r="K105" i="22"/>
  <c r="J105" i="22"/>
  <c r="I105" i="22"/>
  <c r="H105" i="22"/>
  <c r="G105" i="22"/>
  <c r="P104" i="22"/>
  <c r="Q104" i="22"/>
  <c r="O104" i="22"/>
  <c r="N104" i="22"/>
  <c r="M104" i="22"/>
  <c r="L104" i="22"/>
  <c r="K104" i="22"/>
  <c r="J104" i="22"/>
  <c r="I104" i="22"/>
  <c r="H104" i="22"/>
  <c r="G104" i="22"/>
  <c r="P103" i="22"/>
  <c r="Q103" i="22"/>
  <c r="O103" i="22"/>
  <c r="N103" i="22"/>
  <c r="M103" i="22"/>
  <c r="L103" i="22"/>
  <c r="K103" i="22"/>
  <c r="J103" i="22"/>
  <c r="I103" i="22"/>
  <c r="H103" i="22"/>
  <c r="G103" i="22"/>
  <c r="P102" i="22"/>
  <c r="Q102" i="22"/>
  <c r="O102" i="22"/>
  <c r="N102" i="22"/>
  <c r="M102" i="22"/>
  <c r="L102" i="22"/>
  <c r="K102" i="22"/>
  <c r="J102" i="22"/>
  <c r="I102" i="22"/>
  <c r="H102" i="22"/>
  <c r="G102" i="22"/>
  <c r="P101" i="22"/>
  <c r="Q101" i="22"/>
  <c r="O101" i="22"/>
  <c r="N101" i="22"/>
  <c r="M101" i="22"/>
  <c r="L101" i="22"/>
  <c r="K101" i="22"/>
  <c r="J101" i="22"/>
  <c r="I101" i="22"/>
  <c r="H101" i="22"/>
  <c r="G101" i="22"/>
  <c r="P100" i="22"/>
  <c r="Q100" i="22"/>
  <c r="O100" i="22"/>
  <c r="N100" i="22"/>
  <c r="M100" i="22"/>
  <c r="L100" i="22"/>
  <c r="K100" i="22"/>
  <c r="J100" i="22"/>
  <c r="I100" i="22"/>
  <c r="H100" i="22"/>
  <c r="G100" i="22"/>
  <c r="P99" i="22"/>
  <c r="Q99" i="22"/>
  <c r="O99" i="22"/>
  <c r="N99" i="22"/>
  <c r="M99" i="22"/>
  <c r="L99" i="22"/>
  <c r="K99" i="22"/>
  <c r="J99" i="22"/>
  <c r="I99" i="22"/>
  <c r="H99" i="22"/>
  <c r="G99" i="22"/>
  <c r="P98" i="22"/>
  <c r="Q98" i="22"/>
  <c r="O98" i="22"/>
  <c r="N98" i="22"/>
  <c r="M98" i="22"/>
  <c r="L98" i="22"/>
  <c r="K98" i="22"/>
  <c r="J98" i="22"/>
  <c r="I98" i="22"/>
  <c r="H98" i="22"/>
  <c r="G98" i="22"/>
  <c r="P97" i="22"/>
  <c r="Q97" i="22"/>
  <c r="O97" i="22"/>
  <c r="N97" i="22"/>
  <c r="M97" i="22"/>
  <c r="L97" i="22"/>
  <c r="K97" i="22"/>
  <c r="J97" i="22"/>
  <c r="I97" i="22"/>
  <c r="H97" i="22"/>
  <c r="G97" i="22"/>
  <c r="P96" i="22"/>
  <c r="Q96" i="22"/>
  <c r="O96" i="22"/>
  <c r="N96" i="22"/>
  <c r="M96" i="22"/>
  <c r="L96" i="22"/>
  <c r="K96" i="22"/>
  <c r="J96" i="22"/>
  <c r="I96" i="22"/>
  <c r="H96" i="22"/>
  <c r="G96" i="22"/>
  <c r="P95" i="22"/>
  <c r="Q95" i="22"/>
  <c r="O95" i="22"/>
  <c r="N95" i="22"/>
  <c r="M95" i="22"/>
  <c r="L95" i="22"/>
  <c r="K95" i="22"/>
  <c r="J95" i="22"/>
  <c r="I95" i="22"/>
  <c r="H95" i="22"/>
  <c r="G95" i="22"/>
  <c r="P94" i="22"/>
  <c r="Q94" i="22"/>
  <c r="O94" i="22"/>
  <c r="N94" i="22"/>
  <c r="M94" i="22"/>
  <c r="L94" i="22"/>
  <c r="K94" i="22"/>
  <c r="J94" i="22"/>
  <c r="I94" i="22"/>
  <c r="H94" i="22"/>
  <c r="G94" i="22"/>
  <c r="P93" i="22"/>
  <c r="Q93" i="22"/>
  <c r="O93" i="22"/>
  <c r="N93" i="22"/>
  <c r="M93" i="22"/>
  <c r="L93" i="22"/>
  <c r="K93" i="22"/>
  <c r="J93" i="22"/>
  <c r="I93" i="22"/>
  <c r="H93" i="22"/>
  <c r="G93" i="22"/>
  <c r="P92" i="22"/>
  <c r="Q92" i="22"/>
  <c r="O92" i="22"/>
  <c r="N92" i="22"/>
  <c r="M92" i="22"/>
  <c r="L92" i="22"/>
  <c r="K92" i="22"/>
  <c r="J92" i="22"/>
  <c r="I92" i="22"/>
  <c r="H92" i="22"/>
  <c r="G92" i="22"/>
  <c r="P91" i="22"/>
  <c r="Q91" i="22"/>
  <c r="O91" i="22"/>
  <c r="N91" i="22"/>
  <c r="M91" i="22"/>
  <c r="L91" i="22"/>
  <c r="K91" i="22"/>
  <c r="J91" i="22"/>
  <c r="I91" i="22"/>
  <c r="H91" i="22"/>
  <c r="G91" i="22"/>
  <c r="P90" i="22"/>
  <c r="Q90" i="22"/>
  <c r="O90" i="22"/>
  <c r="N90" i="22"/>
  <c r="M90" i="22"/>
  <c r="L90" i="22"/>
  <c r="K90" i="22"/>
  <c r="J90" i="22"/>
  <c r="I90" i="22"/>
  <c r="H90" i="22"/>
  <c r="G90" i="22"/>
  <c r="P89" i="22"/>
  <c r="Q89" i="22"/>
  <c r="O89" i="22"/>
  <c r="N89" i="22"/>
  <c r="M89" i="22"/>
  <c r="L89" i="22"/>
  <c r="K89" i="22"/>
  <c r="J89" i="22"/>
  <c r="I89" i="22"/>
  <c r="H89" i="22"/>
  <c r="G89" i="22"/>
  <c r="P88" i="22"/>
  <c r="Q88" i="22"/>
  <c r="O88" i="22"/>
  <c r="N88" i="22"/>
  <c r="M88" i="22"/>
  <c r="L88" i="22"/>
  <c r="K88" i="22"/>
  <c r="J88" i="22"/>
  <c r="I88" i="22"/>
  <c r="H88" i="22"/>
  <c r="G88" i="22"/>
  <c r="P87" i="22"/>
  <c r="Q87" i="22"/>
  <c r="O87" i="22"/>
  <c r="N87" i="22"/>
  <c r="M87" i="22"/>
  <c r="L87" i="22"/>
  <c r="K87" i="22"/>
  <c r="J87" i="22"/>
  <c r="I87" i="22"/>
  <c r="H87" i="22"/>
  <c r="G87" i="22"/>
  <c r="P86" i="22"/>
  <c r="Q86" i="22"/>
  <c r="O86" i="22"/>
  <c r="N86" i="22"/>
  <c r="M86" i="22"/>
  <c r="L86" i="22"/>
  <c r="K86" i="22"/>
  <c r="J86" i="22"/>
  <c r="I86" i="22"/>
  <c r="H86" i="22"/>
  <c r="G86" i="22"/>
  <c r="P85" i="22"/>
  <c r="Q85" i="22"/>
  <c r="O85" i="22"/>
  <c r="N85" i="22"/>
  <c r="M85" i="22"/>
  <c r="L85" i="22"/>
  <c r="K85" i="22"/>
  <c r="J85" i="22"/>
  <c r="I85" i="22"/>
  <c r="H85" i="22"/>
  <c r="G85" i="22"/>
  <c r="P84" i="22"/>
  <c r="Q84" i="22"/>
  <c r="O84" i="22"/>
  <c r="N84" i="22"/>
  <c r="M84" i="22"/>
  <c r="L84" i="22"/>
  <c r="K84" i="22"/>
  <c r="J84" i="22"/>
  <c r="I84" i="22"/>
  <c r="H84" i="22"/>
  <c r="G84" i="22"/>
  <c r="P83" i="22"/>
  <c r="Q83" i="22"/>
  <c r="O83" i="22"/>
  <c r="N83" i="22"/>
  <c r="M83" i="22"/>
  <c r="L83" i="22"/>
  <c r="K83" i="22"/>
  <c r="J83" i="22"/>
  <c r="I83" i="22"/>
  <c r="H83" i="22"/>
  <c r="G83" i="22"/>
  <c r="P82" i="22"/>
  <c r="Q82" i="22"/>
  <c r="O82" i="22"/>
  <c r="N82" i="22"/>
  <c r="M82" i="22"/>
  <c r="L82" i="22"/>
  <c r="K82" i="22"/>
  <c r="J82" i="22"/>
  <c r="I82" i="22"/>
  <c r="H82" i="22"/>
  <c r="G82" i="22"/>
  <c r="P81" i="22"/>
  <c r="Q81" i="22"/>
  <c r="O81" i="22"/>
  <c r="N81" i="22"/>
  <c r="M81" i="22"/>
  <c r="L81" i="22"/>
  <c r="K81" i="22"/>
  <c r="J81" i="22"/>
  <c r="I81" i="22"/>
  <c r="H81" i="22"/>
  <c r="G81" i="22"/>
  <c r="P80" i="22"/>
  <c r="Q80" i="22"/>
  <c r="O80" i="22"/>
  <c r="N80" i="22"/>
  <c r="M80" i="22"/>
  <c r="L80" i="22"/>
  <c r="K80" i="22"/>
  <c r="J80" i="22"/>
  <c r="I80" i="22"/>
  <c r="H80" i="22"/>
  <c r="G80" i="22"/>
  <c r="P79" i="22"/>
  <c r="Q79" i="22"/>
  <c r="O79" i="22"/>
  <c r="N79" i="22"/>
  <c r="M79" i="22"/>
  <c r="L79" i="22"/>
  <c r="K79" i="22"/>
  <c r="J79" i="22"/>
  <c r="I79" i="22"/>
  <c r="H79" i="22"/>
  <c r="G79" i="22"/>
  <c r="P78" i="22"/>
  <c r="Q78" i="22"/>
  <c r="O78" i="22"/>
  <c r="N78" i="22"/>
  <c r="M78" i="22"/>
  <c r="L78" i="22"/>
  <c r="K78" i="22"/>
  <c r="J78" i="22"/>
  <c r="I78" i="22"/>
  <c r="H78" i="22"/>
  <c r="G78" i="22"/>
  <c r="P77" i="22"/>
  <c r="Q77" i="22"/>
  <c r="O77" i="22"/>
  <c r="N77" i="22"/>
  <c r="M77" i="22"/>
  <c r="L77" i="22"/>
  <c r="K77" i="22"/>
  <c r="J77" i="22"/>
  <c r="I77" i="22"/>
  <c r="H77" i="22"/>
  <c r="G77" i="22"/>
  <c r="P76" i="22"/>
  <c r="Q76" i="22"/>
  <c r="O76" i="22"/>
  <c r="N76" i="22"/>
  <c r="M76" i="22"/>
  <c r="L76" i="22"/>
  <c r="K76" i="22"/>
  <c r="J76" i="22"/>
  <c r="I76" i="22"/>
  <c r="H76" i="22"/>
  <c r="G76" i="22"/>
  <c r="P75" i="22"/>
  <c r="Q75" i="22"/>
  <c r="O75" i="22"/>
  <c r="N75" i="22"/>
  <c r="M75" i="22"/>
  <c r="L75" i="22"/>
  <c r="K75" i="22"/>
  <c r="J75" i="22"/>
  <c r="I75" i="22"/>
  <c r="H75" i="22"/>
  <c r="G75" i="22"/>
  <c r="P74" i="22"/>
  <c r="Q74" i="22"/>
  <c r="O74" i="22"/>
  <c r="N74" i="22"/>
  <c r="M74" i="22"/>
  <c r="L74" i="22"/>
  <c r="K74" i="22"/>
  <c r="J74" i="22"/>
  <c r="I74" i="22"/>
  <c r="H74" i="22"/>
  <c r="G74" i="22"/>
  <c r="P73" i="22"/>
  <c r="Q73" i="22"/>
  <c r="O73" i="22"/>
  <c r="N73" i="22"/>
  <c r="M73" i="22"/>
  <c r="L73" i="22"/>
  <c r="K73" i="22"/>
  <c r="J73" i="22"/>
  <c r="I73" i="22"/>
  <c r="H73" i="22"/>
  <c r="G73" i="22"/>
  <c r="P72" i="22"/>
  <c r="Q72" i="22"/>
  <c r="O72" i="22"/>
  <c r="N72" i="22"/>
  <c r="M72" i="22"/>
  <c r="L72" i="22"/>
  <c r="K72" i="22"/>
  <c r="J72" i="22"/>
  <c r="I72" i="22"/>
  <c r="H72" i="22"/>
  <c r="G72" i="22"/>
  <c r="P71" i="22"/>
  <c r="Q71" i="22"/>
  <c r="O71" i="22"/>
  <c r="N71" i="22"/>
  <c r="M71" i="22"/>
  <c r="L71" i="22"/>
  <c r="K71" i="22"/>
  <c r="J71" i="22"/>
  <c r="I71" i="22"/>
  <c r="H71" i="22"/>
  <c r="G71" i="22"/>
  <c r="P70" i="22"/>
  <c r="Q70" i="22"/>
  <c r="O70" i="22"/>
  <c r="N70" i="22"/>
  <c r="M70" i="22"/>
  <c r="L70" i="22"/>
  <c r="K70" i="22"/>
  <c r="J70" i="22"/>
  <c r="I70" i="22"/>
  <c r="H70" i="22"/>
  <c r="G70" i="22"/>
  <c r="P69" i="22"/>
  <c r="Q69" i="22"/>
  <c r="O69" i="22"/>
  <c r="N69" i="22"/>
  <c r="M69" i="22"/>
  <c r="L69" i="22"/>
  <c r="K69" i="22"/>
  <c r="J69" i="22"/>
  <c r="I69" i="22"/>
  <c r="H69" i="22"/>
  <c r="G69" i="22"/>
  <c r="P68" i="22"/>
  <c r="Q68" i="22"/>
  <c r="O68" i="22"/>
  <c r="N68" i="22"/>
  <c r="M68" i="22"/>
  <c r="L68" i="22"/>
  <c r="K68" i="22"/>
  <c r="J68" i="22"/>
  <c r="I68" i="22"/>
  <c r="H68" i="22"/>
  <c r="G68" i="22"/>
  <c r="P67" i="22"/>
  <c r="Q67" i="22"/>
  <c r="O67" i="22"/>
  <c r="N67" i="22"/>
  <c r="M67" i="22"/>
  <c r="L67" i="22"/>
  <c r="K67" i="22"/>
  <c r="J67" i="22"/>
  <c r="I67" i="22"/>
  <c r="H67" i="22"/>
  <c r="G67" i="22"/>
  <c r="P66" i="22"/>
  <c r="Q66" i="22"/>
  <c r="O66" i="22"/>
  <c r="N66" i="22"/>
  <c r="M66" i="22"/>
  <c r="L66" i="22"/>
  <c r="K66" i="22"/>
  <c r="J66" i="22"/>
  <c r="I66" i="22"/>
  <c r="H66" i="22"/>
  <c r="G66" i="22"/>
  <c r="P65" i="22"/>
  <c r="Q65" i="22"/>
  <c r="O65" i="22"/>
  <c r="N65" i="22"/>
  <c r="M65" i="22"/>
  <c r="L65" i="22"/>
  <c r="K65" i="22"/>
  <c r="J65" i="22"/>
  <c r="I65" i="22"/>
  <c r="H65" i="22"/>
  <c r="G65" i="22"/>
  <c r="P64" i="22"/>
  <c r="Q64" i="22"/>
  <c r="O64" i="22"/>
  <c r="N64" i="22"/>
  <c r="M64" i="22"/>
  <c r="L64" i="22"/>
  <c r="K64" i="22"/>
  <c r="J64" i="22"/>
  <c r="I64" i="22"/>
  <c r="H64" i="22"/>
  <c r="G64" i="22"/>
  <c r="P63" i="22"/>
  <c r="Q63" i="22"/>
  <c r="O63" i="22"/>
  <c r="N63" i="22"/>
  <c r="M63" i="22"/>
  <c r="L63" i="22"/>
  <c r="K63" i="22"/>
  <c r="J63" i="22"/>
  <c r="I63" i="22"/>
  <c r="H63" i="22"/>
  <c r="G63" i="22"/>
  <c r="P62" i="22"/>
  <c r="Q62" i="22"/>
  <c r="O62" i="22"/>
  <c r="N62" i="22"/>
  <c r="M62" i="22"/>
  <c r="L62" i="22"/>
  <c r="K62" i="22"/>
  <c r="J62" i="22"/>
  <c r="I62" i="22"/>
  <c r="H62" i="22"/>
  <c r="G62" i="22"/>
  <c r="P61" i="22"/>
  <c r="Q61" i="22"/>
  <c r="O61" i="22"/>
  <c r="N61" i="22"/>
  <c r="M61" i="22"/>
  <c r="L61" i="22"/>
  <c r="K61" i="22"/>
  <c r="J61" i="22"/>
  <c r="I61" i="22"/>
  <c r="H61" i="22"/>
  <c r="G61" i="22"/>
  <c r="P60" i="22"/>
  <c r="Q60" i="22"/>
  <c r="O60" i="22"/>
  <c r="N60" i="22"/>
  <c r="M60" i="22"/>
  <c r="L60" i="22"/>
  <c r="K60" i="22"/>
  <c r="J60" i="22"/>
  <c r="I60" i="22"/>
  <c r="H60" i="22"/>
  <c r="G60" i="22"/>
  <c r="P59" i="22"/>
  <c r="Q59" i="22"/>
  <c r="O59" i="22"/>
  <c r="N59" i="22"/>
  <c r="M59" i="22"/>
  <c r="L59" i="22"/>
  <c r="K59" i="22"/>
  <c r="J59" i="22"/>
  <c r="I59" i="22"/>
  <c r="H59" i="22"/>
  <c r="G59" i="22"/>
  <c r="P58" i="22"/>
  <c r="Q58" i="22"/>
  <c r="O58" i="22"/>
  <c r="N58" i="22"/>
  <c r="M58" i="22"/>
  <c r="L58" i="22"/>
  <c r="K58" i="22"/>
  <c r="J58" i="22"/>
  <c r="I58" i="22"/>
  <c r="H58" i="22"/>
  <c r="G58" i="22"/>
  <c r="P57" i="22"/>
  <c r="Q57" i="22"/>
  <c r="O57" i="22"/>
  <c r="N57" i="22"/>
  <c r="M57" i="22"/>
  <c r="L57" i="22"/>
  <c r="K57" i="22"/>
  <c r="J57" i="22"/>
  <c r="I57" i="22"/>
  <c r="H57" i="22"/>
  <c r="G57" i="22"/>
  <c r="P56" i="22"/>
  <c r="Q56" i="22"/>
  <c r="O56" i="22"/>
  <c r="N56" i="22"/>
  <c r="M56" i="22"/>
  <c r="L56" i="22"/>
  <c r="K56" i="22"/>
  <c r="J56" i="22"/>
  <c r="I56" i="22"/>
  <c r="H56" i="22"/>
  <c r="G56" i="22"/>
  <c r="P55" i="22"/>
  <c r="Q55" i="22"/>
  <c r="O55" i="22"/>
  <c r="N55" i="22"/>
  <c r="M55" i="22"/>
  <c r="L55" i="22"/>
  <c r="K55" i="22"/>
  <c r="J55" i="22"/>
  <c r="I55" i="22"/>
  <c r="H55" i="22"/>
  <c r="G55" i="22"/>
  <c r="P54" i="22"/>
  <c r="Q54" i="22"/>
  <c r="O54" i="22"/>
  <c r="N54" i="22"/>
  <c r="M54" i="22"/>
  <c r="L54" i="22"/>
  <c r="K54" i="22"/>
  <c r="J54" i="22"/>
  <c r="I54" i="22"/>
  <c r="H54" i="22"/>
  <c r="G54" i="22"/>
  <c r="P53" i="22"/>
  <c r="Q53" i="22"/>
  <c r="O53" i="22"/>
  <c r="N53" i="22"/>
  <c r="M53" i="22"/>
  <c r="L53" i="22"/>
  <c r="K53" i="22"/>
  <c r="J53" i="22"/>
  <c r="I53" i="22"/>
  <c r="H53" i="22"/>
  <c r="G53" i="22"/>
  <c r="P52" i="22"/>
  <c r="Q52" i="22"/>
  <c r="O52" i="22"/>
  <c r="N52" i="22"/>
  <c r="M52" i="22"/>
  <c r="L52" i="22"/>
  <c r="K52" i="22"/>
  <c r="J52" i="22"/>
  <c r="I52" i="22"/>
  <c r="H52" i="22"/>
  <c r="G52" i="22"/>
  <c r="P51" i="22"/>
  <c r="Q51" i="22"/>
  <c r="O51" i="22"/>
  <c r="N51" i="22"/>
  <c r="M51" i="22"/>
  <c r="L51" i="22"/>
  <c r="K51" i="22"/>
  <c r="J51" i="22"/>
  <c r="I51" i="22"/>
  <c r="H51" i="22"/>
  <c r="G51" i="22"/>
  <c r="P50" i="22"/>
  <c r="Q50" i="22"/>
  <c r="O50" i="22"/>
  <c r="N50" i="22"/>
  <c r="M50" i="22"/>
  <c r="L50" i="22"/>
  <c r="K50" i="22"/>
  <c r="J50" i="22"/>
  <c r="I50" i="22"/>
  <c r="H50" i="22"/>
  <c r="G50" i="22"/>
  <c r="P49" i="22"/>
  <c r="Q49" i="22"/>
  <c r="O49" i="22"/>
  <c r="N49" i="22"/>
  <c r="M49" i="22"/>
  <c r="L49" i="22"/>
  <c r="K49" i="22"/>
  <c r="J49" i="22"/>
  <c r="I49" i="22"/>
  <c r="H49" i="22"/>
  <c r="G49" i="22"/>
  <c r="P48" i="22"/>
  <c r="Q48" i="22"/>
  <c r="O48" i="22"/>
  <c r="N48" i="22"/>
  <c r="M48" i="22"/>
  <c r="L48" i="22"/>
  <c r="K48" i="22"/>
  <c r="J48" i="22"/>
  <c r="I48" i="22"/>
  <c r="H48" i="22"/>
  <c r="G48" i="22"/>
  <c r="P47" i="22"/>
  <c r="Q47" i="22"/>
  <c r="O47" i="22"/>
  <c r="N47" i="22"/>
  <c r="M47" i="22"/>
  <c r="L47" i="22"/>
  <c r="K47" i="22"/>
  <c r="J47" i="22"/>
  <c r="I47" i="22"/>
  <c r="H47" i="22"/>
  <c r="G47" i="22"/>
  <c r="P46" i="22"/>
  <c r="Q46" i="22"/>
  <c r="O46" i="22"/>
  <c r="N46" i="22"/>
  <c r="M46" i="22"/>
  <c r="L46" i="22"/>
  <c r="K46" i="22"/>
  <c r="J46" i="22"/>
  <c r="I46" i="22"/>
  <c r="H46" i="22"/>
  <c r="G46" i="22"/>
  <c r="P45" i="22"/>
  <c r="Q45" i="22"/>
  <c r="O45" i="22"/>
  <c r="N45" i="22"/>
  <c r="M45" i="22"/>
  <c r="L45" i="22"/>
  <c r="K45" i="22"/>
  <c r="J45" i="22"/>
  <c r="I45" i="22"/>
  <c r="H45" i="22"/>
  <c r="G45" i="22"/>
  <c r="P44" i="22"/>
  <c r="Q44" i="22"/>
  <c r="O44" i="22"/>
  <c r="N44" i="22"/>
  <c r="M44" i="22"/>
  <c r="L44" i="22"/>
  <c r="K44" i="22"/>
  <c r="J44" i="22"/>
  <c r="I44" i="22"/>
  <c r="H44" i="22"/>
  <c r="G44" i="22"/>
  <c r="P43" i="22"/>
  <c r="Q43" i="22"/>
  <c r="O43" i="22"/>
  <c r="N43" i="22"/>
  <c r="M43" i="22"/>
  <c r="L43" i="22"/>
  <c r="K43" i="22"/>
  <c r="J43" i="22"/>
  <c r="I43" i="22"/>
  <c r="H43" i="22"/>
  <c r="G43" i="22"/>
  <c r="P42" i="22"/>
  <c r="Q42" i="22"/>
  <c r="O42" i="22"/>
  <c r="N42" i="22"/>
  <c r="M42" i="22"/>
  <c r="L42" i="22"/>
  <c r="K42" i="22"/>
  <c r="J42" i="22"/>
  <c r="I42" i="22"/>
  <c r="H42" i="22"/>
  <c r="G42" i="22"/>
  <c r="P41" i="22"/>
  <c r="Q41" i="22"/>
  <c r="O41" i="22"/>
  <c r="N41" i="22"/>
  <c r="M41" i="22"/>
  <c r="L41" i="22"/>
  <c r="K41" i="22"/>
  <c r="J41" i="22"/>
  <c r="I41" i="22"/>
  <c r="H41" i="22"/>
  <c r="G41" i="22"/>
  <c r="P40" i="22"/>
  <c r="Q40" i="22"/>
  <c r="O40" i="22"/>
  <c r="N40" i="22"/>
  <c r="M40" i="22"/>
  <c r="L40" i="22"/>
  <c r="K40" i="22"/>
  <c r="J40" i="22"/>
  <c r="I40" i="22"/>
  <c r="H40" i="22"/>
  <c r="G40" i="22"/>
  <c r="P39" i="22"/>
  <c r="Q39" i="22"/>
  <c r="O39" i="22"/>
  <c r="N39" i="22"/>
  <c r="M39" i="22"/>
  <c r="L39" i="22"/>
  <c r="K39" i="22"/>
  <c r="J39" i="22"/>
  <c r="I39" i="22"/>
  <c r="H39" i="22"/>
  <c r="G39" i="22"/>
  <c r="P38" i="22"/>
  <c r="Q38" i="22"/>
  <c r="O38" i="22"/>
  <c r="N38" i="22"/>
  <c r="M38" i="22"/>
  <c r="L38" i="22"/>
  <c r="K38" i="22"/>
  <c r="J38" i="22"/>
  <c r="I38" i="22"/>
  <c r="H38" i="22"/>
  <c r="G38" i="22"/>
  <c r="P37" i="22"/>
  <c r="Q37" i="22"/>
  <c r="O37" i="22"/>
  <c r="N37" i="22"/>
  <c r="M37" i="22"/>
  <c r="L37" i="22"/>
  <c r="K37" i="22"/>
  <c r="J37" i="22"/>
  <c r="I37" i="22"/>
  <c r="H37" i="22"/>
  <c r="G37" i="22"/>
  <c r="P36" i="22"/>
  <c r="Q36" i="22"/>
  <c r="O36" i="22"/>
  <c r="N36" i="22"/>
  <c r="M36" i="22"/>
  <c r="L36" i="22"/>
  <c r="K36" i="22"/>
  <c r="J36" i="22"/>
  <c r="I36" i="22"/>
  <c r="H36" i="22"/>
  <c r="G36" i="22"/>
  <c r="P35" i="22"/>
  <c r="Q35" i="22"/>
  <c r="O35" i="22"/>
  <c r="N35" i="22"/>
  <c r="M35" i="22"/>
  <c r="L35" i="22"/>
  <c r="K35" i="22"/>
  <c r="J35" i="22"/>
  <c r="I35" i="22"/>
  <c r="H35" i="22"/>
  <c r="G35" i="22"/>
  <c r="P34" i="22"/>
  <c r="Q34" i="22"/>
  <c r="O34" i="22"/>
  <c r="N34" i="22"/>
  <c r="M34" i="22"/>
  <c r="L34" i="22"/>
  <c r="K34" i="22"/>
  <c r="J34" i="22"/>
  <c r="I34" i="22"/>
  <c r="H34" i="22"/>
  <c r="G34" i="22"/>
  <c r="P33" i="22"/>
  <c r="Q33" i="22"/>
  <c r="O33" i="22"/>
  <c r="N33" i="22"/>
  <c r="M33" i="22"/>
  <c r="L33" i="22"/>
  <c r="K33" i="22"/>
  <c r="J33" i="22"/>
  <c r="I33" i="22"/>
  <c r="H33" i="22"/>
  <c r="G33" i="22"/>
  <c r="P32" i="22"/>
  <c r="Q32" i="22"/>
  <c r="O32" i="22"/>
  <c r="N32" i="22"/>
  <c r="M32" i="22"/>
  <c r="L32" i="22"/>
  <c r="K32" i="22"/>
  <c r="J32" i="22"/>
  <c r="I32" i="22"/>
  <c r="H32" i="22"/>
  <c r="G32" i="22"/>
  <c r="P31" i="22"/>
  <c r="Q31" i="22"/>
  <c r="O31" i="22"/>
  <c r="N31" i="22"/>
  <c r="M31" i="22"/>
  <c r="L31" i="22"/>
  <c r="K31" i="22"/>
  <c r="J31" i="22"/>
  <c r="I31" i="22"/>
  <c r="H31" i="22"/>
  <c r="G31" i="22"/>
  <c r="P30" i="22"/>
  <c r="Q30" i="22"/>
  <c r="O30" i="22"/>
  <c r="N30" i="22"/>
  <c r="M30" i="22"/>
  <c r="L30" i="22"/>
  <c r="K30" i="22"/>
  <c r="J30" i="22"/>
  <c r="I30" i="22"/>
  <c r="H30" i="22"/>
  <c r="G30" i="22"/>
  <c r="P29" i="22"/>
  <c r="Q29" i="22"/>
  <c r="O29" i="22"/>
  <c r="N29" i="22"/>
  <c r="M29" i="22"/>
  <c r="L29" i="22"/>
  <c r="K29" i="22"/>
  <c r="J29" i="22"/>
  <c r="I29" i="22"/>
  <c r="H29" i="22"/>
  <c r="G29" i="22"/>
  <c r="P28" i="22"/>
  <c r="Q28" i="22"/>
  <c r="O28" i="22"/>
  <c r="N28" i="22"/>
  <c r="M28" i="22"/>
  <c r="L28" i="22"/>
  <c r="K28" i="22"/>
  <c r="J28" i="22"/>
  <c r="I28" i="22"/>
  <c r="H28" i="22"/>
  <c r="G28" i="22"/>
  <c r="P27" i="22"/>
  <c r="Q27" i="22"/>
  <c r="O27" i="22"/>
  <c r="N27" i="22"/>
  <c r="M27" i="22"/>
  <c r="L27" i="22"/>
  <c r="K27" i="22"/>
  <c r="J27" i="22"/>
  <c r="I27" i="22"/>
  <c r="H27" i="22"/>
  <c r="G27" i="22"/>
  <c r="P26" i="22"/>
  <c r="Q26" i="22"/>
  <c r="O26" i="22"/>
  <c r="N26" i="22"/>
  <c r="M26" i="22"/>
  <c r="L26" i="22"/>
  <c r="K26" i="22"/>
  <c r="J26" i="22"/>
  <c r="I26" i="22"/>
  <c r="H26" i="22"/>
  <c r="G26" i="22"/>
  <c r="P25" i="22"/>
  <c r="Q25" i="22"/>
  <c r="O25" i="22"/>
  <c r="N25" i="22"/>
  <c r="M25" i="22"/>
  <c r="L25" i="22"/>
  <c r="K25" i="22"/>
  <c r="J25" i="22"/>
  <c r="I25" i="22"/>
  <c r="H25" i="22"/>
  <c r="G25" i="22"/>
  <c r="P24" i="22"/>
  <c r="Q24" i="22"/>
  <c r="O24" i="22"/>
  <c r="N24" i="22"/>
  <c r="M24" i="22"/>
  <c r="L24" i="22"/>
  <c r="K24" i="22"/>
  <c r="J24" i="22"/>
  <c r="I24" i="22"/>
  <c r="H24" i="22"/>
  <c r="G24" i="22"/>
  <c r="P23" i="22"/>
  <c r="Q23" i="22"/>
  <c r="O23" i="22"/>
  <c r="N23" i="22"/>
  <c r="M23" i="22"/>
  <c r="L23" i="22"/>
  <c r="K23" i="22"/>
  <c r="J23" i="22"/>
  <c r="I23" i="22"/>
  <c r="H23" i="22"/>
  <c r="G23" i="22"/>
  <c r="P22" i="22"/>
  <c r="Q22" i="22"/>
  <c r="O22" i="22"/>
  <c r="N22" i="22"/>
  <c r="M22" i="22"/>
  <c r="L22" i="22"/>
  <c r="K22" i="22"/>
  <c r="J22" i="22"/>
  <c r="I22" i="22"/>
  <c r="H22" i="22"/>
  <c r="G22" i="22"/>
  <c r="P21" i="22"/>
  <c r="Q21" i="22"/>
  <c r="O21" i="22"/>
  <c r="N21" i="22"/>
  <c r="M21" i="22"/>
  <c r="L21" i="22"/>
  <c r="K21" i="22"/>
  <c r="J21" i="22"/>
  <c r="I21" i="22"/>
  <c r="H21" i="22"/>
  <c r="G21" i="22"/>
  <c r="P20" i="22"/>
  <c r="Q20" i="22"/>
  <c r="O20" i="22"/>
  <c r="N20" i="22"/>
  <c r="M20" i="22"/>
  <c r="L20" i="22"/>
  <c r="K20" i="22"/>
  <c r="J20" i="22"/>
  <c r="I20" i="22"/>
  <c r="H20" i="22"/>
  <c r="G20" i="22"/>
  <c r="P19" i="22"/>
  <c r="Q19" i="22"/>
  <c r="O19" i="22"/>
  <c r="N19" i="22"/>
  <c r="M19" i="22"/>
  <c r="L19" i="22"/>
  <c r="K19" i="22"/>
  <c r="J19" i="22"/>
  <c r="I19" i="22"/>
  <c r="H19" i="22"/>
  <c r="G19" i="22"/>
  <c r="P18" i="22"/>
  <c r="Q18" i="22"/>
  <c r="O18" i="22"/>
  <c r="N18" i="22"/>
  <c r="M18" i="22"/>
  <c r="L18" i="22"/>
  <c r="K18" i="22"/>
  <c r="J18" i="22"/>
  <c r="I18" i="22"/>
  <c r="H18" i="22"/>
  <c r="G18" i="22"/>
  <c r="P17" i="22"/>
  <c r="Q17" i="22"/>
  <c r="O17" i="22"/>
  <c r="N17" i="22"/>
  <c r="M17" i="22"/>
  <c r="L17" i="22"/>
  <c r="K17" i="22"/>
  <c r="J17" i="22"/>
  <c r="I17" i="22"/>
  <c r="H17" i="22"/>
  <c r="G17" i="22"/>
  <c r="P16" i="22"/>
  <c r="Q16" i="22"/>
  <c r="O16" i="22"/>
  <c r="N16" i="22"/>
  <c r="M16" i="22"/>
  <c r="L16" i="22"/>
  <c r="K16" i="22"/>
  <c r="J16" i="22"/>
  <c r="I16" i="22"/>
  <c r="H16" i="22"/>
  <c r="G16" i="22"/>
  <c r="P15" i="22"/>
  <c r="Q15" i="22"/>
  <c r="O15" i="22"/>
  <c r="N15" i="22"/>
  <c r="M15" i="22"/>
  <c r="L15" i="22"/>
  <c r="K15" i="22"/>
  <c r="J15" i="22"/>
  <c r="I15" i="22"/>
  <c r="H15" i="22"/>
  <c r="G15" i="22"/>
  <c r="P14" i="22"/>
  <c r="Q14" i="22"/>
  <c r="O14" i="22"/>
  <c r="N14" i="22"/>
  <c r="M14" i="22"/>
  <c r="L14" i="22"/>
  <c r="K14" i="22"/>
  <c r="J14" i="22"/>
  <c r="I14" i="22"/>
  <c r="H14" i="22"/>
  <c r="G14" i="22"/>
  <c r="P13" i="22"/>
  <c r="Q13" i="22"/>
  <c r="O13" i="22"/>
  <c r="N13" i="22"/>
  <c r="M13" i="22"/>
  <c r="L13" i="22"/>
  <c r="K13" i="22"/>
  <c r="J13" i="22"/>
  <c r="I13" i="22"/>
  <c r="H13" i="22"/>
  <c r="G13" i="22"/>
  <c r="P12" i="22"/>
  <c r="Q12" i="22"/>
  <c r="O12" i="22"/>
  <c r="N12" i="22"/>
  <c r="M12" i="22"/>
  <c r="L12" i="22"/>
  <c r="K12" i="22"/>
  <c r="J12" i="22"/>
  <c r="I12" i="22"/>
  <c r="G12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22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22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22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22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22" i="22"/>
  <c r="H12" i="22"/>
  <c r="H4" i="22"/>
  <c r="G3" i="22"/>
  <c r="O4" i="22"/>
  <c r="N4" i="22"/>
  <c r="M4" i="22"/>
  <c r="L4" i="22"/>
  <c r="K4" i="22"/>
  <c r="J4" i="22"/>
  <c r="I4" i="22"/>
  <c r="H2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K1" i="21"/>
  <c r="K5" i="21"/>
  <c r="J5" i="21"/>
  <c r="K108" i="21"/>
  <c r="K107" i="21"/>
  <c r="K106" i="21"/>
  <c r="K105" i="21"/>
  <c r="K104" i="21"/>
  <c r="K103" i="21"/>
  <c r="K102" i="21"/>
  <c r="K101" i="21"/>
  <c r="K100" i="21"/>
  <c r="K99" i="21"/>
  <c r="K98" i="21"/>
  <c r="K97" i="21"/>
  <c r="K96" i="21"/>
  <c r="K95" i="21"/>
  <c r="K94" i="21"/>
  <c r="K93" i="21"/>
  <c r="K92" i="21"/>
  <c r="K91" i="21"/>
  <c r="K90" i="21"/>
  <c r="K89" i="21"/>
  <c r="K88" i="21"/>
  <c r="K87" i="21"/>
  <c r="K86" i="21"/>
  <c r="K85" i="21"/>
  <c r="K84" i="21"/>
  <c r="K83" i="21"/>
  <c r="K82" i="21"/>
  <c r="K81" i="21"/>
  <c r="K80" i="21"/>
  <c r="K79" i="21"/>
  <c r="K78" i="21"/>
  <c r="K77" i="21"/>
  <c r="K76" i="21"/>
  <c r="K75" i="21"/>
  <c r="K74" i="21"/>
  <c r="K73" i="21"/>
  <c r="K72" i="21"/>
  <c r="K71" i="21"/>
  <c r="K70" i="21"/>
  <c r="K69" i="21"/>
  <c r="K68" i="21"/>
  <c r="K67" i="21"/>
  <c r="K66" i="21"/>
  <c r="K65" i="21"/>
  <c r="K64" i="21"/>
  <c r="K63" i="21"/>
  <c r="K62" i="21"/>
  <c r="K61" i="21"/>
  <c r="K60" i="21"/>
  <c r="K59" i="21"/>
  <c r="K58" i="21"/>
  <c r="K57" i="21"/>
  <c r="K56" i="21"/>
  <c r="K55" i="21"/>
  <c r="K54" i="21"/>
  <c r="K53" i="21"/>
  <c r="K52" i="21"/>
  <c r="K51" i="21"/>
  <c r="K50" i="21"/>
  <c r="K49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K31" i="21"/>
  <c r="K30" i="21"/>
  <c r="K29" i="21"/>
  <c r="K28" i="21"/>
  <c r="K27" i="21"/>
  <c r="K26" i="21"/>
  <c r="K25" i="21"/>
  <c r="K24" i="21"/>
  <c r="K23" i="21"/>
  <c r="K22" i="21"/>
  <c r="K21" i="21"/>
  <c r="K20" i="21"/>
  <c r="K19" i="21"/>
  <c r="K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I3" i="20"/>
  <c r="I93" i="20"/>
  <c r="B3" i="20"/>
  <c r="B93" i="20"/>
  <c r="R4" i="20"/>
  <c r="Q4" i="20"/>
  <c r="P4" i="20"/>
  <c r="O4" i="20"/>
  <c r="N4" i="20"/>
  <c r="M4" i="20"/>
  <c r="L4" i="20"/>
  <c r="K4" i="20"/>
  <c r="U110" i="19"/>
  <c r="U109" i="19"/>
  <c r="U108" i="19"/>
  <c r="U107" i="19"/>
  <c r="U106" i="19"/>
  <c r="U105" i="19"/>
  <c r="U104" i="19"/>
  <c r="U103" i="19"/>
  <c r="U102" i="19"/>
  <c r="U101" i="19"/>
  <c r="U100" i="19"/>
  <c r="U99" i="19"/>
  <c r="U98" i="19"/>
  <c r="U97" i="19"/>
  <c r="U96" i="19"/>
  <c r="U95" i="19"/>
  <c r="U94" i="19"/>
  <c r="U93" i="19"/>
  <c r="U92" i="19"/>
  <c r="U91" i="19"/>
  <c r="U90" i="19"/>
  <c r="U89" i="19"/>
  <c r="U88" i="19"/>
  <c r="U87" i="19"/>
  <c r="U86" i="19"/>
  <c r="U85" i="19"/>
  <c r="U84" i="19"/>
  <c r="U83" i="19"/>
  <c r="U82" i="19"/>
  <c r="U81" i="19"/>
  <c r="U80" i="19"/>
  <c r="U79" i="19"/>
  <c r="U78" i="19"/>
  <c r="U77" i="19"/>
  <c r="U76" i="19"/>
  <c r="U75" i="19"/>
  <c r="U74" i="19"/>
  <c r="U73" i="19"/>
  <c r="U72" i="19"/>
  <c r="U71" i="19"/>
  <c r="U70" i="19"/>
  <c r="U69" i="19"/>
  <c r="U68" i="19"/>
  <c r="U67" i="19"/>
  <c r="U66" i="19"/>
  <c r="U65" i="19"/>
  <c r="U64" i="19"/>
  <c r="U63" i="19"/>
  <c r="U62" i="19"/>
  <c r="U6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I2" i="19"/>
  <c r="I7" i="19"/>
  <c r="B2" i="19"/>
  <c r="B7" i="19"/>
  <c r="C2" i="19"/>
  <c r="C7" i="19"/>
  <c r="D2" i="19"/>
  <c r="D7" i="19"/>
  <c r="E2" i="19"/>
  <c r="E7" i="19"/>
  <c r="G2" i="19"/>
  <c r="G7" i="19"/>
  <c r="F2" i="19"/>
  <c r="F7" i="19"/>
  <c r="H7" i="19"/>
  <c r="M7" i="19"/>
  <c r="I88" i="19"/>
  <c r="B88" i="19"/>
  <c r="J2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6" i="19"/>
  <c r="J77" i="19"/>
  <c r="J78" i="19"/>
  <c r="J79" i="19"/>
  <c r="J80" i="19"/>
  <c r="J81" i="19"/>
  <c r="J82" i="19"/>
  <c r="J83" i="19"/>
  <c r="J84" i="19"/>
  <c r="J85" i="19"/>
  <c r="J86" i="19"/>
  <c r="J87" i="19"/>
  <c r="J89" i="19"/>
  <c r="J92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I8" i="19"/>
  <c r="B8" i="19"/>
  <c r="I9" i="19"/>
  <c r="B9" i="19"/>
  <c r="I10" i="19"/>
  <c r="B10" i="19"/>
  <c r="I11" i="19"/>
  <c r="B11" i="19"/>
  <c r="I12" i="19"/>
  <c r="B12" i="19"/>
  <c r="I13" i="19"/>
  <c r="B13" i="19"/>
  <c r="I14" i="19"/>
  <c r="B14" i="19"/>
  <c r="I15" i="19"/>
  <c r="B15" i="19"/>
  <c r="I16" i="19"/>
  <c r="B16" i="19"/>
  <c r="I17" i="19"/>
  <c r="B17" i="19"/>
  <c r="I18" i="19"/>
  <c r="B18" i="19"/>
  <c r="I19" i="19"/>
  <c r="B19" i="19"/>
  <c r="I20" i="19"/>
  <c r="B20" i="19"/>
  <c r="I21" i="19"/>
  <c r="B21" i="19"/>
  <c r="I22" i="19"/>
  <c r="B22" i="19"/>
  <c r="I23" i="19"/>
  <c r="B23" i="19"/>
  <c r="I24" i="19"/>
  <c r="B24" i="19"/>
  <c r="I26" i="19"/>
  <c r="B26" i="19"/>
  <c r="I27" i="19"/>
  <c r="B27" i="19"/>
  <c r="I28" i="19"/>
  <c r="B28" i="19"/>
  <c r="I29" i="19"/>
  <c r="B29" i="19"/>
  <c r="I30" i="19"/>
  <c r="B30" i="19"/>
  <c r="I31" i="19"/>
  <c r="B31" i="19"/>
  <c r="I32" i="19"/>
  <c r="B32" i="19"/>
  <c r="I33" i="19"/>
  <c r="B33" i="19"/>
  <c r="I34" i="19"/>
  <c r="B34" i="19"/>
  <c r="I35" i="19"/>
  <c r="B35" i="19"/>
  <c r="I36" i="19"/>
  <c r="B36" i="19"/>
  <c r="I37" i="19"/>
  <c r="B37" i="19"/>
  <c r="I38" i="19"/>
  <c r="B38" i="19"/>
  <c r="I39" i="19"/>
  <c r="B39" i="19"/>
  <c r="I40" i="19"/>
  <c r="B40" i="19"/>
  <c r="I41" i="19"/>
  <c r="B41" i="19"/>
  <c r="I42" i="19"/>
  <c r="B42" i="19"/>
  <c r="I43" i="19"/>
  <c r="B43" i="19"/>
  <c r="I44" i="19"/>
  <c r="B44" i="19"/>
  <c r="I45" i="19"/>
  <c r="B45" i="19"/>
  <c r="I46" i="19"/>
  <c r="B46" i="19"/>
  <c r="I47" i="19"/>
  <c r="B47" i="19"/>
  <c r="I48" i="19"/>
  <c r="B48" i="19"/>
  <c r="I49" i="19"/>
  <c r="B49" i="19"/>
  <c r="I50" i="19"/>
  <c r="B50" i="19"/>
  <c r="I51" i="19"/>
  <c r="B51" i="19"/>
  <c r="I52" i="19"/>
  <c r="B52" i="19"/>
  <c r="I53" i="19"/>
  <c r="B53" i="19"/>
  <c r="I54" i="19"/>
  <c r="B54" i="19"/>
  <c r="I55" i="19"/>
  <c r="B55" i="19"/>
  <c r="I56" i="19"/>
  <c r="B56" i="19"/>
  <c r="I57" i="19"/>
  <c r="B57" i="19"/>
  <c r="I58" i="19"/>
  <c r="B58" i="19"/>
  <c r="I59" i="19"/>
  <c r="B59" i="19"/>
  <c r="I60" i="19"/>
  <c r="B60" i="19"/>
  <c r="I61" i="19"/>
  <c r="B61" i="19"/>
  <c r="I62" i="19"/>
  <c r="B62" i="19"/>
  <c r="I63" i="19"/>
  <c r="B63" i="19"/>
  <c r="I64" i="19"/>
  <c r="B64" i="19"/>
  <c r="I65" i="19"/>
  <c r="B65" i="19"/>
  <c r="I66" i="19"/>
  <c r="B66" i="19"/>
  <c r="I67" i="19"/>
  <c r="B67" i="19"/>
  <c r="I68" i="19"/>
  <c r="B68" i="19"/>
  <c r="I69" i="19"/>
  <c r="B69" i="19"/>
  <c r="I70" i="19"/>
  <c r="B70" i="19"/>
  <c r="I71" i="19"/>
  <c r="B71" i="19"/>
  <c r="I72" i="19"/>
  <c r="B72" i="19"/>
  <c r="I73" i="19"/>
  <c r="B73" i="19"/>
  <c r="I74" i="19"/>
  <c r="B74" i="19"/>
  <c r="I76" i="19"/>
  <c r="B76" i="19"/>
  <c r="I77" i="19"/>
  <c r="B77" i="19"/>
  <c r="I78" i="19"/>
  <c r="B78" i="19"/>
  <c r="I79" i="19"/>
  <c r="B79" i="19"/>
  <c r="I80" i="19"/>
  <c r="B80" i="19"/>
  <c r="I81" i="19"/>
  <c r="B81" i="19"/>
  <c r="I82" i="19"/>
  <c r="B82" i="19"/>
  <c r="I83" i="19"/>
  <c r="B83" i="19"/>
  <c r="I84" i="19"/>
  <c r="B84" i="19"/>
  <c r="I85" i="19"/>
  <c r="B85" i="19"/>
  <c r="I86" i="19"/>
  <c r="B86" i="19"/>
  <c r="I87" i="19"/>
  <c r="B87" i="19"/>
  <c r="I89" i="19"/>
  <c r="B89" i="19"/>
  <c r="I92" i="19"/>
  <c r="B92" i="19"/>
  <c r="I94" i="19"/>
  <c r="B94" i="19"/>
  <c r="I95" i="19"/>
  <c r="B95" i="19"/>
  <c r="I96" i="19"/>
  <c r="B96" i="19"/>
  <c r="I97" i="19"/>
  <c r="B97" i="19"/>
  <c r="I98" i="19"/>
  <c r="B98" i="19"/>
  <c r="I99" i="19"/>
  <c r="B99" i="19"/>
  <c r="I100" i="19"/>
  <c r="B100" i="19"/>
  <c r="I101" i="19"/>
  <c r="B101" i="19"/>
  <c r="I102" i="19"/>
  <c r="B102" i="19"/>
  <c r="I103" i="19"/>
  <c r="B103" i="19"/>
  <c r="I104" i="19"/>
  <c r="B104" i="19"/>
  <c r="I105" i="19"/>
  <c r="B105" i="19"/>
  <c r="I106" i="19"/>
  <c r="B106" i="19"/>
  <c r="I107" i="19"/>
  <c r="B107" i="19"/>
  <c r="I108" i="19"/>
  <c r="B108" i="19"/>
  <c r="I109" i="19"/>
  <c r="B109" i="19"/>
  <c r="I110" i="19"/>
  <c r="B110" i="19"/>
  <c r="I93" i="19"/>
  <c r="B93" i="19"/>
  <c r="I90" i="19"/>
  <c r="B90" i="19"/>
  <c r="I91" i="19"/>
  <c r="B91" i="19"/>
  <c r="I75" i="19"/>
  <c r="B75" i="19"/>
  <c r="J25" i="19"/>
  <c r="J75" i="19"/>
  <c r="J88" i="19"/>
  <c r="J90" i="19"/>
  <c r="J91" i="19"/>
  <c r="J93" i="19"/>
  <c r="I25" i="19"/>
  <c r="B25" i="19"/>
  <c r="Q12" i="19"/>
  <c r="F2" i="16"/>
  <c r="F19" i="16"/>
  <c r="F20" i="16"/>
  <c r="F21" i="16"/>
  <c r="F22" i="16"/>
  <c r="F23" i="16"/>
  <c r="F24" i="16"/>
  <c r="J17" i="16"/>
  <c r="D2" i="16"/>
  <c r="D21" i="16"/>
  <c r="E21" i="16"/>
  <c r="C110" i="19"/>
  <c r="D110" i="19"/>
  <c r="E110" i="19"/>
  <c r="G110" i="19"/>
  <c r="F110" i="19"/>
  <c r="H110" i="19"/>
  <c r="M110" i="19"/>
  <c r="AA110" i="19"/>
  <c r="X110" i="19"/>
  <c r="W110" i="19"/>
  <c r="Z110" i="19"/>
  <c r="V110" i="19"/>
  <c r="Y110" i="19"/>
  <c r="C109" i="19"/>
  <c r="D109" i="19"/>
  <c r="E109" i="19"/>
  <c r="G109" i="19"/>
  <c r="F109" i="19"/>
  <c r="H109" i="19"/>
  <c r="M109" i="19"/>
  <c r="AA109" i="19"/>
  <c r="X109" i="19"/>
  <c r="W109" i="19"/>
  <c r="Z109" i="19"/>
  <c r="V109" i="19"/>
  <c r="Y109" i="19"/>
  <c r="C108" i="19"/>
  <c r="D108" i="19"/>
  <c r="E108" i="19"/>
  <c r="G108" i="19"/>
  <c r="F108" i="19"/>
  <c r="H108" i="19"/>
  <c r="M108" i="19"/>
  <c r="AA108" i="19"/>
  <c r="X108" i="19"/>
  <c r="W108" i="19"/>
  <c r="Z108" i="19"/>
  <c r="V108" i="19"/>
  <c r="Y108" i="19"/>
  <c r="C107" i="19"/>
  <c r="D107" i="19"/>
  <c r="E107" i="19"/>
  <c r="G107" i="19"/>
  <c r="F107" i="19"/>
  <c r="H107" i="19"/>
  <c r="M107" i="19"/>
  <c r="AA107" i="19"/>
  <c r="X107" i="19"/>
  <c r="W107" i="19"/>
  <c r="Z107" i="19"/>
  <c r="V107" i="19"/>
  <c r="Y107" i="19"/>
  <c r="C106" i="19"/>
  <c r="D106" i="19"/>
  <c r="E106" i="19"/>
  <c r="G106" i="19"/>
  <c r="F106" i="19"/>
  <c r="H106" i="19"/>
  <c r="M106" i="19"/>
  <c r="AA106" i="19"/>
  <c r="X106" i="19"/>
  <c r="W106" i="19"/>
  <c r="Z106" i="19"/>
  <c r="V106" i="19"/>
  <c r="Y106" i="19"/>
  <c r="C105" i="19"/>
  <c r="D105" i="19"/>
  <c r="E105" i="19"/>
  <c r="G105" i="19"/>
  <c r="F105" i="19"/>
  <c r="H105" i="19"/>
  <c r="M105" i="19"/>
  <c r="AA105" i="19"/>
  <c r="X105" i="19"/>
  <c r="W105" i="19"/>
  <c r="Z105" i="19"/>
  <c r="V105" i="19"/>
  <c r="Y105" i="19"/>
  <c r="C104" i="19"/>
  <c r="D104" i="19"/>
  <c r="E104" i="19"/>
  <c r="G104" i="19"/>
  <c r="F104" i="19"/>
  <c r="H104" i="19"/>
  <c r="M104" i="19"/>
  <c r="AA104" i="19"/>
  <c r="X104" i="19"/>
  <c r="W104" i="19"/>
  <c r="Z104" i="19"/>
  <c r="V104" i="19"/>
  <c r="Y104" i="19"/>
  <c r="C103" i="19"/>
  <c r="D103" i="19"/>
  <c r="E103" i="19"/>
  <c r="G103" i="19"/>
  <c r="F103" i="19"/>
  <c r="H103" i="19"/>
  <c r="M103" i="19"/>
  <c r="AA103" i="19"/>
  <c r="X103" i="19"/>
  <c r="W103" i="19"/>
  <c r="Z103" i="19"/>
  <c r="V103" i="19"/>
  <c r="Y103" i="19"/>
  <c r="C102" i="19"/>
  <c r="D102" i="19"/>
  <c r="E102" i="19"/>
  <c r="G102" i="19"/>
  <c r="F102" i="19"/>
  <c r="H102" i="19"/>
  <c r="M102" i="19"/>
  <c r="AA102" i="19"/>
  <c r="X102" i="19"/>
  <c r="W102" i="19"/>
  <c r="Z102" i="19"/>
  <c r="V102" i="19"/>
  <c r="Y102" i="19"/>
  <c r="C101" i="19"/>
  <c r="D101" i="19"/>
  <c r="E101" i="19"/>
  <c r="G101" i="19"/>
  <c r="F101" i="19"/>
  <c r="H101" i="19"/>
  <c r="M101" i="19"/>
  <c r="AA101" i="19"/>
  <c r="X101" i="19"/>
  <c r="W101" i="19"/>
  <c r="Z101" i="19"/>
  <c r="V101" i="19"/>
  <c r="Y101" i="19"/>
  <c r="C100" i="19"/>
  <c r="D100" i="19"/>
  <c r="E100" i="19"/>
  <c r="G100" i="19"/>
  <c r="F100" i="19"/>
  <c r="H100" i="19"/>
  <c r="M100" i="19"/>
  <c r="AA100" i="19"/>
  <c r="X100" i="19"/>
  <c r="W100" i="19"/>
  <c r="Z100" i="19"/>
  <c r="V100" i="19"/>
  <c r="Y100" i="19"/>
  <c r="C99" i="19"/>
  <c r="D99" i="19"/>
  <c r="E99" i="19"/>
  <c r="G99" i="19"/>
  <c r="F99" i="19"/>
  <c r="H99" i="19"/>
  <c r="M99" i="19"/>
  <c r="AA99" i="19"/>
  <c r="X99" i="19"/>
  <c r="W99" i="19"/>
  <c r="Z99" i="19"/>
  <c r="V99" i="19"/>
  <c r="Y99" i="19"/>
  <c r="L2" i="19"/>
  <c r="L110" i="19"/>
  <c r="K110" i="19"/>
  <c r="L109" i="19"/>
  <c r="K109" i="19"/>
  <c r="L108" i="19"/>
  <c r="K108" i="19"/>
  <c r="L107" i="19"/>
  <c r="K107" i="19"/>
  <c r="L106" i="19"/>
  <c r="K106" i="19"/>
  <c r="L105" i="19"/>
  <c r="K105" i="19"/>
  <c r="L104" i="19"/>
  <c r="K104" i="19"/>
  <c r="L103" i="19"/>
  <c r="K103" i="19"/>
  <c r="L102" i="19"/>
  <c r="K102" i="19"/>
  <c r="L101" i="19"/>
  <c r="K101" i="19"/>
  <c r="L100" i="19"/>
  <c r="K100" i="19"/>
  <c r="L99" i="19"/>
  <c r="K99" i="19"/>
  <c r="L98" i="19"/>
  <c r="K98" i="19"/>
  <c r="L97" i="19"/>
  <c r="K97" i="19"/>
  <c r="L96" i="19"/>
  <c r="K96" i="19"/>
  <c r="L95" i="19"/>
  <c r="K95" i="19"/>
  <c r="L94" i="19"/>
  <c r="K94" i="19"/>
  <c r="L93" i="19"/>
  <c r="K93" i="19"/>
  <c r="L92" i="19"/>
  <c r="K92" i="19"/>
  <c r="L91" i="19"/>
  <c r="K91" i="19"/>
  <c r="L90" i="19"/>
  <c r="K90" i="19"/>
  <c r="L89" i="19"/>
  <c r="K89" i="19"/>
  <c r="L88" i="19"/>
  <c r="K88" i="19"/>
  <c r="L87" i="19"/>
  <c r="K87" i="19"/>
  <c r="L86" i="19"/>
  <c r="K86" i="19"/>
  <c r="L85" i="19"/>
  <c r="K85" i="19"/>
  <c r="L84" i="19"/>
  <c r="K84" i="19"/>
  <c r="L83" i="19"/>
  <c r="K83" i="19"/>
  <c r="L82" i="19"/>
  <c r="K82" i="19"/>
  <c r="L81" i="19"/>
  <c r="K81" i="19"/>
  <c r="L80" i="19"/>
  <c r="K80" i="19"/>
  <c r="L79" i="19"/>
  <c r="K79" i="19"/>
  <c r="L78" i="19"/>
  <c r="K78" i="19"/>
  <c r="L77" i="19"/>
  <c r="K77" i="19"/>
  <c r="L76" i="19"/>
  <c r="K76" i="19"/>
  <c r="L75" i="19"/>
  <c r="K75" i="19"/>
  <c r="L74" i="19"/>
  <c r="K74" i="19"/>
  <c r="L73" i="19"/>
  <c r="K73" i="19"/>
  <c r="L72" i="19"/>
  <c r="K72" i="19"/>
  <c r="L71" i="19"/>
  <c r="K71" i="19"/>
  <c r="L70" i="19"/>
  <c r="K70" i="19"/>
  <c r="L69" i="19"/>
  <c r="K69" i="19"/>
  <c r="L68" i="19"/>
  <c r="K68" i="19"/>
  <c r="L67" i="19"/>
  <c r="K67" i="19"/>
  <c r="L66" i="19"/>
  <c r="K66" i="19"/>
  <c r="L65" i="19"/>
  <c r="K65" i="19"/>
  <c r="L64" i="19"/>
  <c r="K64" i="19"/>
  <c r="L63" i="19"/>
  <c r="K63" i="19"/>
  <c r="L62" i="19"/>
  <c r="K62" i="19"/>
  <c r="L61" i="19"/>
  <c r="K61" i="19"/>
  <c r="L60" i="19"/>
  <c r="K60" i="19"/>
  <c r="L59" i="19"/>
  <c r="K59" i="19"/>
  <c r="L58" i="19"/>
  <c r="K58" i="19"/>
  <c r="L57" i="19"/>
  <c r="K57" i="19"/>
  <c r="L56" i="19"/>
  <c r="K56" i="19"/>
  <c r="L55" i="19"/>
  <c r="K55" i="19"/>
  <c r="L54" i="19"/>
  <c r="K54" i="19"/>
  <c r="L53" i="19"/>
  <c r="K53" i="19"/>
  <c r="L52" i="19"/>
  <c r="K52" i="19"/>
  <c r="L51" i="19"/>
  <c r="K51" i="19"/>
  <c r="L50" i="19"/>
  <c r="K50" i="19"/>
  <c r="L49" i="19"/>
  <c r="K49" i="19"/>
  <c r="L48" i="19"/>
  <c r="K48" i="19"/>
  <c r="L47" i="19"/>
  <c r="K47" i="19"/>
  <c r="L46" i="19"/>
  <c r="K46" i="19"/>
  <c r="L45" i="19"/>
  <c r="K45" i="19"/>
  <c r="L44" i="19"/>
  <c r="K44" i="19"/>
  <c r="L43" i="19"/>
  <c r="K43" i="19"/>
  <c r="L42" i="19"/>
  <c r="K42" i="19"/>
  <c r="L41" i="19"/>
  <c r="K41" i="19"/>
  <c r="L40" i="19"/>
  <c r="K40" i="19"/>
  <c r="L39" i="19"/>
  <c r="K39" i="19"/>
  <c r="L38" i="19"/>
  <c r="K38" i="19"/>
  <c r="L37" i="19"/>
  <c r="K37" i="19"/>
  <c r="L36" i="19"/>
  <c r="K36" i="19"/>
  <c r="L35" i="19"/>
  <c r="K35" i="19"/>
  <c r="L34" i="19"/>
  <c r="K34" i="19"/>
  <c r="L33" i="19"/>
  <c r="K33" i="19"/>
  <c r="L32" i="19"/>
  <c r="K32" i="19"/>
  <c r="L31" i="19"/>
  <c r="K31" i="19"/>
  <c r="L30" i="19"/>
  <c r="K30" i="19"/>
  <c r="L29" i="19"/>
  <c r="K29" i="19"/>
  <c r="L28" i="19"/>
  <c r="K28" i="19"/>
  <c r="L27" i="19"/>
  <c r="K27" i="19"/>
  <c r="L26" i="19"/>
  <c r="K26" i="19"/>
  <c r="L25" i="19"/>
  <c r="K25" i="19"/>
  <c r="L24" i="19"/>
  <c r="K24" i="19"/>
  <c r="L23" i="19"/>
  <c r="K23" i="19"/>
  <c r="L22" i="19"/>
  <c r="K22" i="19"/>
  <c r="L21" i="19"/>
  <c r="K21" i="19"/>
  <c r="L20" i="19"/>
  <c r="K20" i="19"/>
  <c r="L19" i="19"/>
  <c r="K19" i="19"/>
  <c r="L18" i="19"/>
  <c r="K18" i="19"/>
  <c r="L17" i="19"/>
  <c r="K17" i="19"/>
  <c r="L16" i="19"/>
  <c r="K16" i="19"/>
  <c r="L15" i="19"/>
  <c r="K15" i="19"/>
  <c r="L14" i="19"/>
  <c r="K14" i="19"/>
  <c r="L13" i="19"/>
  <c r="K13" i="19"/>
  <c r="L12" i="19"/>
  <c r="K12" i="19"/>
  <c r="L11" i="19"/>
  <c r="K11" i="19"/>
  <c r="L10" i="19"/>
  <c r="K10" i="19"/>
  <c r="L9" i="19"/>
  <c r="K9" i="19"/>
  <c r="L8" i="19"/>
  <c r="K8" i="19"/>
  <c r="L7" i="19"/>
  <c r="K7" i="19"/>
  <c r="I1" i="19"/>
  <c r="D2" i="6"/>
  <c r="D74" i="6"/>
  <c r="F2" i="6"/>
  <c r="F74" i="6"/>
  <c r="E74" i="6"/>
  <c r="D77" i="6"/>
  <c r="F77" i="6"/>
  <c r="E77" i="6"/>
  <c r="D78" i="6"/>
  <c r="F78" i="6"/>
  <c r="E78" i="6"/>
  <c r="D80" i="6"/>
  <c r="F80" i="6"/>
  <c r="E80" i="6"/>
  <c r="D10" i="6"/>
  <c r="F10" i="6"/>
  <c r="E10" i="6"/>
  <c r="D11" i="6"/>
  <c r="F11" i="6"/>
  <c r="E11" i="6"/>
  <c r="D12" i="6"/>
  <c r="F12" i="6"/>
  <c r="E12" i="6"/>
  <c r="D13" i="6"/>
  <c r="F13" i="6"/>
  <c r="E13" i="6"/>
  <c r="D14" i="6"/>
  <c r="F14" i="6"/>
  <c r="E14" i="6"/>
  <c r="D15" i="6"/>
  <c r="F15" i="6"/>
  <c r="E15" i="6"/>
  <c r="D16" i="6"/>
  <c r="F16" i="6"/>
  <c r="E16" i="6"/>
  <c r="D17" i="6"/>
  <c r="F17" i="6"/>
  <c r="E17" i="6"/>
  <c r="D18" i="6"/>
  <c r="F18" i="6"/>
  <c r="E18" i="6"/>
  <c r="D19" i="6"/>
  <c r="F19" i="6"/>
  <c r="E19" i="6"/>
  <c r="D20" i="6"/>
  <c r="F20" i="6"/>
  <c r="E20" i="6"/>
  <c r="D21" i="6"/>
  <c r="F21" i="6"/>
  <c r="E21" i="6"/>
  <c r="D22" i="6"/>
  <c r="F22" i="6"/>
  <c r="E22" i="6"/>
  <c r="D23" i="6"/>
  <c r="F23" i="6"/>
  <c r="E23" i="6"/>
  <c r="D24" i="6"/>
  <c r="F24" i="6"/>
  <c r="E24" i="6"/>
  <c r="D25" i="6"/>
  <c r="F25" i="6"/>
  <c r="E25" i="6"/>
  <c r="D26" i="6"/>
  <c r="F26" i="6"/>
  <c r="E26" i="6"/>
  <c r="D27" i="6"/>
  <c r="F27" i="6"/>
  <c r="E27" i="6"/>
  <c r="D28" i="6"/>
  <c r="F28" i="6"/>
  <c r="E28" i="6"/>
  <c r="D29" i="6"/>
  <c r="F29" i="6"/>
  <c r="E29" i="6"/>
  <c r="D30" i="6"/>
  <c r="F30" i="6"/>
  <c r="E30" i="6"/>
  <c r="D31" i="6"/>
  <c r="F31" i="6"/>
  <c r="E31" i="6"/>
  <c r="D32" i="6"/>
  <c r="F32" i="6"/>
  <c r="E32" i="6"/>
  <c r="D33" i="6"/>
  <c r="F33" i="6"/>
  <c r="E33" i="6"/>
  <c r="D34" i="6"/>
  <c r="F34" i="6"/>
  <c r="E34" i="6"/>
  <c r="D35" i="6"/>
  <c r="F35" i="6"/>
  <c r="E35" i="6"/>
  <c r="D36" i="6"/>
  <c r="F36" i="6"/>
  <c r="E36" i="6"/>
  <c r="D37" i="6"/>
  <c r="F37" i="6"/>
  <c r="E37" i="6"/>
  <c r="D38" i="6"/>
  <c r="F38" i="6"/>
  <c r="E38" i="6"/>
  <c r="D39" i="6"/>
  <c r="F39" i="6"/>
  <c r="E39" i="6"/>
  <c r="D40" i="6"/>
  <c r="F40" i="6"/>
  <c r="E40" i="6"/>
  <c r="D41" i="6"/>
  <c r="F41" i="6"/>
  <c r="E41" i="6"/>
  <c r="D42" i="6"/>
  <c r="F42" i="6"/>
  <c r="E42" i="6"/>
  <c r="D43" i="6"/>
  <c r="F43" i="6"/>
  <c r="E43" i="6"/>
  <c r="D44" i="6"/>
  <c r="F44" i="6"/>
  <c r="E44" i="6"/>
  <c r="D45" i="6"/>
  <c r="F45" i="6"/>
  <c r="E45" i="6"/>
  <c r="D46" i="6"/>
  <c r="F46" i="6"/>
  <c r="E46" i="6"/>
  <c r="D47" i="6"/>
  <c r="F47" i="6"/>
  <c r="E47" i="6"/>
  <c r="D48" i="6"/>
  <c r="F48" i="6"/>
  <c r="E48" i="6"/>
  <c r="D49" i="6"/>
  <c r="F49" i="6"/>
  <c r="E49" i="6"/>
  <c r="D50" i="6"/>
  <c r="F50" i="6"/>
  <c r="E50" i="6"/>
  <c r="D51" i="6"/>
  <c r="F51" i="6"/>
  <c r="E51" i="6"/>
  <c r="D52" i="6"/>
  <c r="F52" i="6"/>
  <c r="E52" i="6"/>
  <c r="D53" i="6"/>
  <c r="F53" i="6"/>
  <c r="E53" i="6"/>
  <c r="D54" i="6"/>
  <c r="F54" i="6"/>
  <c r="E54" i="6"/>
  <c r="D55" i="6"/>
  <c r="F55" i="6"/>
  <c r="E55" i="6"/>
  <c r="D56" i="6"/>
  <c r="F56" i="6"/>
  <c r="E56" i="6"/>
  <c r="D57" i="6"/>
  <c r="F57" i="6"/>
  <c r="E57" i="6"/>
  <c r="D58" i="6"/>
  <c r="F58" i="6"/>
  <c r="E58" i="6"/>
  <c r="D59" i="6"/>
  <c r="F59" i="6"/>
  <c r="E59" i="6"/>
  <c r="D60" i="6"/>
  <c r="F60" i="6"/>
  <c r="E60" i="6"/>
  <c r="D61" i="6"/>
  <c r="F61" i="6"/>
  <c r="E61" i="6"/>
  <c r="D62" i="6"/>
  <c r="F62" i="6"/>
  <c r="E62" i="6"/>
  <c r="D63" i="6"/>
  <c r="F63" i="6"/>
  <c r="E63" i="6"/>
  <c r="D64" i="6"/>
  <c r="F64" i="6"/>
  <c r="E64" i="6"/>
  <c r="D65" i="6"/>
  <c r="F65" i="6"/>
  <c r="E65" i="6"/>
  <c r="D66" i="6"/>
  <c r="F66" i="6"/>
  <c r="E66" i="6"/>
  <c r="D67" i="6"/>
  <c r="F67" i="6"/>
  <c r="E67" i="6"/>
  <c r="D68" i="6"/>
  <c r="F68" i="6"/>
  <c r="E68" i="6"/>
  <c r="D69" i="6"/>
  <c r="F69" i="6"/>
  <c r="E69" i="6"/>
  <c r="D70" i="6"/>
  <c r="F70" i="6"/>
  <c r="E70" i="6"/>
  <c r="D71" i="6"/>
  <c r="F71" i="6"/>
  <c r="E71" i="6"/>
  <c r="D72" i="6"/>
  <c r="F72" i="6"/>
  <c r="E72" i="6"/>
  <c r="D73" i="6"/>
  <c r="F73" i="6"/>
  <c r="E73" i="6"/>
  <c r="D75" i="6"/>
  <c r="F75" i="6"/>
  <c r="E75" i="6"/>
  <c r="D76" i="6"/>
  <c r="F76" i="6"/>
  <c r="E76" i="6"/>
  <c r="D79" i="6"/>
  <c r="F79" i="6"/>
  <c r="E79" i="6"/>
  <c r="D81" i="6"/>
  <c r="F81" i="6"/>
  <c r="E81" i="6"/>
  <c r="D82" i="6"/>
  <c r="F82" i="6"/>
  <c r="E82" i="6"/>
  <c r="D83" i="6"/>
  <c r="F83" i="6"/>
  <c r="E83" i="6"/>
  <c r="D84" i="6"/>
  <c r="F84" i="6"/>
  <c r="E84" i="6"/>
  <c r="D85" i="6"/>
  <c r="F85" i="6"/>
  <c r="E85" i="6"/>
  <c r="D86" i="6"/>
  <c r="F86" i="6"/>
  <c r="E86" i="6"/>
  <c r="D87" i="6"/>
  <c r="F87" i="6"/>
  <c r="E87" i="6"/>
  <c r="D88" i="6"/>
  <c r="F88" i="6"/>
  <c r="E88" i="6"/>
  <c r="D89" i="6"/>
  <c r="F89" i="6"/>
  <c r="E89" i="6"/>
  <c r="D90" i="6"/>
  <c r="F90" i="6"/>
  <c r="E90" i="6"/>
  <c r="D91" i="6"/>
  <c r="F91" i="6"/>
  <c r="E91" i="6"/>
  <c r="D92" i="6"/>
  <c r="F92" i="6"/>
  <c r="E92" i="6"/>
  <c r="D93" i="6"/>
  <c r="F93" i="6"/>
  <c r="E93" i="6"/>
  <c r="D94" i="6"/>
  <c r="F94" i="6"/>
  <c r="E94" i="6"/>
  <c r="D95" i="6"/>
  <c r="F95" i="6"/>
  <c r="E95" i="6"/>
  <c r="D96" i="6"/>
  <c r="F96" i="6"/>
  <c r="E96" i="6"/>
  <c r="D97" i="6"/>
  <c r="F97" i="6"/>
  <c r="E97" i="6"/>
  <c r="D98" i="6"/>
  <c r="F98" i="6"/>
  <c r="E98" i="6"/>
  <c r="D99" i="6"/>
  <c r="F99" i="6"/>
  <c r="E99" i="6"/>
  <c r="D100" i="6"/>
  <c r="F100" i="6"/>
  <c r="E100" i="6"/>
  <c r="D101" i="6"/>
  <c r="F101" i="6"/>
  <c r="E101" i="6"/>
  <c r="D102" i="6"/>
  <c r="F102" i="6"/>
  <c r="E102" i="6"/>
  <c r="D103" i="6"/>
  <c r="F103" i="6"/>
  <c r="E103" i="6"/>
  <c r="D104" i="6"/>
  <c r="F104" i="6"/>
  <c r="E104" i="6"/>
  <c r="D105" i="6"/>
  <c r="F105" i="6"/>
  <c r="E105" i="6"/>
  <c r="D106" i="6"/>
  <c r="F106" i="6"/>
  <c r="E106" i="6"/>
  <c r="D107" i="6"/>
  <c r="F107" i="6"/>
  <c r="E107" i="6"/>
  <c r="D108" i="6"/>
  <c r="F108" i="6"/>
  <c r="E108" i="6"/>
  <c r="D109" i="6"/>
  <c r="F109" i="6"/>
  <c r="E109" i="6"/>
  <c r="D110" i="6"/>
  <c r="F110" i="6"/>
  <c r="E110" i="6"/>
  <c r="D111" i="6"/>
  <c r="F111" i="6"/>
  <c r="E111" i="6"/>
  <c r="D112" i="6"/>
  <c r="F112" i="6"/>
  <c r="E112" i="6"/>
  <c r="D113" i="6"/>
  <c r="F113" i="6"/>
  <c r="E113" i="6"/>
  <c r="B2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K52" i="6"/>
  <c r="L52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K56" i="6"/>
  <c r="L56" i="6"/>
  <c r="C26" i="6"/>
  <c r="C27" i="6"/>
  <c r="C28" i="6"/>
  <c r="C29" i="6"/>
  <c r="C30" i="6"/>
  <c r="C31" i="6"/>
  <c r="C32" i="6"/>
  <c r="C33" i="6"/>
  <c r="C34" i="6"/>
  <c r="K59" i="6"/>
  <c r="L59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K60" i="6"/>
  <c r="L60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K49" i="6"/>
  <c r="L49" i="6"/>
  <c r="C74" i="6"/>
  <c r="C75" i="6"/>
  <c r="C76" i="6"/>
  <c r="K48" i="6"/>
  <c r="L48" i="6"/>
  <c r="C77" i="6"/>
  <c r="K50" i="6"/>
  <c r="L50" i="6"/>
  <c r="C78" i="6"/>
  <c r="C79" i="6"/>
  <c r="K53" i="6"/>
  <c r="L53" i="6"/>
  <c r="C80" i="6"/>
  <c r="K54" i="6"/>
  <c r="L54" i="6"/>
  <c r="C81" i="6"/>
  <c r="K55" i="6"/>
  <c r="L55" i="6"/>
  <c r="C82" i="6"/>
  <c r="C83" i="6"/>
  <c r="C84" i="6"/>
  <c r="C85" i="6"/>
  <c r="C86" i="6"/>
  <c r="C87" i="6"/>
  <c r="C88" i="6"/>
  <c r="C89" i="6"/>
  <c r="C90" i="6"/>
  <c r="C91" i="6"/>
  <c r="C92" i="6"/>
  <c r="K65" i="6"/>
  <c r="L65" i="6"/>
  <c r="C93" i="6"/>
  <c r="C94" i="6"/>
  <c r="C95" i="6"/>
  <c r="C96" i="6"/>
  <c r="C97" i="6"/>
  <c r="C98" i="6"/>
  <c r="C99" i="6"/>
  <c r="K61" i="6"/>
  <c r="L61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I24" i="16"/>
  <c r="I23" i="16"/>
  <c r="I22" i="16"/>
  <c r="I21" i="16"/>
  <c r="I20" i="16"/>
  <c r="I19" i="16"/>
  <c r="I17" i="16"/>
  <c r="H24" i="16"/>
  <c r="H23" i="16"/>
  <c r="H22" i="16"/>
  <c r="H21" i="16"/>
  <c r="H20" i="16"/>
  <c r="H19" i="16"/>
  <c r="H17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18" i="16"/>
  <c r="F17" i="16"/>
  <c r="F16" i="16"/>
  <c r="F15" i="16"/>
  <c r="F14" i="16"/>
  <c r="F13" i="16"/>
  <c r="F12" i="16"/>
  <c r="F11" i="16"/>
  <c r="F10" i="16"/>
  <c r="D10" i="16"/>
  <c r="E10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0" i="16"/>
  <c r="D19" i="16"/>
  <c r="D18" i="16"/>
  <c r="D17" i="16"/>
  <c r="D16" i="16"/>
  <c r="D15" i="16"/>
  <c r="D14" i="16"/>
  <c r="D13" i="16"/>
  <c r="D12" i="16"/>
  <c r="D11" i="16"/>
  <c r="B2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4" i="16"/>
  <c r="K51" i="6"/>
  <c r="K57" i="6"/>
  <c r="K58" i="6"/>
  <c r="K62" i="6"/>
  <c r="K63" i="6"/>
  <c r="K64" i="6"/>
  <c r="K66" i="6"/>
  <c r="K67" i="6"/>
  <c r="K47" i="6"/>
  <c r="E2" i="13"/>
  <c r="E111" i="13"/>
  <c r="C2" i="13"/>
  <c r="C111" i="13"/>
  <c r="D111" i="13"/>
  <c r="E110" i="13"/>
  <c r="C110" i="13"/>
  <c r="D110" i="13"/>
  <c r="E109" i="13"/>
  <c r="C109" i="13"/>
  <c r="D109" i="13"/>
  <c r="E108" i="13"/>
  <c r="C108" i="13"/>
  <c r="D108" i="13"/>
  <c r="E107" i="13"/>
  <c r="C107" i="13"/>
  <c r="D107" i="13"/>
  <c r="E106" i="13"/>
  <c r="C106" i="13"/>
  <c r="D106" i="13"/>
  <c r="E105" i="13"/>
  <c r="C105" i="13"/>
  <c r="D105" i="13"/>
  <c r="E104" i="13"/>
  <c r="C104" i="13"/>
  <c r="D104" i="13"/>
  <c r="E103" i="13"/>
  <c r="C103" i="13"/>
  <c r="D103" i="13"/>
  <c r="E102" i="13"/>
  <c r="C102" i="13"/>
  <c r="D102" i="13"/>
  <c r="E101" i="13"/>
  <c r="C101" i="13"/>
  <c r="D101" i="13"/>
  <c r="E100" i="13"/>
  <c r="C100" i="13"/>
  <c r="D100" i="13"/>
  <c r="E99" i="13"/>
  <c r="C99" i="13"/>
  <c r="D99" i="13"/>
  <c r="E98" i="13"/>
  <c r="C98" i="13"/>
  <c r="D98" i="13"/>
  <c r="E97" i="13"/>
  <c r="C97" i="13"/>
  <c r="D97" i="13"/>
  <c r="E96" i="13"/>
  <c r="C96" i="13"/>
  <c r="D96" i="13"/>
  <c r="E95" i="13"/>
  <c r="C95" i="13"/>
  <c r="D95" i="13"/>
  <c r="E94" i="13"/>
  <c r="C94" i="13"/>
  <c r="D94" i="13"/>
  <c r="E93" i="13"/>
  <c r="C93" i="13"/>
  <c r="D93" i="13"/>
  <c r="E92" i="13"/>
  <c r="C92" i="13"/>
  <c r="D92" i="13"/>
  <c r="E91" i="13"/>
  <c r="C91" i="13"/>
  <c r="D91" i="13"/>
  <c r="E90" i="13"/>
  <c r="C90" i="13"/>
  <c r="D90" i="13"/>
  <c r="E89" i="13"/>
  <c r="C89" i="13"/>
  <c r="D89" i="13"/>
  <c r="E88" i="13"/>
  <c r="C88" i="13"/>
  <c r="D88" i="13"/>
  <c r="E87" i="13"/>
  <c r="C87" i="13"/>
  <c r="D87" i="13"/>
  <c r="E86" i="13"/>
  <c r="C86" i="13"/>
  <c r="D86" i="13"/>
  <c r="E85" i="13"/>
  <c r="C85" i="13"/>
  <c r="D85" i="13"/>
  <c r="E84" i="13"/>
  <c r="C84" i="13"/>
  <c r="D84" i="13"/>
  <c r="E83" i="13"/>
  <c r="C83" i="13"/>
  <c r="D83" i="13"/>
  <c r="E82" i="13"/>
  <c r="C82" i="13"/>
  <c r="D82" i="13"/>
  <c r="E81" i="13"/>
  <c r="C81" i="13"/>
  <c r="D81" i="13"/>
  <c r="E80" i="13"/>
  <c r="C80" i="13"/>
  <c r="D80" i="13"/>
  <c r="E79" i="13"/>
  <c r="C79" i="13"/>
  <c r="D79" i="13"/>
  <c r="E78" i="13"/>
  <c r="C78" i="13"/>
  <c r="D78" i="13"/>
  <c r="E77" i="13"/>
  <c r="C77" i="13"/>
  <c r="D77" i="13"/>
  <c r="E76" i="13"/>
  <c r="C76" i="13"/>
  <c r="D76" i="13"/>
  <c r="E75" i="13"/>
  <c r="C75" i="13"/>
  <c r="D75" i="13"/>
  <c r="E74" i="13"/>
  <c r="C74" i="13"/>
  <c r="D74" i="13"/>
  <c r="E73" i="13"/>
  <c r="C73" i="13"/>
  <c r="D73" i="13"/>
  <c r="E72" i="13"/>
  <c r="C72" i="13"/>
  <c r="D72" i="13"/>
  <c r="E71" i="13"/>
  <c r="C71" i="13"/>
  <c r="D71" i="13"/>
  <c r="E70" i="13"/>
  <c r="C70" i="13"/>
  <c r="D70" i="13"/>
  <c r="E69" i="13"/>
  <c r="C69" i="13"/>
  <c r="D69" i="13"/>
  <c r="E68" i="13"/>
  <c r="C68" i="13"/>
  <c r="D68" i="13"/>
  <c r="E67" i="13"/>
  <c r="C67" i="13"/>
  <c r="D67" i="13"/>
  <c r="E66" i="13"/>
  <c r="C66" i="13"/>
  <c r="D66" i="13"/>
  <c r="E65" i="13"/>
  <c r="C65" i="13"/>
  <c r="D65" i="13"/>
  <c r="E64" i="13"/>
  <c r="C64" i="13"/>
  <c r="D64" i="13"/>
  <c r="E63" i="13"/>
  <c r="C63" i="13"/>
  <c r="D63" i="13"/>
  <c r="E62" i="13"/>
  <c r="C62" i="13"/>
  <c r="D62" i="13"/>
  <c r="E61" i="13"/>
  <c r="C61" i="13"/>
  <c r="D61" i="13"/>
  <c r="E60" i="13"/>
  <c r="C60" i="13"/>
  <c r="D60" i="13"/>
  <c r="E59" i="13"/>
  <c r="C59" i="13"/>
  <c r="D59" i="13"/>
  <c r="E58" i="13"/>
  <c r="C58" i="13"/>
  <c r="D58" i="13"/>
  <c r="E57" i="13"/>
  <c r="C57" i="13"/>
  <c r="D57" i="13"/>
  <c r="E56" i="13"/>
  <c r="C56" i="13"/>
  <c r="D56" i="13"/>
  <c r="E55" i="13"/>
  <c r="C55" i="13"/>
  <c r="D55" i="13"/>
  <c r="E54" i="13"/>
  <c r="C54" i="13"/>
  <c r="D54" i="13"/>
  <c r="E53" i="13"/>
  <c r="C53" i="13"/>
  <c r="D53" i="13"/>
  <c r="E52" i="13"/>
  <c r="C52" i="13"/>
  <c r="D52" i="13"/>
  <c r="E51" i="13"/>
  <c r="C51" i="13"/>
  <c r="D51" i="13"/>
  <c r="E50" i="13"/>
  <c r="C50" i="13"/>
  <c r="D50" i="13"/>
  <c r="E49" i="13"/>
  <c r="C49" i="13"/>
  <c r="D49" i="13"/>
  <c r="E48" i="13"/>
  <c r="C48" i="13"/>
  <c r="D48" i="13"/>
  <c r="E47" i="13"/>
  <c r="C47" i="13"/>
  <c r="D47" i="13"/>
  <c r="E46" i="13"/>
  <c r="C46" i="13"/>
  <c r="D46" i="13"/>
  <c r="E45" i="13"/>
  <c r="C45" i="13"/>
  <c r="D45" i="13"/>
  <c r="E44" i="13"/>
  <c r="C44" i="13"/>
  <c r="D44" i="13"/>
  <c r="E43" i="13"/>
  <c r="C43" i="13"/>
  <c r="D43" i="13"/>
  <c r="E42" i="13"/>
  <c r="C42" i="13"/>
  <c r="D42" i="13"/>
  <c r="E41" i="13"/>
  <c r="C41" i="13"/>
  <c r="D41" i="13"/>
  <c r="E40" i="13"/>
  <c r="C40" i="13"/>
  <c r="D40" i="13"/>
  <c r="E39" i="13"/>
  <c r="C39" i="13"/>
  <c r="D39" i="13"/>
  <c r="E38" i="13"/>
  <c r="C38" i="13"/>
  <c r="D38" i="13"/>
  <c r="E37" i="13"/>
  <c r="C37" i="13"/>
  <c r="D37" i="13"/>
  <c r="E36" i="13"/>
  <c r="C36" i="13"/>
  <c r="D36" i="13"/>
  <c r="E35" i="13"/>
  <c r="C35" i="13"/>
  <c r="D35" i="13"/>
  <c r="E34" i="13"/>
  <c r="C34" i="13"/>
  <c r="D34" i="13"/>
  <c r="E33" i="13"/>
  <c r="C33" i="13"/>
  <c r="D33" i="13"/>
  <c r="E32" i="13"/>
  <c r="C32" i="13"/>
  <c r="D32" i="13"/>
  <c r="E31" i="13"/>
  <c r="C31" i="13"/>
  <c r="D31" i="13"/>
  <c r="E30" i="13"/>
  <c r="C30" i="13"/>
  <c r="D30" i="13"/>
  <c r="E29" i="13"/>
  <c r="C29" i="13"/>
  <c r="D29" i="13"/>
  <c r="E28" i="13"/>
  <c r="C28" i="13"/>
  <c r="D28" i="13"/>
  <c r="E27" i="13"/>
  <c r="C27" i="13"/>
  <c r="D27" i="13"/>
  <c r="E26" i="13"/>
  <c r="C26" i="13"/>
  <c r="D26" i="13"/>
  <c r="E25" i="13"/>
  <c r="C25" i="13"/>
  <c r="D25" i="13"/>
  <c r="E24" i="13"/>
  <c r="C24" i="13"/>
  <c r="D24" i="13"/>
  <c r="E23" i="13"/>
  <c r="C23" i="13"/>
  <c r="D23" i="13"/>
  <c r="E22" i="13"/>
  <c r="C22" i="13"/>
  <c r="D22" i="13"/>
  <c r="E21" i="13"/>
  <c r="C21" i="13"/>
  <c r="D21" i="13"/>
  <c r="E20" i="13"/>
  <c r="C20" i="13"/>
  <c r="D20" i="13"/>
  <c r="E19" i="13"/>
  <c r="C19" i="13"/>
  <c r="D19" i="13"/>
  <c r="E18" i="13"/>
  <c r="C18" i="13"/>
  <c r="D18" i="13"/>
  <c r="E17" i="13"/>
  <c r="C17" i="13"/>
  <c r="D17" i="13"/>
  <c r="E16" i="13"/>
  <c r="C16" i="13"/>
  <c r="D16" i="13"/>
  <c r="E15" i="13"/>
  <c r="C15" i="13"/>
  <c r="D15" i="13"/>
  <c r="E14" i="13"/>
  <c r="C14" i="13"/>
  <c r="D14" i="13"/>
  <c r="E13" i="13"/>
  <c r="C13" i="13"/>
  <c r="D13" i="13"/>
  <c r="E12" i="13"/>
  <c r="C12" i="13"/>
  <c r="D12" i="13"/>
  <c r="E11" i="13"/>
  <c r="C11" i="13"/>
  <c r="D11" i="13"/>
  <c r="E10" i="13"/>
  <c r="C10" i="13"/>
  <c r="D10" i="13"/>
  <c r="E9" i="13"/>
  <c r="C9" i="13"/>
  <c r="D9" i="13"/>
  <c r="C8" i="13"/>
  <c r="E8" i="13"/>
  <c r="B2" i="13"/>
  <c r="B2" i="5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D8" i="13"/>
  <c r="D4" i="13"/>
  <c r="F7" i="5"/>
  <c r="F6" i="5"/>
  <c r="F5" i="5"/>
  <c r="F4" i="5"/>
  <c r="E2" i="5"/>
  <c r="E111" i="5"/>
  <c r="C2" i="5"/>
  <c r="C111" i="5"/>
  <c r="D111" i="5"/>
  <c r="E110" i="5"/>
  <c r="C110" i="5"/>
  <c r="D110" i="5"/>
  <c r="E109" i="5"/>
  <c r="C109" i="5"/>
  <c r="D109" i="5"/>
  <c r="E108" i="5"/>
  <c r="C108" i="5"/>
  <c r="D108" i="5"/>
  <c r="E107" i="5"/>
  <c r="C107" i="5"/>
  <c r="D107" i="5"/>
  <c r="E106" i="5"/>
  <c r="C106" i="5"/>
  <c r="D106" i="5"/>
  <c r="E105" i="5"/>
  <c r="C105" i="5"/>
  <c r="D105" i="5"/>
  <c r="E104" i="5"/>
  <c r="C104" i="5"/>
  <c r="D104" i="5"/>
  <c r="E103" i="5"/>
  <c r="C103" i="5"/>
  <c r="D103" i="5"/>
  <c r="E102" i="5"/>
  <c r="C102" i="5"/>
  <c r="D102" i="5"/>
  <c r="E101" i="5"/>
  <c r="C101" i="5"/>
  <c r="D101" i="5"/>
  <c r="E100" i="5"/>
  <c r="C100" i="5"/>
  <c r="D100" i="5"/>
  <c r="E99" i="5"/>
  <c r="C99" i="5"/>
  <c r="D99" i="5"/>
  <c r="E98" i="5"/>
  <c r="C98" i="5"/>
  <c r="D98" i="5"/>
  <c r="E97" i="5"/>
  <c r="C97" i="5"/>
  <c r="D97" i="5"/>
  <c r="E96" i="5"/>
  <c r="C96" i="5"/>
  <c r="D96" i="5"/>
  <c r="E95" i="5"/>
  <c r="C95" i="5"/>
  <c r="D95" i="5"/>
  <c r="E94" i="5"/>
  <c r="C94" i="5"/>
  <c r="D94" i="5"/>
  <c r="E93" i="5"/>
  <c r="C93" i="5"/>
  <c r="D93" i="5"/>
  <c r="E92" i="5"/>
  <c r="C92" i="5"/>
  <c r="D92" i="5"/>
  <c r="E91" i="5"/>
  <c r="C91" i="5"/>
  <c r="D91" i="5"/>
  <c r="E90" i="5"/>
  <c r="C90" i="5"/>
  <c r="D90" i="5"/>
  <c r="E89" i="5"/>
  <c r="C89" i="5"/>
  <c r="D89" i="5"/>
  <c r="E88" i="5"/>
  <c r="C88" i="5"/>
  <c r="D88" i="5"/>
  <c r="E87" i="5"/>
  <c r="C87" i="5"/>
  <c r="D87" i="5"/>
  <c r="E86" i="5"/>
  <c r="C86" i="5"/>
  <c r="D86" i="5"/>
  <c r="E85" i="5"/>
  <c r="C85" i="5"/>
  <c r="D85" i="5"/>
  <c r="E84" i="5"/>
  <c r="C84" i="5"/>
  <c r="D84" i="5"/>
  <c r="E83" i="5"/>
  <c r="C83" i="5"/>
  <c r="D83" i="5"/>
  <c r="E82" i="5"/>
  <c r="C82" i="5"/>
  <c r="D82" i="5"/>
  <c r="E81" i="5"/>
  <c r="C81" i="5"/>
  <c r="D81" i="5"/>
  <c r="E80" i="5"/>
  <c r="C80" i="5"/>
  <c r="D80" i="5"/>
  <c r="E79" i="5"/>
  <c r="C79" i="5"/>
  <c r="D79" i="5"/>
  <c r="E78" i="5"/>
  <c r="C78" i="5"/>
  <c r="D78" i="5"/>
  <c r="E77" i="5"/>
  <c r="C77" i="5"/>
  <c r="D77" i="5"/>
  <c r="E76" i="5"/>
  <c r="C76" i="5"/>
  <c r="D76" i="5"/>
  <c r="E75" i="5"/>
  <c r="C75" i="5"/>
  <c r="D75" i="5"/>
  <c r="E74" i="5"/>
  <c r="C74" i="5"/>
  <c r="D74" i="5"/>
  <c r="E73" i="5"/>
  <c r="C73" i="5"/>
  <c r="D73" i="5"/>
  <c r="E72" i="5"/>
  <c r="C72" i="5"/>
  <c r="D72" i="5"/>
  <c r="E71" i="5"/>
  <c r="C71" i="5"/>
  <c r="D71" i="5"/>
  <c r="E70" i="5"/>
  <c r="C70" i="5"/>
  <c r="D70" i="5"/>
  <c r="E69" i="5"/>
  <c r="C69" i="5"/>
  <c r="D69" i="5"/>
  <c r="E68" i="5"/>
  <c r="C68" i="5"/>
  <c r="D68" i="5"/>
  <c r="E67" i="5"/>
  <c r="C67" i="5"/>
  <c r="D67" i="5"/>
  <c r="E66" i="5"/>
  <c r="C66" i="5"/>
  <c r="D66" i="5"/>
  <c r="E65" i="5"/>
  <c r="C65" i="5"/>
  <c r="D65" i="5"/>
  <c r="E64" i="5"/>
  <c r="C64" i="5"/>
  <c r="D64" i="5"/>
  <c r="E63" i="5"/>
  <c r="C63" i="5"/>
  <c r="D63" i="5"/>
  <c r="E62" i="5"/>
  <c r="C62" i="5"/>
  <c r="D62" i="5"/>
  <c r="E61" i="5"/>
  <c r="C61" i="5"/>
  <c r="D61" i="5"/>
  <c r="E60" i="5"/>
  <c r="C60" i="5"/>
  <c r="D60" i="5"/>
  <c r="E59" i="5"/>
  <c r="C59" i="5"/>
  <c r="D59" i="5"/>
  <c r="E58" i="5"/>
  <c r="C58" i="5"/>
  <c r="D58" i="5"/>
  <c r="E57" i="5"/>
  <c r="C57" i="5"/>
  <c r="D57" i="5"/>
  <c r="E56" i="5"/>
  <c r="C56" i="5"/>
  <c r="D56" i="5"/>
  <c r="E55" i="5"/>
  <c r="C55" i="5"/>
  <c r="D55" i="5"/>
  <c r="E54" i="5"/>
  <c r="C54" i="5"/>
  <c r="D54" i="5"/>
  <c r="E53" i="5"/>
  <c r="C53" i="5"/>
  <c r="D53" i="5"/>
  <c r="E52" i="5"/>
  <c r="C52" i="5"/>
  <c r="D52" i="5"/>
  <c r="E51" i="5"/>
  <c r="C51" i="5"/>
  <c r="D51" i="5"/>
  <c r="E50" i="5"/>
  <c r="C50" i="5"/>
  <c r="D50" i="5"/>
  <c r="E49" i="5"/>
  <c r="C49" i="5"/>
  <c r="D49" i="5"/>
  <c r="E48" i="5"/>
  <c r="C48" i="5"/>
  <c r="D48" i="5"/>
  <c r="E47" i="5"/>
  <c r="C47" i="5"/>
  <c r="D47" i="5"/>
  <c r="E46" i="5"/>
  <c r="C46" i="5"/>
  <c r="D46" i="5"/>
  <c r="E45" i="5"/>
  <c r="C45" i="5"/>
  <c r="D45" i="5"/>
  <c r="E44" i="5"/>
  <c r="C44" i="5"/>
  <c r="D44" i="5"/>
  <c r="E43" i="5"/>
  <c r="C43" i="5"/>
  <c r="D43" i="5"/>
  <c r="E42" i="5"/>
  <c r="C42" i="5"/>
  <c r="D42" i="5"/>
  <c r="E41" i="5"/>
  <c r="C41" i="5"/>
  <c r="D41" i="5"/>
  <c r="E40" i="5"/>
  <c r="C40" i="5"/>
  <c r="D40" i="5"/>
  <c r="E39" i="5"/>
  <c r="C39" i="5"/>
  <c r="D39" i="5"/>
  <c r="E38" i="5"/>
  <c r="C38" i="5"/>
  <c r="D38" i="5"/>
  <c r="E37" i="5"/>
  <c r="C37" i="5"/>
  <c r="D37" i="5"/>
  <c r="E36" i="5"/>
  <c r="C36" i="5"/>
  <c r="D36" i="5"/>
  <c r="E35" i="5"/>
  <c r="C35" i="5"/>
  <c r="D35" i="5"/>
  <c r="E34" i="5"/>
  <c r="C34" i="5"/>
  <c r="D34" i="5"/>
  <c r="E33" i="5"/>
  <c r="C33" i="5"/>
  <c r="D33" i="5"/>
  <c r="E32" i="5"/>
  <c r="C32" i="5"/>
  <c r="D32" i="5"/>
  <c r="E31" i="5"/>
  <c r="C31" i="5"/>
  <c r="D31" i="5"/>
  <c r="E30" i="5"/>
  <c r="C30" i="5"/>
  <c r="D30" i="5"/>
  <c r="E29" i="5"/>
  <c r="C29" i="5"/>
  <c r="D29" i="5"/>
  <c r="E28" i="5"/>
  <c r="C28" i="5"/>
  <c r="D28" i="5"/>
  <c r="E27" i="5"/>
  <c r="C27" i="5"/>
  <c r="D27" i="5"/>
  <c r="E26" i="5"/>
  <c r="C26" i="5"/>
  <c r="D26" i="5"/>
  <c r="E25" i="5"/>
  <c r="C25" i="5"/>
  <c r="D25" i="5"/>
  <c r="E24" i="5"/>
  <c r="C24" i="5"/>
  <c r="D24" i="5"/>
  <c r="E23" i="5"/>
  <c r="C23" i="5"/>
  <c r="D23" i="5"/>
  <c r="E22" i="5"/>
  <c r="C22" i="5"/>
  <c r="D22" i="5"/>
  <c r="E21" i="5"/>
  <c r="C21" i="5"/>
  <c r="D21" i="5"/>
  <c r="E20" i="5"/>
  <c r="C20" i="5"/>
  <c r="D20" i="5"/>
  <c r="E19" i="5"/>
  <c r="C19" i="5"/>
  <c r="D19" i="5"/>
  <c r="E18" i="5"/>
  <c r="C18" i="5"/>
  <c r="D18" i="5"/>
  <c r="E17" i="5"/>
  <c r="C17" i="5"/>
  <c r="D17" i="5"/>
  <c r="E16" i="5"/>
  <c r="C16" i="5"/>
  <c r="D16" i="5"/>
  <c r="E15" i="5"/>
  <c r="C15" i="5"/>
  <c r="D15" i="5"/>
  <c r="E14" i="5"/>
  <c r="C14" i="5"/>
  <c r="D14" i="5"/>
  <c r="E13" i="5"/>
  <c r="C13" i="5"/>
  <c r="D13" i="5"/>
  <c r="E12" i="5"/>
  <c r="C12" i="5"/>
  <c r="D12" i="5"/>
  <c r="E11" i="5"/>
  <c r="C11" i="5"/>
  <c r="D11" i="5"/>
  <c r="E10" i="5"/>
  <c r="C10" i="5"/>
  <c r="D10" i="5"/>
  <c r="E9" i="5"/>
  <c r="C9" i="5"/>
  <c r="D9" i="5"/>
  <c r="C8" i="5"/>
  <c r="E8" i="5"/>
  <c r="D8" i="5"/>
  <c r="D4" i="5"/>
  <c r="E4" i="5"/>
  <c r="C4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2" i="12"/>
  <c r="B42" i="12"/>
  <c r="C2" i="12"/>
  <c r="C17" i="12"/>
  <c r="F2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D2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B9" i="12"/>
  <c r="B8" i="12"/>
  <c r="B7" i="12"/>
  <c r="B6" i="12"/>
  <c r="B5" i="12"/>
  <c r="B4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17" i="12"/>
  <c r="B21" i="12"/>
  <c r="B20" i="12"/>
  <c r="B19" i="12"/>
  <c r="B18" i="12"/>
  <c r="B16" i="12"/>
  <c r="B15" i="12"/>
  <c r="B14" i="12"/>
  <c r="B13" i="12"/>
  <c r="B12" i="12"/>
  <c r="B11" i="12"/>
  <c r="B10" i="12"/>
  <c r="G2" i="12"/>
  <c r="K3" i="12"/>
  <c r="F3" i="22"/>
  <c r="E3" i="22"/>
  <c r="D3" i="22"/>
  <c r="C3" i="22"/>
  <c r="B3" i="22"/>
  <c r="CU10" i="22"/>
  <c r="V10" i="22"/>
  <c r="V9" i="22"/>
  <c r="V8" i="22"/>
  <c r="V7" i="22"/>
  <c r="V6" i="22"/>
  <c r="G2" i="21"/>
  <c r="G108" i="21"/>
  <c r="E2" i="21"/>
  <c r="E108" i="21"/>
  <c r="D2" i="21"/>
  <c r="D108" i="21"/>
  <c r="C2" i="21"/>
  <c r="C108" i="21"/>
  <c r="B2" i="21"/>
  <c r="B108" i="21"/>
  <c r="G107" i="21"/>
  <c r="E107" i="21"/>
  <c r="D107" i="21"/>
  <c r="C107" i="21"/>
  <c r="B107" i="21"/>
  <c r="G106" i="21"/>
  <c r="E106" i="21"/>
  <c r="D106" i="21"/>
  <c r="C106" i="21"/>
  <c r="B106" i="21"/>
  <c r="G105" i="21"/>
  <c r="E105" i="21"/>
  <c r="D105" i="21"/>
  <c r="C105" i="21"/>
  <c r="B105" i="21"/>
  <c r="G104" i="21"/>
  <c r="E104" i="21"/>
  <c r="D104" i="21"/>
  <c r="C104" i="21"/>
  <c r="B104" i="21"/>
  <c r="G103" i="21"/>
  <c r="E103" i="21"/>
  <c r="D103" i="21"/>
  <c r="C103" i="21"/>
  <c r="B103" i="21"/>
  <c r="G102" i="21"/>
  <c r="E102" i="21"/>
  <c r="D102" i="21"/>
  <c r="C102" i="21"/>
  <c r="B102" i="21"/>
  <c r="G101" i="21"/>
  <c r="E101" i="21"/>
  <c r="D101" i="21"/>
  <c r="C101" i="21"/>
  <c r="B101" i="21"/>
  <c r="G100" i="21"/>
  <c r="E100" i="21"/>
  <c r="D100" i="21"/>
  <c r="C100" i="21"/>
  <c r="B100" i="21"/>
  <c r="G99" i="21"/>
  <c r="E99" i="21"/>
  <c r="D99" i="21"/>
  <c r="C99" i="21"/>
  <c r="B99" i="21"/>
  <c r="G98" i="21"/>
  <c r="E98" i="21"/>
  <c r="D98" i="21"/>
  <c r="C98" i="21"/>
  <c r="B98" i="21"/>
  <c r="G97" i="21"/>
  <c r="E97" i="21"/>
  <c r="D97" i="21"/>
  <c r="C97" i="21"/>
  <c r="B97" i="21"/>
  <c r="G96" i="21"/>
  <c r="E96" i="21"/>
  <c r="D96" i="21"/>
  <c r="C96" i="21"/>
  <c r="B96" i="21"/>
  <c r="G95" i="21"/>
  <c r="E95" i="21"/>
  <c r="D95" i="21"/>
  <c r="C95" i="21"/>
  <c r="B95" i="21"/>
  <c r="G94" i="21"/>
  <c r="E94" i="21"/>
  <c r="D94" i="21"/>
  <c r="C94" i="21"/>
  <c r="B94" i="21"/>
  <c r="G93" i="21"/>
  <c r="E93" i="21"/>
  <c r="D93" i="21"/>
  <c r="C93" i="21"/>
  <c r="B93" i="21"/>
  <c r="G92" i="21"/>
  <c r="E92" i="21"/>
  <c r="D92" i="21"/>
  <c r="C92" i="21"/>
  <c r="B92" i="21"/>
  <c r="G91" i="21"/>
  <c r="E91" i="21"/>
  <c r="D91" i="21"/>
  <c r="C91" i="21"/>
  <c r="B91" i="21"/>
  <c r="G90" i="21"/>
  <c r="E90" i="21"/>
  <c r="D90" i="21"/>
  <c r="C90" i="21"/>
  <c r="B90" i="21"/>
  <c r="G89" i="21"/>
  <c r="E89" i="21"/>
  <c r="D89" i="21"/>
  <c r="C89" i="21"/>
  <c r="B89" i="21"/>
  <c r="G88" i="21"/>
  <c r="E88" i="21"/>
  <c r="D88" i="21"/>
  <c r="C88" i="21"/>
  <c r="B88" i="21"/>
  <c r="G87" i="21"/>
  <c r="E87" i="21"/>
  <c r="D87" i="21"/>
  <c r="C87" i="21"/>
  <c r="B87" i="21"/>
  <c r="G86" i="21"/>
  <c r="E86" i="21"/>
  <c r="D86" i="21"/>
  <c r="C86" i="21"/>
  <c r="B86" i="21"/>
  <c r="G85" i="21"/>
  <c r="E85" i="21"/>
  <c r="D85" i="21"/>
  <c r="C85" i="21"/>
  <c r="B85" i="21"/>
  <c r="G84" i="21"/>
  <c r="E84" i="21"/>
  <c r="D84" i="21"/>
  <c r="C84" i="21"/>
  <c r="B84" i="21"/>
  <c r="G83" i="21"/>
  <c r="E83" i="21"/>
  <c r="D83" i="21"/>
  <c r="C83" i="21"/>
  <c r="B83" i="21"/>
  <c r="G82" i="21"/>
  <c r="E82" i="21"/>
  <c r="D82" i="21"/>
  <c r="C82" i="21"/>
  <c r="B82" i="21"/>
  <c r="G81" i="21"/>
  <c r="E81" i="21"/>
  <c r="D81" i="21"/>
  <c r="C81" i="21"/>
  <c r="B81" i="21"/>
  <c r="G80" i="21"/>
  <c r="E80" i="21"/>
  <c r="D80" i="21"/>
  <c r="C80" i="21"/>
  <c r="B80" i="21"/>
  <c r="G79" i="21"/>
  <c r="E79" i="21"/>
  <c r="D79" i="21"/>
  <c r="C79" i="21"/>
  <c r="B79" i="21"/>
  <c r="G78" i="21"/>
  <c r="E78" i="21"/>
  <c r="D78" i="21"/>
  <c r="C78" i="21"/>
  <c r="B78" i="21"/>
  <c r="G77" i="21"/>
  <c r="E77" i="21"/>
  <c r="D77" i="21"/>
  <c r="C77" i="21"/>
  <c r="B77" i="21"/>
  <c r="G76" i="21"/>
  <c r="E76" i="21"/>
  <c r="D76" i="21"/>
  <c r="C76" i="21"/>
  <c r="B76" i="21"/>
  <c r="G75" i="21"/>
  <c r="E75" i="21"/>
  <c r="D75" i="21"/>
  <c r="C75" i="21"/>
  <c r="B75" i="21"/>
  <c r="G74" i="21"/>
  <c r="E74" i="21"/>
  <c r="D74" i="21"/>
  <c r="C74" i="21"/>
  <c r="B74" i="21"/>
  <c r="G73" i="21"/>
  <c r="E73" i="21"/>
  <c r="D73" i="21"/>
  <c r="C73" i="21"/>
  <c r="B73" i="21"/>
  <c r="G72" i="21"/>
  <c r="E72" i="21"/>
  <c r="D72" i="21"/>
  <c r="C72" i="21"/>
  <c r="B72" i="21"/>
  <c r="G71" i="21"/>
  <c r="E71" i="21"/>
  <c r="D71" i="21"/>
  <c r="C71" i="21"/>
  <c r="B71" i="21"/>
  <c r="G70" i="21"/>
  <c r="E70" i="21"/>
  <c r="D70" i="21"/>
  <c r="C70" i="21"/>
  <c r="B70" i="21"/>
  <c r="G69" i="21"/>
  <c r="E69" i="21"/>
  <c r="D69" i="21"/>
  <c r="C69" i="21"/>
  <c r="B69" i="21"/>
  <c r="G68" i="21"/>
  <c r="E68" i="21"/>
  <c r="D68" i="21"/>
  <c r="C68" i="21"/>
  <c r="B68" i="21"/>
  <c r="G67" i="21"/>
  <c r="E67" i="21"/>
  <c r="D67" i="21"/>
  <c r="C67" i="21"/>
  <c r="B67" i="21"/>
  <c r="G66" i="21"/>
  <c r="E66" i="21"/>
  <c r="D66" i="21"/>
  <c r="C66" i="21"/>
  <c r="B66" i="21"/>
  <c r="G65" i="21"/>
  <c r="E65" i="21"/>
  <c r="D65" i="21"/>
  <c r="C65" i="21"/>
  <c r="B65" i="21"/>
  <c r="G64" i="21"/>
  <c r="E64" i="21"/>
  <c r="D64" i="21"/>
  <c r="C64" i="21"/>
  <c r="B64" i="21"/>
  <c r="G63" i="21"/>
  <c r="E63" i="21"/>
  <c r="D63" i="21"/>
  <c r="C63" i="21"/>
  <c r="B63" i="21"/>
  <c r="G62" i="21"/>
  <c r="E62" i="21"/>
  <c r="D62" i="21"/>
  <c r="C62" i="21"/>
  <c r="B62" i="21"/>
  <c r="G61" i="21"/>
  <c r="E61" i="21"/>
  <c r="D61" i="21"/>
  <c r="C61" i="21"/>
  <c r="B61" i="21"/>
  <c r="G60" i="21"/>
  <c r="E60" i="21"/>
  <c r="D60" i="21"/>
  <c r="C60" i="21"/>
  <c r="B60" i="21"/>
  <c r="G59" i="21"/>
  <c r="E59" i="21"/>
  <c r="D59" i="21"/>
  <c r="C59" i="21"/>
  <c r="B59" i="21"/>
  <c r="G58" i="21"/>
  <c r="E58" i="21"/>
  <c r="D58" i="21"/>
  <c r="C58" i="21"/>
  <c r="B58" i="21"/>
  <c r="G57" i="21"/>
  <c r="E57" i="21"/>
  <c r="D57" i="21"/>
  <c r="C57" i="21"/>
  <c r="B57" i="21"/>
  <c r="G56" i="21"/>
  <c r="E56" i="21"/>
  <c r="D56" i="21"/>
  <c r="C56" i="21"/>
  <c r="B56" i="21"/>
  <c r="G55" i="21"/>
  <c r="E55" i="21"/>
  <c r="D55" i="21"/>
  <c r="C55" i="21"/>
  <c r="B55" i="21"/>
  <c r="G54" i="21"/>
  <c r="E54" i="21"/>
  <c r="D54" i="21"/>
  <c r="C54" i="21"/>
  <c r="B54" i="21"/>
  <c r="G53" i="21"/>
  <c r="E53" i="21"/>
  <c r="D53" i="21"/>
  <c r="C53" i="21"/>
  <c r="B53" i="21"/>
  <c r="G52" i="21"/>
  <c r="E52" i="21"/>
  <c r="D52" i="21"/>
  <c r="C52" i="21"/>
  <c r="B52" i="21"/>
  <c r="G51" i="21"/>
  <c r="E51" i="21"/>
  <c r="D51" i="21"/>
  <c r="C51" i="21"/>
  <c r="B51" i="21"/>
  <c r="G50" i="21"/>
  <c r="E50" i="21"/>
  <c r="D50" i="21"/>
  <c r="C50" i="21"/>
  <c r="B50" i="21"/>
  <c r="G49" i="21"/>
  <c r="E49" i="21"/>
  <c r="D49" i="21"/>
  <c r="C49" i="21"/>
  <c r="B49" i="21"/>
  <c r="G48" i="21"/>
  <c r="E48" i="21"/>
  <c r="D48" i="21"/>
  <c r="C48" i="21"/>
  <c r="B48" i="21"/>
  <c r="G47" i="21"/>
  <c r="E47" i="21"/>
  <c r="D47" i="21"/>
  <c r="C47" i="21"/>
  <c r="B47" i="21"/>
  <c r="G46" i="21"/>
  <c r="E46" i="21"/>
  <c r="D46" i="21"/>
  <c r="C46" i="21"/>
  <c r="B46" i="21"/>
  <c r="G45" i="21"/>
  <c r="E45" i="21"/>
  <c r="D45" i="21"/>
  <c r="C45" i="21"/>
  <c r="B45" i="21"/>
  <c r="G44" i="21"/>
  <c r="E44" i="21"/>
  <c r="D44" i="21"/>
  <c r="C44" i="21"/>
  <c r="B44" i="21"/>
  <c r="G43" i="21"/>
  <c r="E43" i="21"/>
  <c r="D43" i="21"/>
  <c r="C43" i="21"/>
  <c r="B43" i="21"/>
  <c r="G42" i="21"/>
  <c r="E42" i="21"/>
  <c r="D42" i="21"/>
  <c r="C42" i="21"/>
  <c r="B42" i="21"/>
  <c r="G41" i="21"/>
  <c r="E41" i="21"/>
  <c r="D41" i="21"/>
  <c r="C41" i="21"/>
  <c r="B41" i="21"/>
  <c r="G40" i="21"/>
  <c r="E40" i="21"/>
  <c r="D40" i="21"/>
  <c r="C40" i="21"/>
  <c r="B40" i="21"/>
  <c r="G39" i="21"/>
  <c r="E39" i="21"/>
  <c r="D39" i="21"/>
  <c r="C39" i="21"/>
  <c r="B39" i="21"/>
  <c r="G38" i="21"/>
  <c r="E38" i="21"/>
  <c r="D38" i="21"/>
  <c r="C38" i="21"/>
  <c r="B38" i="21"/>
  <c r="G37" i="21"/>
  <c r="E37" i="21"/>
  <c r="D37" i="21"/>
  <c r="C37" i="21"/>
  <c r="B37" i="21"/>
  <c r="G36" i="21"/>
  <c r="E36" i="21"/>
  <c r="D36" i="21"/>
  <c r="C36" i="21"/>
  <c r="B36" i="21"/>
  <c r="G35" i="21"/>
  <c r="E35" i="21"/>
  <c r="D35" i="21"/>
  <c r="C35" i="21"/>
  <c r="B35" i="21"/>
  <c r="G34" i="21"/>
  <c r="E34" i="21"/>
  <c r="D34" i="21"/>
  <c r="C34" i="21"/>
  <c r="B34" i="21"/>
  <c r="G33" i="21"/>
  <c r="E33" i="21"/>
  <c r="D33" i="21"/>
  <c r="C33" i="21"/>
  <c r="B33" i="21"/>
  <c r="G32" i="21"/>
  <c r="E32" i="21"/>
  <c r="D32" i="21"/>
  <c r="C32" i="21"/>
  <c r="B32" i="21"/>
  <c r="G31" i="21"/>
  <c r="E31" i="21"/>
  <c r="D31" i="21"/>
  <c r="C31" i="21"/>
  <c r="B31" i="21"/>
  <c r="G30" i="21"/>
  <c r="E30" i="21"/>
  <c r="D30" i="21"/>
  <c r="C30" i="21"/>
  <c r="B30" i="21"/>
  <c r="G29" i="21"/>
  <c r="E29" i="21"/>
  <c r="D29" i="21"/>
  <c r="C29" i="21"/>
  <c r="B29" i="21"/>
  <c r="G28" i="21"/>
  <c r="E28" i="21"/>
  <c r="D28" i="21"/>
  <c r="C28" i="21"/>
  <c r="B28" i="21"/>
  <c r="G27" i="21"/>
  <c r="E27" i="21"/>
  <c r="D27" i="21"/>
  <c r="C27" i="21"/>
  <c r="B27" i="21"/>
  <c r="G26" i="21"/>
  <c r="E26" i="21"/>
  <c r="D26" i="21"/>
  <c r="C26" i="21"/>
  <c r="B26" i="21"/>
  <c r="G25" i="21"/>
  <c r="E25" i="21"/>
  <c r="D25" i="21"/>
  <c r="C25" i="21"/>
  <c r="B25" i="21"/>
  <c r="G24" i="21"/>
  <c r="E24" i="21"/>
  <c r="D24" i="21"/>
  <c r="C24" i="21"/>
  <c r="B24" i="21"/>
  <c r="G23" i="21"/>
  <c r="E23" i="21"/>
  <c r="D23" i="21"/>
  <c r="C23" i="21"/>
  <c r="B23" i="21"/>
  <c r="G22" i="21"/>
  <c r="E22" i="21"/>
  <c r="D22" i="21"/>
  <c r="C22" i="21"/>
  <c r="B22" i="21"/>
  <c r="G21" i="21"/>
  <c r="E21" i="21"/>
  <c r="D21" i="21"/>
  <c r="C21" i="21"/>
  <c r="B21" i="21"/>
  <c r="G20" i="21"/>
  <c r="E20" i="21"/>
  <c r="D20" i="21"/>
  <c r="C20" i="21"/>
  <c r="B20" i="21"/>
  <c r="G19" i="21"/>
  <c r="E19" i="21"/>
  <c r="D19" i="21"/>
  <c r="C19" i="21"/>
  <c r="B19" i="21"/>
  <c r="G18" i="21"/>
  <c r="E18" i="21"/>
  <c r="D18" i="21"/>
  <c r="C18" i="21"/>
  <c r="B18" i="21"/>
  <c r="G17" i="21"/>
  <c r="E17" i="21"/>
  <c r="D17" i="21"/>
  <c r="C17" i="21"/>
  <c r="B17" i="21"/>
  <c r="G16" i="21"/>
  <c r="E16" i="21"/>
  <c r="D16" i="21"/>
  <c r="C16" i="21"/>
  <c r="B16" i="21"/>
  <c r="G15" i="21"/>
  <c r="E15" i="21"/>
  <c r="D15" i="21"/>
  <c r="C15" i="21"/>
  <c r="B15" i="21"/>
  <c r="G14" i="21"/>
  <c r="E14" i="21"/>
  <c r="D14" i="21"/>
  <c r="C14" i="21"/>
  <c r="B14" i="21"/>
  <c r="G13" i="21"/>
  <c r="E13" i="21"/>
  <c r="D13" i="21"/>
  <c r="C13" i="21"/>
  <c r="B13" i="21"/>
  <c r="G12" i="21"/>
  <c r="E12" i="21"/>
  <c r="D12" i="21"/>
  <c r="C12" i="21"/>
  <c r="B12" i="21"/>
  <c r="G11" i="21"/>
  <c r="E11" i="21"/>
  <c r="D11" i="21"/>
  <c r="C11" i="21"/>
  <c r="B11" i="21"/>
  <c r="G10" i="21"/>
  <c r="E10" i="21"/>
  <c r="D10" i="21"/>
  <c r="C10" i="21"/>
  <c r="B10" i="21"/>
  <c r="G9" i="21"/>
  <c r="E9" i="21"/>
  <c r="D9" i="21"/>
  <c r="C9" i="21"/>
  <c r="B9" i="21"/>
  <c r="G8" i="21"/>
  <c r="E8" i="21"/>
  <c r="D8" i="21"/>
  <c r="C8" i="21"/>
  <c r="B8" i="21"/>
  <c r="G7" i="21"/>
  <c r="E7" i="21"/>
  <c r="D7" i="21"/>
  <c r="C7" i="21"/>
  <c r="B7" i="21"/>
  <c r="G6" i="21"/>
  <c r="E6" i="21"/>
  <c r="D6" i="21"/>
  <c r="C6" i="21"/>
  <c r="B6" i="21"/>
  <c r="G5" i="21"/>
  <c r="E5" i="21"/>
  <c r="D5" i="21"/>
  <c r="C5" i="21"/>
  <c r="B5" i="21"/>
  <c r="F2" i="21"/>
  <c r="G3" i="20"/>
  <c r="G115" i="20"/>
  <c r="F3" i="20"/>
  <c r="F115" i="20"/>
  <c r="E3" i="20"/>
  <c r="E115" i="20"/>
  <c r="D3" i="20"/>
  <c r="D115" i="20"/>
  <c r="C3" i="20"/>
  <c r="C115" i="20"/>
  <c r="B115" i="20"/>
  <c r="G114" i="20"/>
  <c r="F114" i="20"/>
  <c r="E114" i="20"/>
  <c r="D114" i="20"/>
  <c r="C114" i="20"/>
  <c r="B114" i="20"/>
  <c r="G113" i="20"/>
  <c r="F113" i="20"/>
  <c r="E113" i="20"/>
  <c r="D113" i="20"/>
  <c r="C113" i="20"/>
  <c r="B113" i="20"/>
  <c r="G112" i="20"/>
  <c r="F112" i="20"/>
  <c r="E112" i="20"/>
  <c r="D112" i="20"/>
  <c r="C112" i="20"/>
  <c r="B112" i="20"/>
  <c r="G111" i="20"/>
  <c r="F111" i="20"/>
  <c r="E111" i="20"/>
  <c r="D111" i="20"/>
  <c r="C111" i="20"/>
  <c r="B111" i="20"/>
  <c r="G110" i="20"/>
  <c r="F110" i="20"/>
  <c r="E110" i="20"/>
  <c r="D110" i="20"/>
  <c r="C110" i="20"/>
  <c r="B110" i="20"/>
  <c r="G109" i="20"/>
  <c r="F109" i="20"/>
  <c r="E109" i="20"/>
  <c r="D109" i="20"/>
  <c r="C109" i="20"/>
  <c r="B109" i="20"/>
  <c r="G108" i="20"/>
  <c r="F108" i="20"/>
  <c r="E108" i="20"/>
  <c r="D108" i="20"/>
  <c r="C108" i="20"/>
  <c r="B108" i="20"/>
  <c r="G107" i="20"/>
  <c r="F107" i="20"/>
  <c r="E107" i="20"/>
  <c r="D107" i="20"/>
  <c r="C107" i="20"/>
  <c r="B107" i="20"/>
  <c r="G106" i="20"/>
  <c r="F106" i="20"/>
  <c r="E106" i="20"/>
  <c r="D106" i="20"/>
  <c r="C106" i="20"/>
  <c r="B106" i="20"/>
  <c r="G105" i="20"/>
  <c r="F105" i="20"/>
  <c r="E105" i="20"/>
  <c r="D105" i="20"/>
  <c r="C105" i="20"/>
  <c r="B105" i="20"/>
  <c r="G104" i="20"/>
  <c r="F104" i="20"/>
  <c r="E104" i="20"/>
  <c r="D104" i="20"/>
  <c r="C104" i="20"/>
  <c r="B104" i="20"/>
  <c r="G103" i="20"/>
  <c r="F103" i="20"/>
  <c r="E103" i="20"/>
  <c r="D103" i="20"/>
  <c r="C103" i="20"/>
  <c r="B103" i="20"/>
  <c r="G102" i="20"/>
  <c r="F102" i="20"/>
  <c r="E102" i="20"/>
  <c r="D102" i="20"/>
  <c r="C102" i="20"/>
  <c r="B102" i="20"/>
  <c r="G101" i="20"/>
  <c r="F101" i="20"/>
  <c r="E101" i="20"/>
  <c r="D101" i="20"/>
  <c r="C101" i="20"/>
  <c r="B101" i="20"/>
  <c r="G100" i="20"/>
  <c r="F100" i="20"/>
  <c r="E100" i="20"/>
  <c r="D100" i="20"/>
  <c r="C100" i="20"/>
  <c r="B100" i="20"/>
  <c r="G99" i="20"/>
  <c r="F99" i="20"/>
  <c r="E99" i="20"/>
  <c r="D99" i="20"/>
  <c r="C99" i="20"/>
  <c r="B99" i="20"/>
  <c r="G98" i="20"/>
  <c r="F98" i="20"/>
  <c r="E98" i="20"/>
  <c r="D98" i="20"/>
  <c r="C98" i="20"/>
  <c r="B98" i="20"/>
  <c r="G97" i="20"/>
  <c r="F97" i="20"/>
  <c r="E97" i="20"/>
  <c r="D97" i="20"/>
  <c r="C97" i="20"/>
  <c r="B97" i="20"/>
  <c r="R96" i="20"/>
  <c r="Q96" i="20"/>
  <c r="P96" i="20"/>
  <c r="O96" i="20"/>
  <c r="N96" i="20"/>
  <c r="M96" i="20"/>
  <c r="L96" i="20"/>
  <c r="K96" i="20"/>
  <c r="J96" i="20"/>
  <c r="I96" i="20"/>
  <c r="G96" i="20"/>
  <c r="F96" i="20"/>
  <c r="E96" i="20"/>
  <c r="D96" i="20"/>
  <c r="C96" i="20"/>
  <c r="B96" i="20"/>
  <c r="R95" i="20"/>
  <c r="Q95" i="20"/>
  <c r="P95" i="20"/>
  <c r="O95" i="20"/>
  <c r="N95" i="20"/>
  <c r="M95" i="20"/>
  <c r="L95" i="20"/>
  <c r="K95" i="20"/>
  <c r="J95" i="20"/>
  <c r="I95" i="20"/>
  <c r="G95" i="20"/>
  <c r="F95" i="20"/>
  <c r="E95" i="20"/>
  <c r="D95" i="20"/>
  <c r="C95" i="20"/>
  <c r="B95" i="20"/>
  <c r="R94" i="20"/>
  <c r="Q94" i="20"/>
  <c r="P94" i="20"/>
  <c r="O94" i="20"/>
  <c r="N94" i="20"/>
  <c r="M94" i="20"/>
  <c r="L94" i="20"/>
  <c r="K94" i="20"/>
  <c r="J94" i="20"/>
  <c r="I94" i="20"/>
  <c r="G94" i="20"/>
  <c r="F94" i="20"/>
  <c r="E94" i="20"/>
  <c r="D94" i="20"/>
  <c r="C94" i="20"/>
  <c r="B94" i="20"/>
  <c r="R93" i="20"/>
  <c r="Q93" i="20"/>
  <c r="P93" i="20"/>
  <c r="O93" i="20"/>
  <c r="N93" i="20"/>
  <c r="M93" i="20"/>
  <c r="L93" i="20"/>
  <c r="K93" i="20"/>
  <c r="J93" i="20"/>
  <c r="G93" i="20"/>
  <c r="F93" i="20"/>
  <c r="E93" i="20"/>
  <c r="D93" i="20"/>
  <c r="C93" i="20"/>
  <c r="R92" i="20"/>
  <c r="Q92" i="20"/>
  <c r="P92" i="20"/>
  <c r="O92" i="20"/>
  <c r="N92" i="20"/>
  <c r="M92" i="20"/>
  <c r="L92" i="20"/>
  <c r="K92" i="20"/>
  <c r="J92" i="20"/>
  <c r="I92" i="20"/>
  <c r="G92" i="20"/>
  <c r="F92" i="20"/>
  <c r="E92" i="20"/>
  <c r="D92" i="20"/>
  <c r="C92" i="20"/>
  <c r="B92" i="20"/>
  <c r="R91" i="20"/>
  <c r="Q91" i="20"/>
  <c r="P91" i="20"/>
  <c r="O91" i="20"/>
  <c r="N91" i="20"/>
  <c r="M91" i="20"/>
  <c r="L91" i="20"/>
  <c r="K91" i="20"/>
  <c r="J91" i="20"/>
  <c r="I91" i="20"/>
  <c r="G91" i="20"/>
  <c r="F91" i="20"/>
  <c r="E91" i="20"/>
  <c r="D91" i="20"/>
  <c r="C91" i="20"/>
  <c r="B91" i="20"/>
  <c r="R90" i="20"/>
  <c r="Q90" i="20"/>
  <c r="P90" i="20"/>
  <c r="O90" i="20"/>
  <c r="N90" i="20"/>
  <c r="M90" i="20"/>
  <c r="L90" i="20"/>
  <c r="K90" i="20"/>
  <c r="J90" i="20"/>
  <c r="I90" i="20"/>
  <c r="G90" i="20"/>
  <c r="F90" i="20"/>
  <c r="E90" i="20"/>
  <c r="D90" i="20"/>
  <c r="C90" i="20"/>
  <c r="B90" i="20"/>
  <c r="R89" i="20"/>
  <c r="Q89" i="20"/>
  <c r="P89" i="20"/>
  <c r="O89" i="20"/>
  <c r="N89" i="20"/>
  <c r="M89" i="20"/>
  <c r="L89" i="20"/>
  <c r="K89" i="20"/>
  <c r="J89" i="20"/>
  <c r="I89" i="20"/>
  <c r="G89" i="20"/>
  <c r="F89" i="20"/>
  <c r="E89" i="20"/>
  <c r="D89" i="20"/>
  <c r="C89" i="20"/>
  <c r="B89" i="20"/>
  <c r="R88" i="20"/>
  <c r="Q88" i="20"/>
  <c r="P88" i="20"/>
  <c r="O88" i="20"/>
  <c r="N88" i="20"/>
  <c r="M88" i="20"/>
  <c r="L88" i="20"/>
  <c r="K88" i="20"/>
  <c r="J88" i="20"/>
  <c r="I88" i="20"/>
  <c r="G88" i="20"/>
  <c r="F88" i="20"/>
  <c r="E88" i="20"/>
  <c r="D88" i="20"/>
  <c r="C88" i="20"/>
  <c r="B88" i="20"/>
  <c r="R87" i="20"/>
  <c r="Q87" i="20"/>
  <c r="P87" i="20"/>
  <c r="O87" i="20"/>
  <c r="N87" i="20"/>
  <c r="M87" i="20"/>
  <c r="L87" i="20"/>
  <c r="K87" i="20"/>
  <c r="J87" i="20"/>
  <c r="I87" i="20"/>
  <c r="G87" i="20"/>
  <c r="F87" i="20"/>
  <c r="E87" i="20"/>
  <c r="D87" i="20"/>
  <c r="C87" i="20"/>
  <c r="B87" i="20"/>
  <c r="R86" i="20"/>
  <c r="Q86" i="20"/>
  <c r="P86" i="20"/>
  <c r="O86" i="20"/>
  <c r="N86" i="20"/>
  <c r="M86" i="20"/>
  <c r="L86" i="20"/>
  <c r="K86" i="20"/>
  <c r="J86" i="20"/>
  <c r="I86" i="20"/>
  <c r="G86" i="20"/>
  <c r="F86" i="20"/>
  <c r="E86" i="20"/>
  <c r="D86" i="20"/>
  <c r="C86" i="20"/>
  <c r="B86" i="20"/>
  <c r="R85" i="20"/>
  <c r="Q85" i="20"/>
  <c r="P85" i="20"/>
  <c r="O85" i="20"/>
  <c r="N85" i="20"/>
  <c r="M85" i="20"/>
  <c r="L85" i="20"/>
  <c r="K85" i="20"/>
  <c r="J85" i="20"/>
  <c r="I85" i="20"/>
  <c r="G85" i="20"/>
  <c r="F85" i="20"/>
  <c r="E85" i="20"/>
  <c r="D85" i="20"/>
  <c r="C85" i="20"/>
  <c r="B85" i="20"/>
  <c r="R84" i="20"/>
  <c r="Q84" i="20"/>
  <c r="P84" i="20"/>
  <c r="O84" i="20"/>
  <c r="N84" i="20"/>
  <c r="M84" i="20"/>
  <c r="L84" i="20"/>
  <c r="K84" i="20"/>
  <c r="J84" i="20"/>
  <c r="I84" i="20"/>
  <c r="G84" i="20"/>
  <c r="F84" i="20"/>
  <c r="E84" i="20"/>
  <c r="D84" i="20"/>
  <c r="C84" i="20"/>
  <c r="B84" i="20"/>
  <c r="R83" i="20"/>
  <c r="Q83" i="20"/>
  <c r="P83" i="20"/>
  <c r="O83" i="20"/>
  <c r="N83" i="20"/>
  <c r="M83" i="20"/>
  <c r="L83" i="20"/>
  <c r="K83" i="20"/>
  <c r="J83" i="20"/>
  <c r="I83" i="20"/>
  <c r="G83" i="20"/>
  <c r="F83" i="20"/>
  <c r="E83" i="20"/>
  <c r="D83" i="20"/>
  <c r="C83" i="20"/>
  <c r="B83" i="20"/>
  <c r="R82" i="20"/>
  <c r="Q82" i="20"/>
  <c r="P82" i="20"/>
  <c r="O82" i="20"/>
  <c r="N82" i="20"/>
  <c r="M82" i="20"/>
  <c r="L82" i="20"/>
  <c r="K82" i="20"/>
  <c r="J82" i="20"/>
  <c r="I82" i="20"/>
  <c r="G82" i="20"/>
  <c r="F82" i="20"/>
  <c r="E82" i="20"/>
  <c r="D82" i="20"/>
  <c r="C82" i="20"/>
  <c r="B82" i="20"/>
  <c r="R81" i="20"/>
  <c r="Q81" i="20"/>
  <c r="P81" i="20"/>
  <c r="O81" i="20"/>
  <c r="N81" i="20"/>
  <c r="M81" i="20"/>
  <c r="L81" i="20"/>
  <c r="K81" i="20"/>
  <c r="J81" i="20"/>
  <c r="I81" i="20"/>
  <c r="G81" i="20"/>
  <c r="F81" i="20"/>
  <c r="E81" i="20"/>
  <c r="D81" i="20"/>
  <c r="C81" i="20"/>
  <c r="B81" i="20"/>
  <c r="R80" i="20"/>
  <c r="Q80" i="20"/>
  <c r="P80" i="20"/>
  <c r="O80" i="20"/>
  <c r="N80" i="20"/>
  <c r="M80" i="20"/>
  <c r="L80" i="20"/>
  <c r="K80" i="20"/>
  <c r="J80" i="20"/>
  <c r="I80" i="20"/>
  <c r="G80" i="20"/>
  <c r="F80" i="20"/>
  <c r="E80" i="20"/>
  <c r="D80" i="20"/>
  <c r="C80" i="20"/>
  <c r="B80" i="20"/>
  <c r="R79" i="20"/>
  <c r="Q79" i="20"/>
  <c r="P79" i="20"/>
  <c r="O79" i="20"/>
  <c r="N79" i="20"/>
  <c r="M79" i="20"/>
  <c r="L79" i="20"/>
  <c r="K79" i="20"/>
  <c r="J79" i="20"/>
  <c r="I79" i="20"/>
  <c r="G79" i="20"/>
  <c r="F79" i="20"/>
  <c r="E79" i="20"/>
  <c r="D79" i="20"/>
  <c r="C79" i="20"/>
  <c r="B79" i="20"/>
  <c r="R78" i="20"/>
  <c r="Q78" i="20"/>
  <c r="P78" i="20"/>
  <c r="O78" i="20"/>
  <c r="N78" i="20"/>
  <c r="M78" i="20"/>
  <c r="L78" i="20"/>
  <c r="K78" i="20"/>
  <c r="J78" i="20"/>
  <c r="I78" i="20"/>
  <c r="G78" i="20"/>
  <c r="F78" i="20"/>
  <c r="E78" i="20"/>
  <c r="D78" i="20"/>
  <c r="C78" i="20"/>
  <c r="B78" i="20"/>
  <c r="R77" i="20"/>
  <c r="Q77" i="20"/>
  <c r="P77" i="20"/>
  <c r="O77" i="20"/>
  <c r="N77" i="20"/>
  <c r="M77" i="20"/>
  <c r="L77" i="20"/>
  <c r="K77" i="20"/>
  <c r="J77" i="20"/>
  <c r="I77" i="20"/>
  <c r="G77" i="20"/>
  <c r="F77" i="20"/>
  <c r="E77" i="20"/>
  <c r="D77" i="20"/>
  <c r="C77" i="20"/>
  <c r="B77" i="20"/>
  <c r="R76" i="20"/>
  <c r="Q76" i="20"/>
  <c r="P76" i="20"/>
  <c r="O76" i="20"/>
  <c r="N76" i="20"/>
  <c r="M76" i="20"/>
  <c r="L76" i="20"/>
  <c r="K76" i="20"/>
  <c r="J76" i="20"/>
  <c r="I76" i="20"/>
  <c r="G76" i="20"/>
  <c r="F76" i="20"/>
  <c r="E76" i="20"/>
  <c r="D76" i="20"/>
  <c r="C76" i="20"/>
  <c r="B76" i="20"/>
  <c r="R75" i="20"/>
  <c r="Q75" i="20"/>
  <c r="P75" i="20"/>
  <c r="O75" i="20"/>
  <c r="N75" i="20"/>
  <c r="M75" i="20"/>
  <c r="L75" i="20"/>
  <c r="K75" i="20"/>
  <c r="J75" i="20"/>
  <c r="I75" i="20"/>
  <c r="G75" i="20"/>
  <c r="F75" i="20"/>
  <c r="E75" i="20"/>
  <c r="D75" i="20"/>
  <c r="C75" i="20"/>
  <c r="B75" i="20"/>
  <c r="R74" i="20"/>
  <c r="Q74" i="20"/>
  <c r="P74" i="20"/>
  <c r="O74" i="20"/>
  <c r="N74" i="20"/>
  <c r="M74" i="20"/>
  <c r="L74" i="20"/>
  <c r="K74" i="20"/>
  <c r="J74" i="20"/>
  <c r="I74" i="20"/>
  <c r="G74" i="20"/>
  <c r="F74" i="20"/>
  <c r="E74" i="20"/>
  <c r="D74" i="20"/>
  <c r="C74" i="20"/>
  <c r="B74" i="20"/>
  <c r="R73" i="20"/>
  <c r="Q73" i="20"/>
  <c r="P73" i="20"/>
  <c r="O73" i="20"/>
  <c r="N73" i="20"/>
  <c r="M73" i="20"/>
  <c r="L73" i="20"/>
  <c r="K73" i="20"/>
  <c r="J73" i="20"/>
  <c r="I73" i="20"/>
  <c r="G73" i="20"/>
  <c r="F73" i="20"/>
  <c r="E73" i="20"/>
  <c r="D73" i="20"/>
  <c r="C73" i="20"/>
  <c r="B73" i="20"/>
  <c r="R72" i="20"/>
  <c r="Q72" i="20"/>
  <c r="P72" i="20"/>
  <c r="O72" i="20"/>
  <c r="N72" i="20"/>
  <c r="M72" i="20"/>
  <c r="L72" i="20"/>
  <c r="K72" i="20"/>
  <c r="J72" i="20"/>
  <c r="I72" i="20"/>
  <c r="G72" i="20"/>
  <c r="F72" i="20"/>
  <c r="E72" i="20"/>
  <c r="D72" i="20"/>
  <c r="C72" i="20"/>
  <c r="B72" i="20"/>
  <c r="R71" i="20"/>
  <c r="Q71" i="20"/>
  <c r="P71" i="20"/>
  <c r="O71" i="20"/>
  <c r="N71" i="20"/>
  <c r="M71" i="20"/>
  <c r="L71" i="20"/>
  <c r="K71" i="20"/>
  <c r="J71" i="20"/>
  <c r="I71" i="20"/>
  <c r="G71" i="20"/>
  <c r="F71" i="20"/>
  <c r="E71" i="20"/>
  <c r="D71" i="20"/>
  <c r="C71" i="20"/>
  <c r="B71" i="20"/>
  <c r="R70" i="20"/>
  <c r="Q70" i="20"/>
  <c r="P70" i="20"/>
  <c r="O70" i="20"/>
  <c r="N70" i="20"/>
  <c r="M70" i="20"/>
  <c r="L70" i="20"/>
  <c r="K70" i="20"/>
  <c r="J70" i="20"/>
  <c r="I70" i="20"/>
  <c r="G70" i="20"/>
  <c r="F70" i="20"/>
  <c r="E70" i="20"/>
  <c r="D70" i="20"/>
  <c r="C70" i="20"/>
  <c r="B70" i="20"/>
  <c r="R69" i="20"/>
  <c r="Q69" i="20"/>
  <c r="P69" i="20"/>
  <c r="O69" i="20"/>
  <c r="N69" i="20"/>
  <c r="M69" i="20"/>
  <c r="L69" i="20"/>
  <c r="K69" i="20"/>
  <c r="J69" i="20"/>
  <c r="I69" i="20"/>
  <c r="G69" i="20"/>
  <c r="F69" i="20"/>
  <c r="E69" i="20"/>
  <c r="D69" i="20"/>
  <c r="C69" i="20"/>
  <c r="B69" i="20"/>
  <c r="R68" i="20"/>
  <c r="Q68" i="20"/>
  <c r="P68" i="20"/>
  <c r="O68" i="20"/>
  <c r="N68" i="20"/>
  <c r="M68" i="20"/>
  <c r="L68" i="20"/>
  <c r="K68" i="20"/>
  <c r="J68" i="20"/>
  <c r="I68" i="20"/>
  <c r="G68" i="20"/>
  <c r="F68" i="20"/>
  <c r="E68" i="20"/>
  <c r="D68" i="20"/>
  <c r="C68" i="20"/>
  <c r="B68" i="20"/>
  <c r="R67" i="20"/>
  <c r="Q67" i="20"/>
  <c r="P67" i="20"/>
  <c r="O67" i="20"/>
  <c r="N67" i="20"/>
  <c r="M67" i="20"/>
  <c r="L67" i="20"/>
  <c r="K67" i="20"/>
  <c r="J67" i="20"/>
  <c r="I67" i="20"/>
  <c r="G67" i="20"/>
  <c r="F67" i="20"/>
  <c r="E67" i="20"/>
  <c r="D67" i="20"/>
  <c r="C67" i="20"/>
  <c r="B67" i="20"/>
  <c r="R66" i="20"/>
  <c r="Q66" i="20"/>
  <c r="P66" i="20"/>
  <c r="O66" i="20"/>
  <c r="N66" i="20"/>
  <c r="M66" i="20"/>
  <c r="L66" i="20"/>
  <c r="K66" i="20"/>
  <c r="J66" i="20"/>
  <c r="I66" i="20"/>
  <c r="G66" i="20"/>
  <c r="F66" i="20"/>
  <c r="E66" i="20"/>
  <c r="D66" i="20"/>
  <c r="C66" i="20"/>
  <c r="B66" i="20"/>
  <c r="R65" i="20"/>
  <c r="Q65" i="20"/>
  <c r="P65" i="20"/>
  <c r="O65" i="20"/>
  <c r="N65" i="20"/>
  <c r="M65" i="20"/>
  <c r="L65" i="20"/>
  <c r="K65" i="20"/>
  <c r="J65" i="20"/>
  <c r="I65" i="20"/>
  <c r="G65" i="20"/>
  <c r="F65" i="20"/>
  <c r="E65" i="20"/>
  <c r="D65" i="20"/>
  <c r="C65" i="20"/>
  <c r="B65" i="20"/>
  <c r="R64" i="20"/>
  <c r="Q64" i="20"/>
  <c r="P64" i="20"/>
  <c r="O64" i="20"/>
  <c r="N64" i="20"/>
  <c r="M64" i="20"/>
  <c r="L64" i="20"/>
  <c r="K64" i="20"/>
  <c r="J64" i="20"/>
  <c r="I64" i="20"/>
  <c r="G64" i="20"/>
  <c r="F64" i="20"/>
  <c r="E64" i="20"/>
  <c r="D64" i="20"/>
  <c r="C64" i="20"/>
  <c r="B64" i="20"/>
  <c r="R63" i="20"/>
  <c r="Q63" i="20"/>
  <c r="P63" i="20"/>
  <c r="O63" i="20"/>
  <c r="N63" i="20"/>
  <c r="M63" i="20"/>
  <c r="L63" i="20"/>
  <c r="K63" i="20"/>
  <c r="J63" i="20"/>
  <c r="I63" i="20"/>
  <c r="G63" i="20"/>
  <c r="F63" i="20"/>
  <c r="E63" i="20"/>
  <c r="D63" i="20"/>
  <c r="C63" i="20"/>
  <c r="B63" i="20"/>
  <c r="R62" i="20"/>
  <c r="Q62" i="20"/>
  <c r="P62" i="20"/>
  <c r="O62" i="20"/>
  <c r="N62" i="20"/>
  <c r="M62" i="20"/>
  <c r="L62" i="20"/>
  <c r="K62" i="20"/>
  <c r="J62" i="20"/>
  <c r="I62" i="20"/>
  <c r="G62" i="20"/>
  <c r="F62" i="20"/>
  <c r="E62" i="20"/>
  <c r="D62" i="20"/>
  <c r="C62" i="20"/>
  <c r="B62" i="20"/>
  <c r="R61" i="20"/>
  <c r="Q61" i="20"/>
  <c r="P61" i="20"/>
  <c r="O61" i="20"/>
  <c r="N61" i="20"/>
  <c r="M61" i="20"/>
  <c r="L61" i="20"/>
  <c r="K61" i="20"/>
  <c r="J61" i="20"/>
  <c r="I61" i="20"/>
  <c r="G61" i="20"/>
  <c r="F61" i="20"/>
  <c r="E61" i="20"/>
  <c r="D61" i="20"/>
  <c r="C61" i="20"/>
  <c r="B61" i="20"/>
  <c r="R60" i="20"/>
  <c r="Q60" i="20"/>
  <c r="P60" i="20"/>
  <c r="O60" i="20"/>
  <c r="N60" i="20"/>
  <c r="M60" i="20"/>
  <c r="L60" i="20"/>
  <c r="K60" i="20"/>
  <c r="J60" i="20"/>
  <c r="I60" i="20"/>
  <c r="G60" i="20"/>
  <c r="F60" i="20"/>
  <c r="E60" i="20"/>
  <c r="D60" i="20"/>
  <c r="C60" i="20"/>
  <c r="B60" i="20"/>
  <c r="R59" i="20"/>
  <c r="Q59" i="20"/>
  <c r="P59" i="20"/>
  <c r="O59" i="20"/>
  <c r="N59" i="20"/>
  <c r="M59" i="20"/>
  <c r="L59" i="20"/>
  <c r="K59" i="20"/>
  <c r="J59" i="20"/>
  <c r="I59" i="20"/>
  <c r="G59" i="20"/>
  <c r="F59" i="20"/>
  <c r="E59" i="20"/>
  <c r="D59" i="20"/>
  <c r="C59" i="20"/>
  <c r="B59" i="20"/>
  <c r="R58" i="20"/>
  <c r="Q58" i="20"/>
  <c r="P58" i="20"/>
  <c r="O58" i="20"/>
  <c r="N58" i="20"/>
  <c r="M58" i="20"/>
  <c r="L58" i="20"/>
  <c r="K58" i="20"/>
  <c r="J58" i="20"/>
  <c r="I58" i="20"/>
  <c r="G58" i="20"/>
  <c r="F58" i="20"/>
  <c r="E58" i="20"/>
  <c r="D58" i="20"/>
  <c r="C58" i="20"/>
  <c r="B58" i="20"/>
  <c r="R57" i="20"/>
  <c r="Q57" i="20"/>
  <c r="P57" i="20"/>
  <c r="O57" i="20"/>
  <c r="N57" i="20"/>
  <c r="M57" i="20"/>
  <c r="L57" i="20"/>
  <c r="K57" i="20"/>
  <c r="J57" i="20"/>
  <c r="I57" i="20"/>
  <c r="G57" i="20"/>
  <c r="F57" i="20"/>
  <c r="E57" i="20"/>
  <c r="D57" i="20"/>
  <c r="C57" i="20"/>
  <c r="B57" i="20"/>
  <c r="R56" i="20"/>
  <c r="Q56" i="20"/>
  <c r="P56" i="20"/>
  <c r="O56" i="20"/>
  <c r="N56" i="20"/>
  <c r="M56" i="20"/>
  <c r="L56" i="20"/>
  <c r="K56" i="20"/>
  <c r="J56" i="20"/>
  <c r="I56" i="20"/>
  <c r="G56" i="20"/>
  <c r="F56" i="20"/>
  <c r="E56" i="20"/>
  <c r="D56" i="20"/>
  <c r="C56" i="20"/>
  <c r="B56" i="20"/>
  <c r="R55" i="20"/>
  <c r="Q55" i="20"/>
  <c r="P55" i="20"/>
  <c r="O55" i="20"/>
  <c r="N55" i="20"/>
  <c r="M55" i="20"/>
  <c r="L55" i="20"/>
  <c r="K55" i="20"/>
  <c r="J55" i="20"/>
  <c r="I55" i="20"/>
  <c r="G55" i="20"/>
  <c r="F55" i="20"/>
  <c r="E55" i="20"/>
  <c r="D55" i="20"/>
  <c r="C55" i="20"/>
  <c r="B55" i="20"/>
  <c r="R54" i="20"/>
  <c r="Q54" i="20"/>
  <c r="P54" i="20"/>
  <c r="O54" i="20"/>
  <c r="N54" i="20"/>
  <c r="M54" i="20"/>
  <c r="L54" i="20"/>
  <c r="K54" i="20"/>
  <c r="J54" i="20"/>
  <c r="I54" i="20"/>
  <c r="G54" i="20"/>
  <c r="F54" i="20"/>
  <c r="E54" i="20"/>
  <c r="D54" i="20"/>
  <c r="C54" i="20"/>
  <c r="B54" i="20"/>
  <c r="R53" i="20"/>
  <c r="Q53" i="20"/>
  <c r="P53" i="20"/>
  <c r="O53" i="20"/>
  <c r="N53" i="20"/>
  <c r="M53" i="20"/>
  <c r="L53" i="20"/>
  <c r="K53" i="20"/>
  <c r="J53" i="20"/>
  <c r="I53" i="20"/>
  <c r="G53" i="20"/>
  <c r="F53" i="20"/>
  <c r="E53" i="20"/>
  <c r="D53" i="20"/>
  <c r="C53" i="20"/>
  <c r="B53" i="20"/>
  <c r="R52" i="20"/>
  <c r="Q52" i="20"/>
  <c r="P52" i="20"/>
  <c r="O52" i="20"/>
  <c r="N52" i="20"/>
  <c r="M52" i="20"/>
  <c r="L52" i="20"/>
  <c r="K52" i="20"/>
  <c r="J52" i="20"/>
  <c r="I52" i="20"/>
  <c r="G52" i="20"/>
  <c r="F52" i="20"/>
  <c r="E52" i="20"/>
  <c r="D52" i="20"/>
  <c r="C52" i="20"/>
  <c r="B52" i="20"/>
  <c r="R51" i="20"/>
  <c r="Q51" i="20"/>
  <c r="P51" i="20"/>
  <c r="O51" i="20"/>
  <c r="N51" i="20"/>
  <c r="M51" i="20"/>
  <c r="L51" i="20"/>
  <c r="K51" i="20"/>
  <c r="J51" i="20"/>
  <c r="I51" i="20"/>
  <c r="G51" i="20"/>
  <c r="F51" i="20"/>
  <c r="E51" i="20"/>
  <c r="D51" i="20"/>
  <c r="C51" i="20"/>
  <c r="B51" i="20"/>
  <c r="R50" i="20"/>
  <c r="Q50" i="20"/>
  <c r="P50" i="20"/>
  <c r="O50" i="20"/>
  <c r="N50" i="20"/>
  <c r="M50" i="20"/>
  <c r="L50" i="20"/>
  <c r="K50" i="20"/>
  <c r="J50" i="20"/>
  <c r="I50" i="20"/>
  <c r="G50" i="20"/>
  <c r="F50" i="20"/>
  <c r="E50" i="20"/>
  <c r="D50" i="20"/>
  <c r="C50" i="20"/>
  <c r="B50" i="20"/>
  <c r="R49" i="20"/>
  <c r="Q49" i="20"/>
  <c r="P49" i="20"/>
  <c r="O49" i="20"/>
  <c r="N49" i="20"/>
  <c r="M49" i="20"/>
  <c r="L49" i="20"/>
  <c r="K49" i="20"/>
  <c r="J49" i="20"/>
  <c r="I49" i="20"/>
  <c r="G49" i="20"/>
  <c r="F49" i="20"/>
  <c r="E49" i="20"/>
  <c r="D49" i="20"/>
  <c r="C49" i="20"/>
  <c r="B49" i="20"/>
  <c r="R48" i="20"/>
  <c r="Q48" i="20"/>
  <c r="P48" i="20"/>
  <c r="O48" i="20"/>
  <c r="N48" i="20"/>
  <c r="M48" i="20"/>
  <c r="L48" i="20"/>
  <c r="K48" i="20"/>
  <c r="J48" i="20"/>
  <c r="I48" i="20"/>
  <c r="G48" i="20"/>
  <c r="F48" i="20"/>
  <c r="E48" i="20"/>
  <c r="D48" i="20"/>
  <c r="C48" i="20"/>
  <c r="B48" i="20"/>
  <c r="R47" i="20"/>
  <c r="Q47" i="20"/>
  <c r="P47" i="20"/>
  <c r="O47" i="20"/>
  <c r="N47" i="20"/>
  <c r="M47" i="20"/>
  <c r="L47" i="20"/>
  <c r="K47" i="20"/>
  <c r="J47" i="20"/>
  <c r="I47" i="20"/>
  <c r="G47" i="20"/>
  <c r="F47" i="20"/>
  <c r="E47" i="20"/>
  <c r="D47" i="20"/>
  <c r="C47" i="20"/>
  <c r="B47" i="20"/>
  <c r="R46" i="20"/>
  <c r="Q46" i="20"/>
  <c r="P46" i="20"/>
  <c r="O46" i="20"/>
  <c r="N46" i="20"/>
  <c r="M46" i="20"/>
  <c r="L46" i="20"/>
  <c r="K46" i="20"/>
  <c r="J46" i="20"/>
  <c r="I46" i="20"/>
  <c r="G46" i="20"/>
  <c r="F46" i="20"/>
  <c r="E46" i="20"/>
  <c r="D46" i="20"/>
  <c r="C46" i="20"/>
  <c r="B46" i="20"/>
  <c r="R45" i="20"/>
  <c r="Q45" i="20"/>
  <c r="P45" i="20"/>
  <c r="O45" i="20"/>
  <c r="N45" i="20"/>
  <c r="M45" i="20"/>
  <c r="L45" i="20"/>
  <c r="K45" i="20"/>
  <c r="J45" i="20"/>
  <c r="I45" i="20"/>
  <c r="G45" i="20"/>
  <c r="F45" i="20"/>
  <c r="E45" i="20"/>
  <c r="D45" i="20"/>
  <c r="C45" i="20"/>
  <c r="B45" i="20"/>
  <c r="R44" i="20"/>
  <c r="Q44" i="20"/>
  <c r="P44" i="20"/>
  <c r="O44" i="20"/>
  <c r="N44" i="20"/>
  <c r="M44" i="20"/>
  <c r="L44" i="20"/>
  <c r="K44" i="20"/>
  <c r="J44" i="20"/>
  <c r="I44" i="20"/>
  <c r="G44" i="20"/>
  <c r="F44" i="20"/>
  <c r="E44" i="20"/>
  <c r="D44" i="20"/>
  <c r="C44" i="20"/>
  <c r="B44" i="20"/>
  <c r="R43" i="20"/>
  <c r="Q43" i="20"/>
  <c r="P43" i="20"/>
  <c r="O43" i="20"/>
  <c r="N43" i="20"/>
  <c r="M43" i="20"/>
  <c r="L43" i="20"/>
  <c r="K43" i="20"/>
  <c r="J43" i="20"/>
  <c r="I43" i="20"/>
  <c r="G43" i="20"/>
  <c r="F43" i="20"/>
  <c r="E43" i="20"/>
  <c r="D43" i="20"/>
  <c r="C43" i="20"/>
  <c r="B43" i="20"/>
  <c r="R42" i="20"/>
  <c r="Q42" i="20"/>
  <c r="P42" i="20"/>
  <c r="O42" i="20"/>
  <c r="N42" i="20"/>
  <c r="M42" i="20"/>
  <c r="L42" i="20"/>
  <c r="K42" i="20"/>
  <c r="J42" i="20"/>
  <c r="I42" i="20"/>
  <c r="G42" i="20"/>
  <c r="F42" i="20"/>
  <c r="E42" i="20"/>
  <c r="D42" i="20"/>
  <c r="C42" i="20"/>
  <c r="B42" i="20"/>
  <c r="R41" i="20"/>
  <c r="Q41" i="20"/>
  <c r="P41" i="20"/>
  <c r="O41" i="20"/>
  <c r="N41" i="20"/>
  <c r="M41" i="20"/>
  <c r="L41" i="20"/>
  <c r="K41" i="20"/>
  <c r="J41" i="20"/>
  <c r="I41" i="20"/>
  <c r="G41" i="20"/>
  <c r="F41" i="20"/>
  <c r="E41" i="20"/>
  <c r="D41" i="20"/>
  <c r="C41" i="20"/>
  <c r="B41" i="20"/>
  <c r="R40" i="20"/>
  <c r="Q40" i="20"/>
  <c r="P40" i="20"/>
  <c r="O40" i="20"/>
  <c r="N40" i="20"/>
  <c r="M40" i="20"/>
  <c r="L40" i="20"/>
  <c r="K40" i="20"/>
  <c r="J40" i="20"/>
  <c r="I40" i="20"/>
  <c r="G40" i="20"/>
  <c r="F40" i="20"/>
  <c r="E40" i="20"/>
  <c r="D40" i="20"/>
  <c r="C40" i="20"/>
  <c r="B40" i="20"/>
  <c r="R39" i="20"/>
  <c r="Q39" i="20"/>
  <c r="P39" i="20"/>
  <c r="O39" i="20"/>
  <c r="N39" i="20"/>
  <c r="M39" i="20"/>
  <c r="L39" i="20"/>
  <c r="K39" i="20"/>
  <c r="J39" i="20"/>
  <c r="I39" i="20"/>
  <c r="G39" i="20"/>
  <c r="F39" i="20"/>
  <c r="E39" i="20"/>
  <c r="D39" i="20"/>
  <c r="C39" i="20"/>
  <c r="B39" i="20"/>
  <c r="R38" i="20"/>
  <c r="Q38" i="20"/>
  <c r="P38" i="20"/>
  <c r="O38" i="20"/>
  <c r="N38" i="20"/>
  <c r="M38" i="20"/>
  <c r="L38" i="20"/>
  <c r="K38" i="20"/>
  <c r="J38" i="20"/>
  <c r="I38" i="20"/>
  <c r="G38" i="20"/>
  <c r="F38" i="20"/>
  <c r="E38" i="20"/>
  <c r="D38" i="20"/>
  <c r="C38" i="20"/>
  <c r="B38" i="20"/>
  <c r="R37" i="20"/>
  <c r="Q37" i="20"/>
  <c r="P37" i="20"/>
  <c r="O37" i="20"/>
  <c r="N37" i="20"/>
  <c r="M37" i="20"/>
  <c r="L37" i="20"/>
  <c r="K37" i="20"/>
  <c r="J37" i="20"/>
  <c r="I37" i="20"/>
  <c r="G37" i="20"/>
  <c r="F37" i="20"/>
  <c r="E37" i="20"/>
  <c r="D37" i="20"/>
  <c r="C37" i="20"/>
  <c r="B37" i="20"/>
  <c r="R36" i="20"/>
  <c r="Q36" i="20"/>
  <c r="P36" i="20"/>
  <c r="O36" i="20"/>
  <c r="N36" i="20"/>
  <c r="M36" i="20"/>
  <c r="L36" i="20"/>
  <c r="K36" i="20"/>
  <c r="J36" i="20"/>
  <c r="I36" i="20"/>
  <c r="G36" i="20"/>
  <c r="F36" i="20"/>
  <c r="E36" i="20"/>
  <c r="D36" i="20"/>
  <c r="C36" i="20"/>
  <c r="B36" i="20"/>
  <c r="R35" i="20"/>
  <c r="Q35" i="20"/>
  <c r="P35" i="20"/>
  <c r="O35" i="20"/>
  <c r="N35" i="20"/>
  <c r="M35" i="20"/>
  <c r="L35" i="20"/>
  <c r="K35" i="20"/>
  <c r="J35" i="20"/>
  <c r="I35" i="20"/>
  <c r="G35" i="20"/>
  <c r="F35" i="20"/>
  <c r="E35" i="20"/>
  <c r="D35" i="20"/>
  <c r="C35" i="20"/>
  <c r="B35" i="20"/>
  <c r="R34" i="20"/>
  <c r="Q34" i="20"/>
  <c r="P34" i="20"/>
  <c r="O34" i="20"/>
  <c r="N34" i="20"/>
  <c r="M34" i="20"/>
  <c r="L34" i="20"/>
  <c r="K34" i="20"/>
  <c r="J34" i="20"/>
  <c r="I34" i="20"/>
  <c r="G34" i="20"/>
  <c r="F34" i="20"/>
  <c r="E34" i="20"/>
  <c r="D34" i="20"/>
  <c r="C34" i="20"/>
  <c r="B34" i="20"/>
  <c r="R33" i="20"/>
  <c r="Q33" i="20"/>
  <c r="P33" i="20"/>
  <c r="O33" i="20"/>
  <c r="N33" i="20"/>
  <c r="M33" i="20"/>
  <c r="L33" i="20"/>
  <c r="K33" i="20"/>
  <c r="J33" i="20"/>
  <c r="I33" i="20"/>
  <c r="G33" i="20"/>
  <c r="F33" i="20"/>
  <c r="E33" i="20"/>
  <c r="D33" i="20"/>
  <c r="C33" i="20"/>
  <c r="B33" i="20"/>
  <c r="R32" i="20"/>
  <c r="Q32" i="20"/>
  <c r="P32" i="20"/>
  <c r="O32" i="20"/>
  <c r="N32" i="20"/>
  <c r="M32" i="20"/>
  <c r="L32" i="20"/>
  <c r="K32" i="20"/>
  <c r="J32" i="20"/>
  <c r="I32" i="20"/>
  <c r="G32" i="20"/>
  <c r="F32" i="20"/>
  <c r="E32" i="20"/>
  <c r="D32" i="20"/>
  <c r="C32" i="20"/>
  <c r="B32" i="20"/>
  <c r="R31" i="20"/>
  <c r="Q31" i="20"/>
  <c r="P31" i="20"/>
  <c r="O31" i="20"/>
  <c r="N31" i="20"/>
  <c r="M31" i="20"/>
  <c r="L31" i="20"/>
  <c r="K31" i="20"/>
  <c r="J31" i="20"/>
  <c r="I31" i="20"/>
  <c r="G31" i="20"/>
  <c r="F31" i="20"/>
  <c r="E31" i="20"/>
  <c r="D31" i="20"/>
  <c r="C31" i="20"/>
  <c r="B31" i="20"/>
  <c r="R30" i="20"/>
  <c r="Q30" i="20"/>
  <c r="P30" i="20"/>
  <c r="O30" i="20"/>
  <c r="N30" i="20"/>
  <c r="M30" i="20"/>
  <c r="L30" i="20"/>
  <c r="K30" i="20"/>
  <c r="J30" i="20"/>
  <c r="I30" i="20"/>
  <c r="G30" i="20"/>
  <c r="F30" i="20"/>
  <c r="E30" i="20"/>
  <c r="D30" i="20"/>
  <c r="C30" i="20"/>
  <c r="B30" i="20"/>
  <c r="R29" i="20"/>
  <c r="Q29" i="20"/>
  <c r="P29" i="20"/>
  <c r="O29" i="20"/>
  <c r="N29" i="20"/>
  <c r="M29" i="20"/>
  <c r="L29" i="20"/>
  <c r="K29" i="20"/>
  <c r="J29" i="20"/>
  <c r="I29" i="20"/>
  <c r="G29" i="20"/>
  <c r="F29" i="20"/>
  <c r="E29" i="20"/>
  <c r="D29" i="20"/>
  <c r="C29" i="20"/>
  <c r="B29" i="20"/>
  <c r="R28" i="20"/>
  <c r="Q28" i="20"/>
  <c r="P28" i="20"/>
  <c r="O28" i="20"/>
  <c r="N28" i="20"/>
  <c r="M28" i="20"/>
  <c r="L28" i="20"/>
  <c r="K28" i="20"/>
  <c r="J28" i="20"/>
  <c r="I28" i="20"/>
  <c r="G28" i="20"/>
  <c r="F28" i="20"/>
  <c r="E28" i="20"/>
  <c r="D28" i="20"/>
  <c r="C28" i="20"/>
  <c r="B28" i="20"/>
  <c r="R27" i="20"/>
  <c r="Q27" i="20"/>
  <c r="P27" i="20"/>
  <c r="O27" i="20"/>
  <c r="N27" i="20"/>
  <c r="M27" i="20"/>
  <c r="L27" i="20"/>
  <c r="K27" i="20"/>
  <c r="J27" i="20"/>
  <c r="I27" i="20"/>
  <c r="G27" i="20"/>
  <c r="F27" i="20"/>
  <c r="E27" i="20"/>
  <c r="D27" i="20"/>
  <c r="C27" i="20"/>
  <c r="B27" i="20"/>
  <c r="R26" i="20"/>
  <c r="Q26" i="20"/>
  <c r="P26" i="20"/>
  <c r="O26" i="20"/>
  <c r="N26" i="20"/>
  <c r="M26" i="20"/>
  <c r="L26" i="20"/>
  <c r="K26" i="20"/>
  <c r="J26" i="20"/>
  <c r="I26" i="20"/>
  <c r="G26" i="20"/>
  <c r="F26" i="20"/>
  <c r="E26" i="20"/>
  <c r="D26" i="20"/>
  <c r="C26" i="20"/>
  <c r="B26" i="20"/>
  <c r="R25" i="20"/>
  <c r="Q25" i="20"/>
  <c r="P25" i="20"/>
  <c r="O25" i="20"/>
  <c r="N25" i="20"/>
  <c r="M25" i="20"/>
  <c r="L25" i="20"/>
  <c r="K25" i="20"/>
  <c r="J25" i="20"/>
  <c r="I25" i="20"/>
  <c r="G25" i="20"/>
  <c r="F25" i="20"/>
  <c r="E25" i="20"/>
  <c r="D25" i="20"/>
  <c r="C25" i="20"/>
  <c r="B25" i="20"/>
  <c r="R24" i="20"/>
  <c r="Q24" i="20"/>
  <c r="P24" i="20"/>
  <c r="O24" i="20"/>
  <c r="N24" i="20"/>
  <c r="M24" i="20"/>
  <c r="L24" i="20"/>
  <c r="K24" i="20"/>
  <c r="J24" i="20"/>
  <c r="I24" i="20"/>
  <c r="G24" i="20"/>
  <c r="F24" i="20"/>
  <c r="E24" i="20"/>
  <c r="D24" i="20"/>
  <c r="C24" i="20"/>
  <c r="B24" i="20"/>
  <c r="R23" i="20"/>
  <c r="Q23" i="20"/>
  <c r="P23" i="20"/>
  <c r="O23" i="20"/>
  <c r="N23" i="20"/>
  <c r="M23" i="20"/>
  <c r="L23" i="20"/>
  <c r="K23" i="20"/>
  <c r="J23" i="20"/>
  <c r="I23" i="20"/>
  <c r="G23" i="20"/>
  <c r="F23" i="20"/>
  <c r="E23" i="20"/>
  <c r="D23" i="20"/>
  <c r="C23" i="20"/>
  <c r="B23" i="20"/>
  <c r="R22" i="20"/>
  <c r="Q22" i="20"/>
  <c r="P22" i="20"/>
  <c r="O22" i="20"/>
  <c r="N22" i="20"/>
  <c r="M22" i="20"/>
  <c r="L22" i="20"/>
  <c r="K22" i="20"/>
  <c r="J22" i="20"/>
  <c r="I22" i="20"/>
  <c r="G22" i="20"/>
  <c r="F22" i="20"/>
  <c r="E22" i="20"/>
  <c r="D22" i="20"/>
  <c r="C22" i="20"/>
  <c r="B22" i="20"/>
  <c r="R21" i="20"/>
  <c r="Q21" i="20"/>
  <c r="P21" i="20"/>
  <c r="O21" i="20"/>
  <c r="N21" i="20"/>
  <c r="M21" i="20"/>
  <c r="L21" i="20"/>
  <c r="K21" i="20"/>
  <c r="J21" i="20"/>
  <c r="I21" i="20"/>
  <c r="G21" i="20"/>
  <c r="F21" i="20"/>
  <c r="E21" i="20"/>
  <c r="D21" i="20"/>
  <c r="C21" i="20"/>
  <c r="B21" i="20"/>
  <c r="R20" i="20"/>
  <c r="Q20" i="20"/>
  <c r="P20" i="20"/>
  <c r="O20" i="20"/>
  <c r="N20" i="20"/>
  <c r="M20" i="20"/>
  <c r="L20" i="20"/>
  <c r="K20" i="20"/>
  <c r="J20" i="20"/>
  <c r="I20" i="20"/>
  <c r="G20" i="20"/>
  <c r="F20" i="20"/>
  <c r="E20" i="20"/>
  <c r="D20" i="20"/>
  <c r="C20" i="20"/>
  <c r="B20" i="20"/>
  <c r="R19" i="20"/>
  <c r="Q19" i="20"/>
  <c r="P19" i="20"/>
  <c r="O19" i="20"/>
  <c r="N19" i="20"/>
  <c r="M19" i="20"/>
  <c r="L19" i="20"/>
  <c r="K19" i="20"/>
  <c r="J19" i="20"/>
  <c r="I19" i="20"/>
  <c r="G19" i="20"/>
  <c r="F19" i="20"/>
  <c r="E19" i="20"/>
  <c r="D19" i="20"/>
  <c r="C19" i="20"/>
  <c r="B19" i="20"/>
  <c r="R18" i="20"/>
  <c r="Q18" i="20"/>
  <c r="P18" i="20"/>
  <c r="O18" i="20"/>
  <c r="N18" i="20"/>
  <c r="M18" i="20"/>
  <c r="L18" i="20"/>
  <c r="K18" i="20"/>
  <c r="J18" i="20"/>
  <c r="I18" i="20"/>
  <c r="G18" i="20"/>
  <c r="F18" i="20"/>
  <c r="E18" i="20"/>
  <c r="D18" i="20"/>
  <c r="C18" i="20"/>
  <c r="B18" i="20"/>
  <c r="R17" i="20"/>
  <c r="Q17" i="20"/>
  <c r="P17" i="20"/>
  <c r="O17" i="20"/>
  <c r="N17" i="20"/>
  <c r="M17" i="20"/>
  <c r="L17" i="20"/>
  <c r="K17" i="20"/>
  <c r="J17" i="20"/>
  <c r="I17" i="20"/>
  <c r="G17" i="20"/>
  <c r="F17" i="20"/>
  <c r="E17" i="20"/>
  <c r="D17" i="20"/>
  <c r="C17" i="20"/>
  <c r="B17" i="20"/>
  <c r="R16" i="20"/>
  <c r="Q16" i="20"/>
  <c r="P16" i="20"/>
  <c r="O16" i="20"/>
  <c r="N16" i="20"/>
  <c r="M16" i="20"/>
  <c r="L16" i="20"/>
  <c r="K16" i="20"/>
  <c r="J16" i="20"/>
  <c r="I16" i="20"/>
  <c r="G16" i="20"/>
  <c r="F16" i="20"/>
  <c r="E16" i="20"/>
  <c r="D16" i="20"/>
  <c r="C16" i="20"/>
  <c r="B16" i="20"/>
  <c r="R15" i="20"/>
  <c r="Q15" i="20"/>
  <c r="P15" i="20"/>
  <c r="O15" i="20"/>
  <c r="N15" i="20"/>
  <c r="M15" i="20"/>
  <c r="L15" i="20"/>
  <c r="K15" i="20"/>
  <c r="J15" i="20"/>
  <c r="I15" i="20"/>
  <c r="G15" i="20"/>
  <c r="F15" i="20"/>
  <c r="E15" i="20"/>
  <c r="D15" i="20"/>
  <c r="C15" i="20"/>
  <c r="B15" i="20"/>
  <c r="R14" i="20"/>
  <c r="Q14" i="20"/>
  <c r="P14" i="20"/>
  <c r="O14" i="20"/>
  <c r="N14" i="20"/>
  <c r="M14" i="20"/>
  <c r="L14" i="20"/>
  <c r="K14" i="20"/>
  <c r="J14" i="20"/>
  <c r="I14" i="20"/>
  <c r="G14" i="20"/>
  <c r="F14" i="20"/>
  <c r="E14" i="20"/>
  <c r="D14" i="20"/>
  <c r="C14" i="20"/>
  <c r="B14" i="20"/>
  <c r="R13" i="20"/>
  <c r="Q13" i="20"/>
  <c r="P13" i="20"/>
  <c r="O13" i="20"/>
  <c r="N13" i="20"/>
  <c r="M13" i="20"/>
  <c r="L13" i="20"/>
  <c r="K13" i="20"/>
  <c r="J13" i="20"/>
  <c r="I13" i="20"/>
  <c r="G13" i="20"/>
  <c r="F13" i="20"/>
  <c r="E13" i="20"/>
  <c r="D13" i="20"/>
  <c r="C13" i="20"/>
  <c r="B13" i="20"/>
  <c r="R12" i="20"/>
  <c r="Q12" i="20"/>
  <c r="P12" i="20"/>
  <c r="O12" i="20"/>
  <c r="N12" i="20"/>
  <c r="M12" i="20"/>
  <c r="L12" i="20"/>
  <c r="K12" i="20"/>
  <c r="J12" i="20"/>
  <c r="I12" i="20"/>
  <c r="G12" i="20"/>
  <c r="F12" i="20"/>
  <c r="E12" i="20"/>
  <c r="D12" i="20"/>
  <c r="C12" i="20"/>
  <c r="B12" i="20"/>
  <c r="CT10" i="20"/>
  <c r="H3" i="20"/>
  <c r="U12" i="20"/>
  <c r="U11" i="20"/>
  <c r="U10" i="20"/>
  <c r="U9" i="20"/>
  <c r="U8" i="20"/>
  <c r="U7" i="20"/>
  <c r="U6" i="20"/>
  <c r="G98" i="19"/>
  <c r="F98" i="19"/>
  <c r="E98" i="19"/>
  <c r="D98" i="19"/>
  <c r="C98" i="19"/>
  <c r="G97" i="19"/>
  <c r="F97" i="19"/>
  <c r="E97" i="19"/>
  <c r="D97" i="19"/>
  <c r="C97" i="19"/>
  <c r="G96" i="19"/>
  <c r="F96" i="19"/>
  <c r="E96" i="19"/>
  <c r="D96" i="19"/>
  <c r="C96" i="19"/>
  <c r="G95" i="19"/>
  <c r="F95" i="19"/>
  <c r="E95" i="19"/>
  <c r="D95" i="19"/>
  <c r="C95" i="19"/>
  <c r="G94" i="19"/>
  <c r="F94" i="19"/>
  <c r="E94" i="19"/>
  <c r="D94" i="19"/>
  <c r="C94" i="19"/>
  <c r="G93" i="19"/>
  <c r="F93" i="19"/>
  <c r="E93" i="19"/>
  <c r="D93" i="19"/>
  <c r="C93" i="19"/>
  <c r="G92" i="19"/>
  <c r="F92" i="19"/>
  <c r="E92" i="19"/>
  <c r="D92" i="19"/>
  <c r="C92" i="19"/>
  <c r="G91" i="19"/>
  <c r="F91" i="19"/>
  <c r="E91" i="19"/>
  <c r="D91" i="19"/>
  <c r="C91" i="19"/>
  <c r="G90" i="19"/>
  <c r="F90" i="19"/>
  <c r="E90" i="19"/>
  <c r="D90" i="19"/>
  <c r="C90" i="19"/>
  <c r="G89" i="19"/>
  <c r="F89" i="19"/>
  <c r="E89" i="19"/>
  <c r="D89" i="19"/>
  <c r="C89" i="19"/>
  <c r="G88" i="19"/>
  <c r="F88" i="19"/>
  <c r="E88" i="19"/>
  <c r="D88" i="19"/>
  <c r="C88" i="19"/>
  <c r="G87" i="19"/>
  <c r="F87" i="19"/>
  <c r="E87" i="19"/>
  <c r="D87" i="19"/>
  <c r="C87" i="19"/>
  <c r="G86" i="19"/>
  <c r="F86" i="19"/>
  <c r="E86" i="19"/>
  <c r="D86" i="19"/>
  <c r="C86" i="19"/>
  <c r="G85" i="19"/>
  <c r="F85" i="19"/>
  <c r="E85" i="19"/>
  <c r="D85" i="19"/>
  <c r="C85" i="19"/>
  <c r="G84" i="19"/>
  <c r="F84" i="19"/>
  <c r="E84" i="19"/>
  <c r="D84" i="19"/>
  <c r="C84" i="19"/>
  <c r="G83" i="19"/>
  <c r="F83" i="19"/>
  <c r="E83" i="19"/>
  <c r="D83" i="19"/>
  <c r="C83" i="19"/>
  <c r="G82" i="19"/>
  <c r="F82" i="19"/>
  <c r="E82" i="19"/>
  <c r="D82" i="19"/>
  <c r="C82" i="19"/>
  <c r="G81" i="19"/>
  <c r="F81" i="19"/>
  <c r="E81" i="19"/>
  <c r="D81" i="19"/>
  <c r="C81" i="19"/>
  <c r="G80" i="19"/>
  <c r="F80" i="19"/>
  <c r="E80" i="19"/>
  <c r="D80" i="19"/>
  <c r="C80" i="19"/>
  <c r="G79" i="19"/>
  <c r="F79" i="19"/>
  <c r="E79" i="19"/>
  <c r="D79" i="19"/>
  <c r="C79" i="19"/>
  <c r="G78" i="19"/>
  <c r="F78" i="19"/>
  <c r="E78" i="19"/>
  <c r="D78" i="19"/>
  <c r="C78" i="19"/>
  <c r="G77" i="19"/>
  <c r="F77" i="19"/>
  <c r="E77" i="19"/>
  <c r="D77" i="19"/>
  <c r="C77" i="19"/>
  <c r="G76" i="19"/>
  <c r="F76" i="19"/>
  <c r="E76" i="19"/>
  <c r="D76" i="19"/>
  <c r="C76" i="19"/>
  <c r="G75" i="19"/>
  <c r="F75" i="19"/>
  <c r="E75" i="19"/>
  <c r="D75" i="19"/>
  <c r="C75" i="19"/>
  <c r="G74" i="19"/>
  <c r="F74" i="19"/>
  <c r="E74" i="19"/>
  <c r="D74" i="19"/>
  <c r="C74" i="19"/>
  <c r="G73" i="19"/>
  <c r="F73" i="19"/>
  <c r="E73" i="19"/>
  <c r="D73" i="19"/>
  <c r="C73" i="19"/>
  <c r="G72" i="19"/>
  <c r="F72" i="19"/>
  <c r="E72" i="19"/>
  <c r="D72" i="19"/>
  <c r="C72" i="19"/>
  <c r="G71" i="19"/>
  <c r="F71" i="19"/>
  <c r="E71" i="19"/>
  <c r="D71" i="19"/>
  <c r="C71" i="19"/>
  <c r="G70" i="19"/>
  <c r="F70" i="19"/>
  <c r="E70" i="19"/>
  <c r="D70" i="19"/>
  <c r="C70" i="19"/>
  <c r="G69" i="19"/>
  <c r="F69" i="19"/>
  <c r="E69" i="19"/>
  <c r="D69" i="19"/>
  <c r="C69" i="19"/>
  <c r="G68" i="19"/>
  <c r="F68" i="19"/>
  <c r="E68" i="19"/>
  <c r="D68" i="19"/>
  <c r="C68" i="19"/>
  <c r="G67" i="19"/>
  <c r="F67" i="19"/>
  <c r="E67" i="19"/>
  <c r="D67" i="19"/>
  <c r="C67" i="19"/>
  <c r="G66" i="19"/>
  <c r="F66" i="19"/>
  <c r="E66" i="19"/>
  <c r="D66" i="19"/>
  <c r="C66" i="19"/>
  <c r="G65" i="19"/>
  <c r="F65" i="19"/>
  <c r="E65" i="19"/>
  <c r="D65" i="19"/>
  <c r="C65" i="19"/>
  <c r="G64" i="19"/>
  <c r="F64" i="19"/>
  <c r="E64" i="19"/>
  <c r="D64" i="19"/>
  <c r="C64" i="19"/>
  <c r="G63" i="19"/>
  <c r="F63" i="19"/>
  <c r="E63" i="19"/>
  <c r="D63" i="19"/>
  <c r="C63" i="19"/>
  <c r="G62" i="19"/>
  <c r="F62" i="19"/>
  <c r="E62" i="19"/>
  <c r="D62" i="19"/>
  <c r="C62" i="19"/>
  <c r="G61" i="19"/>
  <c r="F61" i="19"/>
  <c r="E61" i="19"/>
  <c r="D61" i="19"/>
  <c r="C61" i="19"/>
  <c r="G60" i="19"/>
  <c r="F60" i="19"/>
  <c r="E60" i="19"/>
  <c r="D60" i="19"/>
  <c r="C60" i="19"/>
  <c r="G59" i="19"/>
  <c r="F59" i="19"/>
  <c r="E59" i="19"/>
  <c r="D59" i="19"/>
  <c r="C59" i="19"/>
  <c r="G58" i="19"/>
  <c r="F58" i="19"/>
  <c r="E58" i="19"/>
  <c r="D58" i="19"/>
  <c r="C58" i="19"/>
  <c r="G57" i="19"/>
  <c r="F57" i="19"/>
  <c r="E57" i="19"/>
  <c r="D57" i="19"/>
  <c r="C57" i="19"/>
  <c r="G56" i="19"/>
  <c r="F56" i="19"/>
  <c r="E56" i="19"/>
  <c r="D56" i="19"/>
  <c r="C56" i="19"/>
  <c r="G55" i="19"/>
  <c r="F55" i="19"/>
  <c r="E55" i="19"/>
  <c r="D55" i="19"/>
  <c r="C55" i="19"/>
  <c r="G54" i="19"/>
  <c r="F54" i="19"/>
  <c r="E54" i="19"/>
  <c r="D54" i="19"/>
  <c r="C54" i="19"/>
  <c r="G53" i="19"/>
  <c r="F53" i="19"/>
  <c r="E53" i="19"/>
  <c r="D53" i="19"/>
  <c r="C53" i="19"/>
  <c r="G52" i="19"/>
  <c r="F52" i="19"/>
  <c r="E52" i="19"/>
  <c r="D52" i="19"/>
  <c r="C52" i="19"/>
  <c r="G51" i="19"/>
  <c r="F51" i="19"/>
  <c r="E51" i="19"/>
  <c r="D51" i="19"/>
  <c r="C51" i="19"/>
  <c r="G50" i="19"/>
  <c r="F50" i="19"/>
  <c r="E50" i="19"/>
  <c r="D50" i="19"/>
  <c r="C50" i="19"/>
  <c r="G49" i="19"/>
  <c r="F49" i="19"/>
  <c r="E49" i="19"/>
  <c r="D49" i="19"/>
  <c r="C49" i="19"/>
  <c r="G48" i="19"/>
  <c r="F48" i="19"/>
  <c r="E48" i="19"/>
  <c r="D48" i="19"/>
  <c r="C48" i="19"/>
  <c r="G47" i="19"/>
  <c r="F47" i="19"/>
  <c r="E47" i="19"/>
  <c r="D47" i="19"/>
  <c r="C47" i="19"/>
  <c r="G46" i="19"/>
  <c r="F46" i="19"/>
  <c r="E46" i="19"/>
  <c r="D46" i="19"/>
  <c r="C46" i="19"/>
  <c r="G45" i="19"/>
  <c r="F45" i="19"/>
  <c r="E45" i="19"/>
  <c r="D45" i="19"/>
  <c r="C45" i="19"/>
  <c r="G44" i="19"/>
  <c r="F44" i="19"/>
  <c r="E44" i="19"/>
  <c r="D44" i="19"/>
  <c r="C44" i="19"/>
  <c r="G43" i="19"/>
  <c r="F43" i="19"/>
  <c r="E43" i="19"/>
  <c r="D43" i="19"/>
  <c r="C43" i="19"/>
  <c r="G42" i="19"/>
  <c r="F42" i="19"/>
  <c r="E42" i="19"/>
  <c r="D42" i="19"/>
  <c r="C42" i="19"/>
  <c r="G41" i="19"/>
  <c r="F41" i="19"/>
  <c r="E41" i="19"/>
  <c r="D41" i="19"/>
  <c r="C41" i="19"/>
  <c r="G40" i="19"/>
  <c r="F40" i="19"/>
  <c r="E40" i="19"/>
  <c r="D40" i="19"/>
  <c r="C40" i="19"/>
  <c r="G39" i="19"/>
  <c r="F39" i="19"/>
  <c r="E39" i="19"/>
  <c r="D39" i="19"/>
  <c r="C39" i="19"/>
  <c r="G38" i="19"/>
  <c r="F38" i="19"/>
  <c r="E38" i="19"/>
  <c r="D38" i="19"/>
  <c r="C38" i="19"/>
  <c r="G37" i="19"/>
  <c r="F37" i="19"/>
  <c r="E37" i="19"/>
  <c r="D37" i="19"/>
  <c r="C37" i="19"/>
  <c r="G36" i="19"/>
  <c r="F36" i="19"/>
  <c r="E36" i="19"/>
  <c r="D36" i="19"/>
  <c r="C36" i="19"/>
  <c r="G35" i="19"/>
  <c r="F35" i="19"/>
  <c r="E35" i="19"/>
  <c r="D35" i="19"/>
  <c r="C35" i="19"/>
  <c r="G34" i="19"/>
  <c r="F34" i="19"/>
  <c r="E34" i="19"/>
  <c r="D34" i="19"/>
  <c r="C34" i="19"/>
  <c r="G33" i="19"/>
  <c r="F33" i="19"/>
  <c r="E33" i="19"/>
  <c r="D33" i="19"/>
  <c r="C33" i="19"/>
  <c r="G32" i="19"/>
  <c r="F32" i="19"/>
  <c r="E32" i="19"/>
  <c r="D32" i="19"/>
  <c r="C32" i="19"/>
  <c r="G31" i="19"/>
  <c r="F31" i="19"/>
  <c r="E31" i="19"/>
  <c r="D31" i="19"/>
  <c r="C31" i="19"/>
  <c r="G30" i="19"/>
  <c r="F30" i="19"/>
  <c r="E30" i="19"/>
  <c r="D30" i="19"/>
  <c r="C30" i="19"/>
  <c r="G29" i="19"/>
  <c r="F29" i="19"/>
  <c r="E29" i="19"/>
  <c r="D29" i="19"/>
  <c r="C29" i="19"/>
  <c r="G28" i="19"/>
  <c r="F28" i="19"/>
  <c r="E28" i="19"/>
  <c r="D28" i="19"/>
  <c r="C28" i="19"/>
  <c r="G27" i="19"/>
  <c r="F27" i="19"/>
  <c r="E27" i="19"/>
  <c r="D27" i="19"/>
  <c r="C27" i="19"/>
  <c r="G26" i="19"/>
  <c r="F26" i="19"/>
  <c r="E26" i="19"/>
  <c r="D26" i="19"/>
  <c r="C26" i="19"/>
  <c r="G25" i="19"/>
  <c r="F25" i="19"/>
  <c r="E25" i="19"/>
  <c r="D25" i="19"/>
  <c r="C25" i="19"/>
  <c r="G24" i="19"/>
  <c r="F24" i="19"/>
  <c r="E24" i="19"/>
  <c r="D24" i="19"/>
  <c r="C24" i="19"/>
  <c r="G23" i="19"/>
  <c r="F23" i="19"/>
  <c r="E23" i="19"/>
  <c r="D23" i="19"/>
  <c r="C23" i="19"/>
  <c r="G22" i="19"/>
  <c r="F22" i="19"/>
  <c r="E22" i="19"/>
  <c r="D22" i="19"/>
  <c r="C22" i="19"/>
  <c r="G21" i="19"/>
  <c r="F21" i="19"/>
  <c r="E21" i="19"/>
  <c r="D21" i="19"/>
  <c r="C21" i="19"/>
  <c r="G20" i="19"/>
  <c r="F20" i="19"/>
  <c r="E20" i="19"/>
  <c r="D20" i="19"/>
  <c r="C20" i="19"/>
  <c r="G19" i="19"/>
  <c r="F19" i="19"/>
  <c r="E19" i="19"/>
  <c r="D19" i="19"/>
  <c r="C19" i="19"/>
  <c r="G18" i="19"/>
  <c r="F18" i="19"/>
  <c r="E18" i="19"/>
  <c r="D18" i="19"/>
  <c r="C18" i="19"/>
  <c r="G17" i="19"/>
  <c r="F17" i="19"/>
  <c r="E17" i="19"/>
  <c r="D17" i="19"/>
  <c r="C17" i="19"/>
  <c r="G16" i="19"/>
  <c r="F16" i="19"/>
  <c r="E16" i="19"/>
  <c r="D16" i="19"/>
  <c r="C16" i="19"/>
  <c r="G15" i="19"/>
  <c r="F15" i="19"/>
  <c r="E15" i="19"/>
  <c r="D15" i="19"/>
  <c r="C15" i="19"/>
  <c r="G14" i="19"/>
  <c r="F14" i="19"/>
  <c r="E14" i="19"/>
  <c r="D14" i="19"/>
  <c r="C14" i="19"/>
  <c r="G13" i="19"/>
  <c r="F13" i="19"/>
  <c r="E13" i="19"/>
  <c r="D13" i="19"/>
  <c r="C13" i="19"/>
  <c r="G12" i="19"/>
  <c r="F12" i="19"/>
  <c r="E12" i="19"/>
  <c r="D12" i="19"/>
  <c r="C12" i="19"/>
  <c r="G11" i="19"/>
  <c r="F11" i="19"/>
  <c r="E11" i="19"/>
  <c r="D11" i="19"/>
  <c r="C11" i="19"/>
  <c r="G10" i="19"/>
  <c r="F10" i="19"/>
  <c r="E10" i="19"/>
  <c r="D10" i="19"/>
  <c r="C10" i="19"/>
  <c r="G9" i="19"/>
  <c r="F9" i="19"/>
  <c r="E9" i="19"/>
  <c r="D9" i="19"/>
  <c r="C9" i="19"/>
  <c r="G8" i="19"/>
  <c r="F8" i="19"/>
  <c r="E8" i="19"/>
  <c r="D8" i="19"/>
  <c r="C8" i="19"/>
  <c r="H2" i="19"/>
  <c r="G107" i="12"/>
  <c r="E107" i="12"/>
  <c r="G106" i="12"/>
  <c r="E106" i="12"/>
  <c r="G105" i="12"/>
  <c r="E105" i="12"/>
  <c r="G104" i="12"/>
  <c r="E104" i="12"/>
  <c r="G103" i="12"/>
  <c r="E103" i="12"/>
  <c r="G102" i="12"/>
  <c r="E102" i="12"/>
  <c r="G101" i="12"/>
  <c r="E101" i="12"/>
  <c r="G100" i="12"/>
  <c r="E100" i="12"/>
  <c r="G99" i="12"/>
  <c r="E99" i="12"/>
  <c r="G98" i="12"/>
  <c r="E98" i="12"/>
  <c r="G97" i="12"/>
  <c r="E97" i="12"/>
  <c r="G96" i="12"/>
  <c r="E96" i="12"/>
  <c r="G95" i="12"/>
  <c r="E95" i="12"/>
  <c r="G94" i="12"/>
  <c r="E94" i="12"/>
  <c r="G93" i="12"/>
  <c r="E93" i="12"/>
  <c r="G92" i="12"/>
  <c r="E92" i="12"/>
  <c r="G91" i="12"/>
  <c r="E91" i="12"/>
  <c r="G90" i="12"/>
  <c r="E90" i="12"/>
  <c r="G89" i="12"/>
  <c r="E89" i="12"/>
  <c r="G88" i="12"/>
  <c r="E88" i="12"/>
  <c r="G87" i="12"/>
  <c r="E87" i="12"/>
  <c r="G86" i="12"/>
  <c r="E86" i="12"/>
  <c r="G85" i="12"/>
  <c r="E85" i="12"/>
  <c r="G84" i="12"/>
  <c r="E84" i="12"/>
  <c r="G83" i="12"/>
  <c r="E83" i="12"/>
  <c r="G82" i="12"/>
  <c r="E82" i="12"/>
  <c r="G81" i="12"/>
  <c r="E81" i="12"/>
  <c r="G80" i="12"/>
  <c r="E80" i="12"/>
  <c r="G79" i="12"/>
  <c r="E79" i="12"/>
  <c r="G78" i="12"/>
  <c r="E78" i="12"/>
  <c r="G77" i="12"/>
  <c r="E77" i="12"/>
  <c r="G76" i="12"/>
  <c r="E76" i="12"/>
  <c r="G75" i="12"/>
  <c r="E75" i="12"/>
  <c r="G74" i="12"/>
  <c r="E74" i="12"/>
  <c r="G73" i="12"/>
  <c r="E73" i="12"/>
  <c r="G72" i="12"/>
  <c r="E72" i="12"/>
  <c r="G71" i="12"/>
  <c r="E71" i="12"/>
  <c r="G70" i="12"/>
  <c r="E70" i="12"/>
  <c r="G69" i="12"/>
  <c r="E69" i="12"/>
  <c r="G68" i="12"/>
  <c r="E68" i="12"/>
  <c r="G67" i="12"/>
  <c r="E67" i="12"/>
  <c r="G66" i="12"/>
  <c r="E66" i="12"/>
  <c r="G65" i="12"/>
  <c r="E65" i="12"/>
  <c r="G64" i="12"/>
  <c r="E64" i="12"/>
  <c r="G63" i="12"/>
  <c r="E63" i="12"/>
  <c r="G62" i="12"/>
  <c r="E62" i="12"/>
  <c r="G61" i="12"/>
  <c r="E61" i="12"/>
  <c r="G60" i="12"/>
  <c r="E60" i="12"/>
  <c r="G59" i="12"/>
  <c r="E59" i="12"/>
  <c r="G58" i="12"/>
  <c r="E58" i="12"/>
  <c r="G57" i="12"/>
  <c r="E57" i="12"/>
  <c r="G56" i="12"/>
  <c r="E56" i="12"/>
  <c r="G55" i="12"/>
  <c r="E55" i="12"/>
  <c r="G54" i="12"/>
  <c r="E54" i="12"/>
  <c r="G53" i="12"/>
  <c r="E53" i="12"/>
  <c r="G52" i="12"/>
  <c r="E52" i="12"/>
  <c r="G51" i="12"/>
  <c r="E51" i="12"/>
  <c r="G50" i="12"/>
  <c r="E50" i="12"/>
  <c r="G49" i="12"/>
  <c r="E49" i="12"/>
  <c r="G48" i="12"/>
  <c r="E48" i="12"/>
  <c r="G47" i="12"/>
  <c r="E47" i="12"/>
  <c r="G46" i="12"/>
  <c r="E46" i="12"/>
  <c r="G45" i="12"/>
  <c r="E45" i="12"/>
  <c r="G44" i="12"/>
  <c r="E44" i="12"/>
  <c r="G43" i="12"/>
  <c r="E43" i="12"/>
  <c r="G42" i="12"/>
  <c r="E42" i="12"/>
  <c r="G41" i="12"/>
  <c r="E41" i="12"/>
  <c r="G40" i="12"/>
  <c r="E40" i="12"/>
  <c r="G39" i="12"/>
  <c r="E39" i="12"/>
  <c r="G38" i="12"/>
  <c r="E38" i="12"/>
  <c r="G37" i="12"/>
  <c r="E37" i="12"/>
  <c r="G36" i="12"/>
  <c r="E36" i="12"/>
  <c r="G35" i="12"/>
  <c r="E35" i="12"/>
  <c r="G34" i="12"/>
  <c r="E34" i="12"/>
  <c r="G33" i="12"/>
  <c r="E33" i="12"/>
  <c r="G32" i="12"/>
  <c r="E32" i="12"/>
  <c r="G31" i="12"/>
  <c r="E31" i="12"/>
  <c r="G30" i="12"/>
  <c r="E30" i="12"/>
  <c r="G29" i="12"/>
  <c r="E29" i="12"/>
  <c r="G28" i="12"/>
  <c r="E28" i="12"/>
  <c r="G27" i="12"/>
  <c r="E27" i="12"/>
  <c r="G26" i="12"/>
  <c r="E26" i="12"/>
  <c r="G25" i="12"/>
  <c r="E25" i="12"/>
  <c r="G24" i="12"/>
  <c r="E24" i="12"/>
  <c r="G23" i="12"/>
  <c r="E23" i="12"/>
  <c r="G22" i="12"/>
  <c r="E22" i="12"/>
  <c r="G21" i="12"/>
  <c r="E21" i="12"/>
  <c r="G20" i="12"/>
  <c r="E20" i="12"/>
  <c r="G19" i="12"/>
  <c r="E19" i="12"/>
  <c r="G18" i="12"/>
  <c r="E18" i="12"/>
  <c r="G17" i="12"/>
  <c r="E17" i="12"/>
  <c r="G16" i="12"/>
  <c r="E16" i="12"/>
  <c r="G15" i="12"/>
  <c r="E15" i="12"/>
  <c r="G14" i="12"/>
  <c r="E14" i="12"/>
  <c r="G13" i="12"/>
  <c r="E13" i="12"/>
  <c r="G12" i="12"/>
  <c r="E12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G4" i="12"/>
  <c r="E4" i="12"/>
  <c r="K3" i="20"/>
  <c r="L3" i="20"/>
  <c r="M3" i="20"/>
  <c r="N3" i="20"/>
  <c r="O3" i="20"/>
  <c r="P3" i="20"/>
  <c r="CO99" i="22"/>
  <c r="CN99" i="22"/>
  <c r="CT98" i="22"/>
  <c r="CS98" i="22"/>
  <c r="CR98" i="22"/>
  <c r="CQ98" i="22"/>
  <c r="CP98" i="22"/>
  <c r="X62" i="22"/>
  <c r="Y62" i="22"/>
  <c r="Z62" i="22"/>
  <c r="AA62" i="22"/>
  <c r="AB62" i="22"/>
  <c r="AC62" i="22"/>
  <c r="AD62" i="22"/>
  <c r="AE62" i="22"/>
  <c r="AF62" i="22"/>
  <c r="AG62" i="22"/>
  <c r="AH62" i="22"/>
  <c r="AI62" i="22"/>
  <c r="AJ62" i="22"/>
  <c r="AK62" i="22"/>
  <c r="AL62" i="22"/>
  <c r="AM62" i="22"/>
  <c r="AN62" i="22"/>
  <c r="AO62" i="22"/>
  <c r="AP62" i="22"/>
  <c r="AQ62" i="22"/>
  <c r="AR62" i="22"/>
  <c r="AS62" i="22"/>
  <c r="AT62" i="22"/>
  <c r="AU62" i="22"/>
  <c r="AV62" i="22"/>
  <c r="AW62" i="22"/>
  <c r="AX62" i="22"/>
  <c r="AY62" i="22"/>
  <c r="AZ62" i="22"/>
  <c r="BA62" i="22"/>
  <c r="BB62" i="22"/>
  <c r="BC62" i="22"/>
  <c r="BD62" i="22"/>
  <c r="BE62" i="22"/>
  <c r="BF62" i="22"/>
  <c r="BG62" i="22"/>
  <c r="BH62" i="22"/>
  <c r="BI62" i="22"/>
  <c r="BJ62" i="22"/>
  <c r="BK62" i="22"/>
  <c r="BL62" i="22"/>
  <c r="BM62" i="22"/>
  <c r="BN62" i="22"/>
  <c r="BO62" i="22"/>
  <c r="BP62" i="22"/>
  <c r="BQ62" i="22"/>
  <c r="BR62" i="22"/>
  <c r="BS62" i="22"/>
  <c r="BT62" i="22"/>
  <c r="BU62" i="22"/>
  <c r="BV62" i="22"/>
  <c r="BW62" i="22"/>
  <c r="BX62" i="22"/>
  <c r="BY62" i="22"/>
  <c r="BZ62" i="22"/>
  <c r="CA62" i="22"/>
  <c r="CB62" i="22"/>
  <c r="CC62" i="22"/>
  <c r="CD62" i="22"/>
  <c r="CE62" i="22"/>
  <c r="X61" i="22"/>
  <c r="BQ59" i="22"/>
  <c r="BO59" i="22"/>
  <c r="BJ59" i="22"/>
  <c r="BA59" i="22"/>
  <c r="AV59" i="22"/>
  <c r="AO59" i="22"/>
  <c r="X59" i="22"/>
  <c r="AC56" i="22"/>
  <c r="AB56" i="22"/>
  <c r="AA56" i="22"/>
  <c r="Z56" i="22"/>
  <c r="Y56" i="22"/>
  <c r="W56" i="22"/>
  <c r="X54" i="22"/>
  <c r="V47" i="22"/>
  <c r="V46" i="22"/>
  <c r="V45" i="22"/>
  <c r="V44" i="22"/>
  <c r="V43" i="22"/>
  <c r="AR42" i="22"/>
  <c r="AP42" i="22"/>
  <c r="AO42" i="22"/>
  <c r="AM42" i="22"/>
  <c r="AL42" i="22"/>
  <c r="AJ42" i="22"/>
  <c r="AI42" i="22"/>
  <c r="AG42" i="22"/>
  <c r="AF42" i="22"/>
  <c r="AD42" i="22"/>
  <c r="AC42" i="22"/>
  <c r="AA42" i="22"/>
  <c r="Z42" i="22"/>
  <c r="X42" i="22"/>
  <c r="W42" i="22"/>
  <c r="V11" i="22"/>
  <c r="U89" i="21"/>
  <c r="U88" i="21"/>
  <c r="U87" i="21"/>
  <c r="U86" i="21"/>
  <c r="U85" i="21"/>
  <c r="U84" i="21"/>
  <c r="U83" i="21"/>
  <c r="U82" i="21"/>
  <c r="U81" i="21"/>
  <c r="U80" i="21"/>
  <c r="U79" i="21"/>
  <c r="U78" i="21"/>
  <c r="U77" i="21"/>
  <c r="U76" i="21"/>
  <c r="U75" i="21"/>
  <c r="U74" i="21"/>
  <c r="U73" i="21"/>
  <c r="U72" i="21"/>
  <c r="U71" i="21"/>
  <c r="U70" i="21"/>
  <c r="U69" i="21"/>
  <c r="U68" i="21"/>
  <c r="U67" i="21"/>
  <c r="U66" i="21"/>
  <c r="U65" i="21"/>
  <c r="U64" i="21"/>
  <c r="U63" i="21"/>
  <c r="U62" i="21"/>
  <c r="U61" i="21"/>
  <c r="U60" i="21"/>
  <c r="U59" i="21"/>
  <c r="U58" i="21"/>
  <c r="U57" i="21"/>
  <c r="U56" i="21"/>
  <c r="U55" i="21"/>
  <c r="U54" i="21"/>
  <c r="U53" i="21"/>
  <c r="U52" i="21"/>
  <c r="U51" i="21"/>
  <c r="U50" i="21"/>
  <c r="U49" i="21"/>
  <c r="U48" i="21"/>
  <c r="U47" i="21"/>
  <c r="U46" i="21"/>
  <c r="U45" i="21"/>
  <c r="U44" i="21"/>
  <c r="U43" i="21"/>
  <c r="U42" i="21"/>
  <c r="U41" i="21"/>
  <c r="U40" i="21"/>
  <c r="U39" i="21"/>
  <c r="U38" i="21"/>
  <c r="U37" i="21"/>
  <c r="U36" i="21"/>
  <c r="U35" i="21"/>
  <c r="U3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9" i="21"/>
  <c r="U8" i="21"/>
  <c r="U7" i="21"/>
  <c r="U6" i="21"/>
  <c r="U5" i="21"/>
  <c r="P1" i="21"/>
  <c r="N1" i="21"/>
  <c r="O1" i="21"/>
  <c r="M1" i="21"/>
  <c r="CS98" i="20"/>
  <c r="CR98" i="20"/>
  <c r="CQ98" i="20"/>
  <c r="CP98" i="20"/>
  <c r="CO98" i="20"/>
  <c r="CN98" i="20"/>
  <c r="CM98" i="20"/>
  <c r="CL98" i="20"/>
  <c r="CK98" i="20"/>
  <c r="S96" i="20"/>
  <c r="S95" i="20"/>
  <c r="S93" i="20"/>
  <c r="S92" i="20"/>
  <c r="S91" i="20"/>
  <c r="S90" i="20"/>
  <c r="S88" i="20"/>
  <c r="S87" i="20"/>
  <c r="S86" i="20"/>
  <c r="S85" i="20"/>
  <c r="S84" i="20"/>
  <c r="S83" i="20"/>
  <c r="S82" i="20"/>
  <c r="S81" i="20"/>
  <c r="S80" i="20"/>
  <c r="S79" i="20"/>
  <c r="S78" i="20"/>
  <c r="S77" i="20"/>
  <c r="S76" i="20"/>
  <c r="S75" i="20"/>
  <c r="S74" i="20"/>
  <c r="S72" i="20"/>
  <c r="S71" i="20"/>
  <c r="S70" i="20"/>
  <c r="S69" i="20"/>
  <c r="S68" i="20"/>
  <c r="S67" i="20"/>
  <c r="S66" i="20"/>
  <c r="S65" i="20"/>
  <c r="S64" i="20"/>
  <c r="S63" i="20"/>
  <c r="S61" i="20"/>
  <c r="S60" i="20"/>
  <c r="S59" i="20"/>
  <c r="S58" i="20"/>
  <c r="S57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AR56" i="20"/>
  <c r="AS56" i="20"/>
  <c r="AT56" i="20"/>
  <c r="AU56" i="20"/>
  <c r="AV56" i="20"/>
  <c r="AW56" i="20"/>
  <c r="AX56" i="20"/>
  <c r="AY56" i="20"/>
  <c r="AZ56" i="20"/>
  <c r="BA56" i="20"/>
  <c r="BB56" i="20"/>
  <c r="BC56" i="20"/>
  <c r="BD56" i="20"/>
  <c r="BE56" i="20"/>
  <c r="BF56" i="20"/>
  <c r="BG56" i="20"/>
  <c r="BH56" i="20"/>
  <c r="BI56" i="20"/>
  <c r="BJ56" i="20"/>
  <c r="BK56" i="20"/>
  <c r="BL56" i="20"/>
  <c r="BM56" i="20"/>
  <c r="BN56" i="20"/>
  <c r="BO56" i="20"/>
  <c r="BP56" i="20"/>
  <c r="BQ56" i="20"/>
  <c r="BR56" i="20"/>
  <c r="BS56" i="20"/>
  <c r="BT56" i="20"/>
  <c r="BU56" i="20"/>
  <c r="BV56" i="20"/>
  <c r="S56" i="20"/>
  <c r="W55" i="20"/>
  <c r="W53" i="20"/>
  <c r="S53" i="20"/>
  <c r="AB50" i="20"/>
  <c r="AA50" i="20"/>
  <c r="Z50" i="20"/>
  <c r="Y50" i="20"/>
  <c r="X50" i="20"/>
  <c r="W50" i="20"/>
  <c r="V50" i="20"/>
  <c r="S50" i="20"/>
  <c r="S49" i="20"/>
  <c r="S48" i="20"/>
  <c r="S46" i="20"/>
  <c r="U45" i="20"/>
  <c r="S45" i="20"/>
  <c r="U44" i="20"/>
  <c r="S44" i="20"/>
  <c r="U42" i="20"/>
  <c r="S42" i="20"/>
  <c r="U41" i="20"/>
  <c r="S41" i="20"/>
  <c r="U40" i="20"/>
  <c r="S40" i="20"/>
  <c r="AQ38" i="20"/>
  <c r="AO38" i="20"/>
  <c r="AN38" i="20"/>
  <c r="AL38" i="20"/>
  <c r="AK38" i="20"/>
  <c r="AI38" i="20"/>
  <c r="AH38" i="20"/>
  <c r="AF38" i="20"/>
  <c r="AE38" i="20"/>
  <c r="AC38" i="20"/>
  <c r="AB38" i="20"/>
  <c r="Z38" i="20"/>
  <c r="Y38" i="20"/>
  <c r="W38" i="20"/>
  <c r="V38" i="20"/>
  <c r="S38" i="20"/>
  <c r="S37" i="20"/>
  <c r="S36" i="20"/>
  <c r="S35" i="20"/>
  <c r="S34" i="20"/>
  <c r="S33" i="20"/>
  <c r="S32" i="20"/>
  <c r="S31" i="20"/>
  <c r="S30" i="20"/>
  <c r="S29" i="20"/>
  <c r="S21" i="20"/>
  <c r="S20" i="20"/>
  <c r="U19" i="20"/>
  <c r="S19" i="20"/>
  <c r="U17" i="20"/>
  <c r="S17" i="20"/>
  <c r="U13" i="20"/>
  <c r="S13" i="20"/>
  <c r="U39" i="20"/>
  <c r="S39" i="20"/>
  <c r="U43" i="20"/>
  <c r="S43" i="20"/>
  <c r="P37" i="16"/>
  <c r="N37" i="16"/>
  <c r="G17" i="16"/>
  <c r="H9" i="6"/>
  <c r="H8" i="6"/>
  <c r="H7" i="6"/>
  <c r="H6" i="6"/>
  <c r="H5" i="6"/>
  <c r="H4" i="6"/>
  <c r="O14" i="13"/>
  <c r="O13" i="13"/>
  <c r="O12" i="13"/>
  <c r="O11" i="13"/>
  <c r="A7" i="13"/>
  <c r="A6" i="13"/>
  <c r="A5" i="13"/>
  <c r="A4" i="13"/>
  <c r="G7" i="5"/>
  <c r="A7" i="5"/>
  <c r="G6" i="5"/>
  <c r="A6" i="5"/>
  <c r="G5" i="5"/>
  <c r="A5" i="5"/>
  <c r="G4" i="5"/>
  <c r="A4" i="5"/>
  <c r="H31" i="20"/>
  <c r="H84" i="20"/>
  <c r="H80" i="20"/>
  <c r="H95" i="20"/>
  <c r="H13" i="20"/>
  <c r="H72" i="20"/>
  <c r="H106" i="20"/>
  <c r="H109" i="20"/>
  <c r="H113" i="20"/>
  <c r="H78" i="20"/>
  <c r="H107" i="20"/>
  <c r="H30" i="20"/>
  <c r="H97" i="20"/>
  <c r="H99" i="20"/>
  <c r="H102" i="20"/>
  <c r="H104" i="20"/>
  <c r="H111" i="20"/>
  <c r="H115" i="20"/>
  <c r="H17" i="20"/>
  <c r="H37" i="20"/>
  <c r="H45" i="20"/>
  <c r="H47" i="20"/>
  <c r="H61" i="20"/>
  <c r="H96" i="20"/>
  <c r="H98" i="20"/>
  <c r="H100" i="20"/>
  <c r="H101" i="20"/>
  <c r="H110" i="20"/>
  <c r="H114" i="20"/>
  <c r="H23" i="20"/>
  <c r="H33" i="20"/>
  <c r="H65" i="20"/>
  <c r="H67" i="20"/>
  <c r="H71" i="20"/>
  <c r="H103" i="20"/>
  <c r="H105" i="20"/>
  <c r="H108" i="20"/>
  <c r="H112" i="20"/>
  <c r="H20" i="20"/>
  <c r="H44" i="20"/>
  <c r="H94" i="20"/>
  <c r="H58" i="20"/>
  <c r="H77" i="20"/>
  <c r="H28" i="20"/>
  <c r="H52" i="20"/>
  <c r="H74" i="20"/>
  <c r="S54" i="22"/>
  <c r="S47" i="22"/>
  <c r="S19" i="22"/>
  <c r="V12" i="21"/>
  <c r="V58" i="21"/>
  <c r="J34" i="21"/>
  <c r="V40" i="21"/>
  <c r="J30" i="21"/>
  <c r="V6" i="21"/>
  <c r="J103" i="21"/>
  <c r="V71" i="21"/>
  <c r="J47" i="21"/>
  <c r="V84" i="21"/>
  <c r="J12" i="21"/>
  <c r="V65" i="21"/>
  <c r="V13" i="21"/>
  <c r="V30" i="21"/>
  <c r="J71" i="21"/>
  <c r="S94" i="20"/>
  <c r="S73" i="20"/>
  <c r="S62" i="20"/>
  <c r="S89" i="20"/>
  <c r="V47" i="21"/>
  <c r="V34" i="21"/>
  <c r="J40" i="21"/>
  <c r="J58" i="21"/>
  <c r="J84" i="21"/>
  <c r="J6" i="21"/>
  <c r="J13" i="21"/>
  <c r="J65" i="21"/>
  <c r="H79" i="20"/>
  <c r="H51" i="20"/>
  <c r="H83" i="20"/>
  <c r="H19" i="20"/>
  <c r="H15" i="20"/>
  <c r="H63" i="20"/>
  <c r="H27" i="20"/>
  <c r="H59" i="20"/>
  <c r="D10" i="20"/>
  <c r="AH8" i="20"/>
  <c r="AD8" i="20"/>
  <c r="Z8" i="20"/>
  <c r="V8" i="20"/>
  <c r="D7" i="20"/>
  <c r="AG8" i="20"/>
  <c r="AC8" i="20"/>
  <c r="Y8" i="20"/>
  <c r="T8" i="20"/>
  <c r="D5" i="20"/>
  <c r="D11" i="20"/>
  <c r="D9" i="20"/>
  <c r="AF8" i="20"/>
  <c r="AF41" i="20"/>
  <c r="AB8" i="20"/>
  <c r="X8" i="20"/>
  <c r="AD41" i="20"/>
  <c r="D8" i="20"/>
  <c r="AI8" i="20"/>
  <c r="AL41" i="20"/>
  <c r="AE8" i="20"/>
  <c r="AA8" i="20"/>
  <c r="AP41" i="20"/>
  <c r="W8" i="20"/>
  <c r="D6" i="20"/>
  <c r="B11" i="20"/>
  <c r="B9" i="20"/>
  <c r="B7" i="20"/>
  <c r="AF6" i="20"/>
  <c r="AB6" i="20"/>
  <c r="X6" i="20"/>
  <c r="AI6" i="20"/>
  <c r="AE6" i="20"/>
  <c r="AA6" i="20"/>
  <c r="W6" i="20"/>
  <c r="B6" i="20"/>
  <c r="H12" i="20"/>
  <c r="B10" i="20"/>
  <c r="B8" i="20"/>
  <c r="AH6" i="20"/>
  <c r="AD6" i="20"/>
  <c r="Z6" i="20"/>
  <c r="V6" i="20"/>
  <c r="AG6" i="20"/>
  <c r="AC6" i="20"/>
  <c r="Y6" i="20"/>
  <c r="T6" i="20"/>
  <c r="B5" i="20"/>
  <c r="AH9" i="20"/>
  <c r="AD9" i="20"/>
  <c r="Z9" i="20"/>
  <c r="V9" i="20"/>
  <c r="E10" i="20"/>
  <c r="AG9" i="20"/>
  <c r="AC9" i="20"/>
  <c r="Y9" i="20"/>
  <c r="T9" i="20"/>
  <c r="E8" i="20"/>
  <c r="E5" i="20"/>
  <c r="AF9" i="20"/>
  <c r="AB9" i="20"/>
  <c r="X9" i="20"/>
  <c r="E11" i="20"/>
  <c r="AI9" i="20"/>
  <c r="AE9" i="20"/>
  <c r="AC42" i="20"/>
  <c r="AA9" i="20"/>
  <c r="W9" i="20"/>
  <c r="AA42" i="20"/>
  <c r="E9" i="20"/>
  <c r="E7" i="20"/>
  <c r="E6" i="20"/>
  <c r="H16" i="20"/>
  <c r="H60" i="20"/>
  <c r="H36" i="20"/>
  <c r="H56" i="20"/>
  <c r="H39" i="20"/>
  <c r="H89" i="20"/>
  <c r="H55" i="20"/>
  <c r="H64" i="20"/>
  <c r="H24" i="20"/>
  <c r="H35" i="20"/>
  <c r="H75" i="20"/>
  <c r="H68" i="20"/>
  <c r="H48" i="20"/>
  <c r="H32" i="20"/>
  <c r="H40" i="20"/>
  <c r="H92" i="20"/>
  <c r="H86" i="20"/>
  <c r="H76" i="20"/>
  <c r="J100" i="21"/>
  <c r="AH10" i="20"/>
  <c r="AD10" i="20"/>
  <c r="Z10" i="20"/>
  <c r="V10" i="20"/>
  <c r="F9" i="20"/>
  <c r="F7" i="20"/>
  <c r="AG10" i="20"/>
  <c r="AC10" i="20"/>
  <c r="Y10" i="20"/>
  <c r="T10" i="20"/>
  <c r="Y4" i="20"/>
  <c r="F11" i="20"/>
  <c r="AF10" i="20"/>
  <c r="AB10" i="20"/>
  <c r="AM43" i="20"/>
  <c r="X10" i="20"/>
  <c r="F10" i="20"/>
  <c r="F8" i="20"/>
  <c r="AI10" i="20"/>
  <c r="AL43" i="20"/>
  <c r="AE10" i="20"/>
  <c r="AA10" i="20"/>
  <c r="AP43" i="20"/>
  <c r="W10" i="20"/>
  <c r="F6" i="20"/>
  <c r="F5" i="20"/>
  <c r="AH11" i="20"/>
  <c r="AD11" i="20"/>
  <c r="Z11" i="20"/>
  <c r="V11" i="20"/>
  <c r="AG11" i="20"/>
  <c r="AC11" i="20"/>
  <c r="Y11" i="20"/>
  <c r="T11" i="20"/>
  <c r="G10" i="20"/>
  <c r="G8" i="20"/>
  <c r="G5" i="20"/>
  <c r="AF11" i="20"/>
  <c r="AB11" i="20"/>
  <c r="X11" i="20"/>
  <c r="AI11" i="20"/>
  <c r="AE11" i="20"/>
  <c r="AA11" i="20"/>
  <c r="W11" i="20"/>
  <c r="G11" i="20"/>
  <c r="G9" i="20"/>
  <c r="G7" i="20"/>
  <c r="G6" i="20"/>
  <c r="AH7" i="20"/>
  <c r="AD7" i="20"/>
  <c r="Z7" i="20"/>
  <c r="V7" i="20"/>
  <c r="C10" i="20"/>
  <c r="C8" i="20"/>
  <c r="AG7" i="20"/>
  <c r="AC7" i="20"/>
  <c r="Y7" i="20"/>
  <c r="T7" i="20"/>
  <c r="C5" i="20"/>
  <c r="AF7" i="20"/>
  <c r="AB7" i="20"/>
  <c r="X7" i="20"/>
  <c r="C11" i="20"/>
  <c r="C9" i="20"/>
  <c r="AI7" i="20"/>
  <c r="AE7" i="20"/>
  <c r="AA7" i="20"/>
  <c r="W7" i="20"/>
  <c r="C7" i="20"/>
  <c r="C6" i="20"/>
  <c r="H69" i="20"/>
  <c r="H53" i="20"/>
  <c r="H90" i="20"/>
  <c r="H57" i="20"/>
  <c r="H18" i="20"/>
  <c r="H49" i="20"/>
  <c r="H43" i="20"/>
  <c r="H29" i="20"/>
  <c r="H26" i="20"/>
  <c r="H38" i="20"/>
  <c r="H73" i="20"/>
  <c r="H88" i="20"/>
  <c r="H87" i="20"/>
  <c r="H50" i="20"/>
  <c r="H22" i="20"/>
  <c r="H93" i="20"/>
  <c r="H21" i="20"/>
  <c r="H46" i="20"/>
  <c r="H62" i="20"/>
  <c r="H42" i="20"/>
  <c r="H70" i="20"/>
  <c r="H34" i="20"/>
  <c r="H85" i="20"/>
  <c r="H81" i="20"/>
  <c r="H54" i="20"/>
  <c r="H14" i="20"/>
  <c r="H41" i="20"/>
  <c r="H66" i="20"/>
  <c r="H25" i="20"/>
  <c r="H82" i="20"/>
  <c r="H91" i="20"/>
  <c r="F99" i="4"/>
  <c r="F33" i="4"/>
  <c r="F70" i="4"/>
  <c r="F83" i="4"/>
  <c r="F29" i="4"/>
  <c r="F5" i="4"/>
  <c r="F11" i="4"/>
  <c r="F39" i="4"/>
  <c r="F57" i="4"/>
  <c r="F102" i="4"/>
  <c r="F12" i="4"/>
  <c r="F46" i="4"/>
  <c r="F64" i="4"/>
  <c r="AP44" i="20"/>
  <c r="AL44" i="20"/>
  <c r="AP40" i="20"/>
  <c r="AA41" i="20"/>
  <c r="AC41" i="20"/>
  <c r="AM41" i="20"/>
  <c r="AM44" i="20"/>
  <c r="AG39" i="20"/>
  <c r="AI39" i="20"/>
  <c r="AG41" i="20"/>
  <c r="AA40" i="20"/>
  <c r="AC40" i="20"/>
  <c r="AD40" i="20"/>
  <c r="AF40" i="20"/>
  <c r="AA44" i="20"/>
  <c r="AC44" i="20"/>
  <c r="AD44" i="20"/>
  <c r="AF44" i="20"/>
  <c r="AC43" i="20"/>
  <c r="AD43" i="20"/>
  <c r="AF43" i="20"/>
  <c r="AP42" i="20"/>
  <c r="AL42" i="20"/>
  <c r="AF42" i="20"/>
  <c r="J95" i="21"/>
  <c r="H11" i="20"/>
  <c r="H9" i="20"/>
  <c r="H7" i="20"/>
  <c r="AB12" i="20"/>
  <c r="AA12" i="20"/>
  <c r="V12" i="20"/>
  <c r="AE12" i="20"/>
  <c r="T12" i="20"/>
  <c r="S12" i="20"/>
  <c r="AD19" i="20"/>
  <c r="AD12" i="20"/>
  <c r="X19" i="20"/>
  <c r="AC12" i="20"/>
  <c r="W45" i="20"/>
  <c r="H10" i="20"/>
  <c r="H8" i="20"/>
  <c r="X12" i="20"/>
  <c r="AG12" i="20"/>
  <c r="W12" i="20"/>
  <c r="AF12" i="20"/>
  <c r="H6" i="20"/>
  <c r="Z12" i="20"/>
  <c r="AJ45" i="20"/>
  <c r="AI12" i="20"/>
  <c r="Y12" i="20"/>
  <c r="AG45" i="20"/>
  <c r="AH12" i="20"/>
  <c r="AB19" i="20"/>
  <c r="H5" i="20"/>
  <c r="Y19" i="20"/>
  <c r="AC19" i="20"/>
  <c r="W40" i="20"/>
  <c r="Z40" i="20"/>
  <c r="W44" i="20"/>
  <c r="X44" i="20"/>
  <c r="Z44" i="20"/>
  <c r="W43" i="20"/>
  <c r="X43" i="20"/>
  <c r="Z43" i="20"/>
  <c r="AI42" i="20"/>
  <c r="X42" i="20"/>
  <c r="Z42" i="20"/>
  <c r="W39" i="20"/>
  <c r="Z39" i="20"/>
  <c r="AB52" i="20"/>
  <c r="AP39" i="20"/>
  <c r="AL39" i="20"/>
  <c r="AM39" i="20"/>
  <c r="AI41" i="20"/>
  <c r="X41" i="20"/>
  <c r="Z41" i="20"/>
  <c r="AG40" i="20"/>
  <c r="AI40" i="20"/>
  <c r="AJ40" i="20"/>
  <c r="AO40" i="20"/>
  <c r="AG44" i="20"/>
  <c r="AI44" i="20"/>
  <c r="AJ44" i="20"/>
  <c r="AO44" i="20"/>
  <c r="AG43" i="20"/>
  <c r="AI43" i="20"/>
  <c r="AJ43" i="20"/>
  <c r="AO43" i="20"/>
  <c r="W42" i="20"/>
  <c r="AJ42" i="20"/>
  <c r="AO42" i="20"/>
  <c r="AJ39" i="20"/>
  <c r="AO39" i="20"/>
  <c r="AA39" i="20"/>
  <c r="AC39" i="20"/>
  <c r="AD39" i="20"/>
  <c r="AF39" i="20"/>
  <c r="AF47" i="20"/>
  <c r="W41" i="20"/>
  <c r="AJ41" i="20"/>
  <c r="AO41" i="20"/>
  <c r="Z19" i="20"/>
  <c r="AA45" i="20"/>
  <c r="AD45" i="20"/>
  <c r="AG19" i="20"/>
  <c r="K11" i="13"/>
  <c r="K9" i="13"/>
  <c r="K7" i="13"/>
  <c r="K5" i="13"/>
  <c r="AH19" i="20"/>
  <c r="AL28" i="20"/>
  <c r="W19" i="20"/>
  <c r="AP28" i="20"/>
  <c r="AA19" i="20"/>
  <c r="AE19" i="20"/>
  <c r="AF19" i="20"/>
  <c r="AO28" i="20"/>
  <c r="W16" i="20"/>
  <c r="AP25" i="20"/>
  <c r="AH16" i="20"/>
  <c r="AG15" i="20"/>
  <c r="AC16" i="20"/>
  <c r="Z15" i="20"/>
  <c r="X16" i="20"/>
  <c r="W15" i="20"/>
  <c r="AP24" i="20"/>
  <c r="AI16" i="20"/>
  <c r="AF15" i="20"/>
  <c r="AC24" i="20"/>
  <c r="AD16" i="20"/>
  <c r="AO25" i="20"/>
  <c r="AC15" i="20"/>
  <c r="Y16" i="20"/>
  <c r="V15" i="20"/>
  <c r="U15" i="20"/>
  <c r="S15" i="20"/>
  <c r="AI15" i="20"/>
  <c r="X13" i="20"/>
  <c r="AH13" i="20"/>
  <c r="AI13" i="20"/>
  <c r="AB13" i="20"/>
  <c r="Y13" i="20"/>
  <c r="AD22" i="20"/>
  <c r="V13" i="20"/>
  <c r="W13" i="20"/>
  <c r="AP22" i="20"/>
  <c r="AC17" i="20"/>
  <c r="X17" i="20"/>
  <c r="W17" i="20"/>
  <c r="AP26" i="20"/>
  <c r="V17" i="20"/>
  <c r="Y17" i="20"/>
  <c r="AI17" i="20"/>
  <c r="AH17" i="20"/>
  <c r="Z18" i="20"/>
  <c r="AA18" i="20"/>
  <c r="X18" i="20"/>
  <c r="V18" i="20"/>
  <c r="U18" i="20"/>
  <c r="S18" i="20"/>
  <c r="W18" i="20"/>
  <c r="AP27" i="20"/>
  <c r="AG18" i="20"/>
  <c r="AA14" i="20"/>
  <c r="AM23" i="20"/>
  <c r="Z14" i="20"/>
  <c r="Y14" i="20"/>
  <c r="W14" i="20"/>
  <c r="AP23" i="20"/>
  <c r="V14" i="20"/>
  <c r="U14" i="20"/>
  <c r="S14" i="20"/>
  <c r="AF14" i="20"/>
  <c r="AE16" i="20"/>
  <c r="AB15" i="20"/>
  <c r="Z16" i="20"/>
  <c r="Y15" i="20"/>
  <c r="AD24" i="20"/>
  <c r="AH15" i="20"/>
  <c r="AF16" i="20"/>
  <c r="AE15" i="20"/>
  <c r="AA16" i="20"/>
  <c r="AM25" i="20"/>
  <c r="AL25" i="20"/>
  <c r="X15" i="20"/>
  <c r="V16" i="20"/>
  <c r="U16" i="20"/>
  <c r="S16" i="20"/>
  <c r="AG16" i="20"/>
  <c r="AD15" i="20"/>
  <c r="AO24" i="20"/>
  <c r="AB16" i="20"/>
  <c r="AJ25" i="20"/>
  <c r="AA15" i="20"/>
  <c r="AF13" i="20"/>
  <c r="AC13" i="20"/>
  <c r="Z13" i="20"/>
  <c r="AA13" i="20"/>
  <c r="AG13" i="20"/>
  <c r="AD13" i="20"/>
  <c r="AO22" i="20"/>
  <c r="AM22" i="20"/>
  <c r="AL22" i="20"/>
  <c r="AJ22" i="20"/>
  <c r="AE13" i="20"/>
  <c r="Z22" i="20"/>
  <c r="X4" i="20"/>
  <c r="Z4" i="20"/>
  <c r="AF17" i="20"/>
  <c r="AE17" i="20"/>
  <c r="AD17" i="20"/>
  <c r="AO26" i="20"/>
  <c r="AG17" i="20"/>
  <c r="AB17" i="20"/>
  <c r="AA17" i="20"/>
  <c r="AM26" i="20"/>
  <c r="AL26" i="20"/>
  <c r="Z17" i="20"/>
  <c r="AH18" i="20"/>
  <c r="AI18" i="20"/>
  <c r="AF18" i="20"/>
  <c r="AC18" i="20"/>
  <c r="AD18" i="20"/>
  <c r="AO27" i="20"/>
  <c r="AM27" i="20"/>
  <c r="AL27" i="20"/>
  <c r="AE18" i="20"/>
  <c r="AB18" i="20"/>
  <c r="Y18" i="20"/>
  <c r="AI14" i="20"/>
  <c r="AH14" i="20"/>
  <c r="AG14" i="20"/>
  <c r="AB14" i="20"/>
  <c r="AE14" i="20"/>
  <c r="AD14" i="20"/>
  <c r="AO23" i="20"/>
  <c r="AC14" i="20"/>
  <c r="X14" i="20"/>
  <c r="AA23" i="20"/>
  <c r="V19" i="20"/>
  <c r="AI19" i="20"/>
  <c r="AH39" i="20"/>
  <c r="AH41" i="20"/>
  <c r="AJ28" i="20"/>
  <c r="AO45" i="20"/>
  <c r="AL45" i="20"/>
  <c r="AK45" i="20"/>
  <c r="AF45" i="20"/>
  <c r="AE45" i="20"/>
  <c r="AI45" i="20"/>
  <c r="Z45" i="20"/>
  <c r="J107" i="21"/>
  <c r="J92" i="21"/>
  <c r="J99" i="21"/>
  <c r="J90" i="21"/>
  <c r="J102" i="21"/>
  <c r="J98" i="21"/>
  <c r="J104" i="21"/>
  <c r="J94" i="21"/>
  <c r="J106" i="21"/>
  <c r="AH43" i="20"/>
  <c r="AH44" i="20"/>
  <c r="AH40" i="20"/>
  <c r="F7" i="9"/>
  <c r="F5" i="9"/>
  <c r="F6" i="9"/>
  <c r="H7" i="9"/>
  <c r="H6" i="9"/>
  <c r="H5" i="9"/>
  <c r="E5" i="9"/>
  <c r="E7" i="9"/>
  <c r="E6" i="9"/>
  <c r="J7" i="21"/>
  <c r="V7" i="21"/>
  <c r="J31" i="21"/>
  <c r="V31" i="21"/>
  <c r="S56" i="22"/>
  <c r="V55" i="21"/>
  <c r="J55" i="21"/>
  <c r="V74" i="21"/>
  <c r="J74" i="21"/>
  <c r="S23" i="22"/>
  <c r="V22" i="21"/>
  <c r="J22" i="21"/>
  <c r="V42" i="21"/>
  <c r="J42" i="21"/>
  <c r="J68" i="21"/>
  <c r="V68" i="21"/>
  <c r="J9" i="21"/>
  <c r="V9" i="21"/>
  <c r="J17" i="21"/>
  <c r="V17" i="21"/>
  <c r="V23" i="21"/>
  <c r="J23" i="21"/>
  <c r="J39" i="21"/>
  <c r="V39" i="21"/>
  <c r="V50" i="21"/>
  <c r="J50" i="21"/>
  <c r="J60" i="21"/>
  <c r="V60" i="21"/>
  <c r="J69" i="21"/>
  <c r="V69" i="21"/>
  <c r="J76" i="21"/>
  <c r="V76" i="21"/>
  <c r="J81" i="21"/>
  <c r="V81" i="21"/>
  <c r="V10" i="21"/>
  <c r="J10" i="21"/>
  <c r="V18" i="21"/>
  <c r="J18" i="21"/>
  <c r="J44" i="21"/>
  <c r="V44" i="21"/>
  <c r="S58" i="22"/>
  <c r="V51" i="21"/>
  <c r="J51" i="21"/>
  <c r="J57" i="21"/>
  <c r="V57" i="21"/>
  <c r="V66" i="21"/>
  <c r="J66" i="21"/>
  <c r="J77" i="21"/>
  <c r="V77" i="21"/>
  <c r="V82" i="21"/>
  <c r="J82" i="21"/>
  <c r="AN41" i="20"/>
  <c r="AN44" i="20"/>
  <c r="AN39" i="20"/>
  <c r="AN43" i="20"/>
  <c r="AQ39" i="20"/>
  <c r="AQ43" i="20"/>
  <c r="AQ44" i="20"/>
  <c r="AQ41" i="20"/>
  <c r="AQ40" i="20"/>
  <c r="AQ42" i="20"/>
  <c r="V39" i="20"/>
  <c r="V44" i="20"/>
  <c r="AR44" i="20"/>
  <c r="V41" i="20"/>
  <c r="AR41" i="20"/>
  <c r="V42" i="20"/>
  <c r="AR42" i="20"/>
  <c r="V40" i="20"/>
  <c r="AR40" i="20"/>
  <c r="V43" i="20"/>
  <c r="AR43" i="20"/>
  <c r="J89" i="21"/>
  <c r="V89" i="21"/>
  <c r="J21" i="21"/>
  <c r="V21" i="21"/>
  <c r="J45" i="21"/>
  <c r="V45" i="21"/>
  <c r="V26" i="21"/>
  <c r="J26" i="21"/>
  <c r="V37" i="21"/>
  <c r="J37" i="21"/>
  <c r="S53" i="22"/>
  <c r="V46" i="21"/>
  <c r="J46" i="21"/>
  <c r="S45" i="22"/>
  <c r="J38" i="21"/>
  <c r="V38" i="21"/>
  <c r="S108" i="22"/>
  <c r="V5" i="21"/>
  <c r="J14" i="21"/>
  <c r="V14" i="21"/>
  <c r="V19" i="21"/>
  <c r="J19" i="21"/>
  <c r="V27" i="21"/>
  <c r="J27" i="21"/>
  <c r="V43" i="21"/>
  <c r="J43" i="21"/>
  <c r="J56" i="21"/>
  <c r="V56" i="21"/>
  <c r="J64" i="21"/>
  <c r="V64" i="21"/>
  <c r="S22" i="22"/>
  <c r="V20" i="21"/>
  <c r="J20" i="21"/>
  <c r="V28" i="21"/>
  <c r="J28" i="21"/>
  <c r="S43" i="22"/>
  <c r="V36" i="21"/>
  <c r="J36" i="21"/>
  <c r="S61" i="22"/>
  <c r="V54" i="21"/>
  <c r="J54" i="21"/>
  <c r="J73" i="21"/>
  <c r="V73" i="21"/>
  <c r="V79" i="21"/>
  <c r="J79" i="21"/>
  <c r="V86" i="21"/>
  <c r="J86" i="21"/>
  <c r="J105" i="21"/>
  <c r="V45" i="20"/>
  <c r="X45" i="20"/>
  <c r="J97" i="21"/>
  <c r="D7" i="9"/>
  <c r="D6" i="9"/>
  <c r="D5" i="9"/>
  <c r="J7" i="9"/>
  <c r="J5" i="9"/>
  <c r="J6" i="9"/>
  <c r="I7" i="9"/>
  <c r="I5" i="9"/>
  <c r="I6" i="9"/>
  <c r="G5" i="9"/>
  <c r="G7" i="9"/>
  <c r="G6" i="9"/>
  <c r="AE39" i="20"/>
  <c r="AE43" i="20"/>
  <c r="AD47" i="20"/>
  <c r="AE40" i="20"/>
  <c r="AE44" i="20"/>
  <c r="AE41" i="20"/>
  <c r="AB41" i="20"/>
  <c r="AB44" i="20"/>
  <c r="AB39" i="20"/>
  <c r="AB42" i="20"/>
  <c r="AB40" i="20"/>
  <c r="AK42" i="20"/>
  <c r="AK44" i="20"/>
  <c r="AK39" i="20"/>
  <c r="AK43" i="20"/>
  <c r="AK41" i="20"/>
  <c r="J25" i="21"/>
  <c r="V25" i="21"/>
  <c r="J41" i="21"/>
  <c r="V41" i="21"/>
  <c r="J49" i="21"/>
  <c r="V49" i="21"/>
  <c r="V67" i="21"/>
  <c r="J67" i="21"/>
  <c r="V83" i="21"/>
  <c r="J83" i="21"/>
  <c r="J16" i="21"/>
  <c r="V16" i="21"/>
  <c r="J53" i="21"/>
  <c r="V53" i="21"/>
  <c r="V59" i="21"/>
  <c r="J59" i="21"/>
  <c r="V75" i="21"/>
  <c r="J75" i="21"/>
  <c r="J88" i="21"/>
  <c r="V88" i="21"/>
  <c r="S112" i="22"/>
  <c r="J32" i="21"/>
  <c r="V32" i="21"/>
  <c r="S46" i="22"/>
  <c r="S25" i="22"/>
  <c r="J24" i="21"/>
  <c r="V24" i="21"/>
  <c r="J33" i="21"/>
  <c r="V33" i="21"/>
  <c r="J11" i="21"/>
  <c r="V11" i="21"/>
  <c r="V29" i="21"/>
  <c r="J29" i="21"/>
  <c r="J52" i="21"/>
  <c r="V52" i="21"/>
  <c r="V62" i="21"/>
  <c r="J62" i="21"/>
  <c r="V70" i="21"/>
  <c r="J70" i="21"/>
  <c r="V78" i="21"/>
  <c r="J78" i="21"/>
  <c r="V87" i="21"/>
  <c r="J87" i="21"/>
  <c r="J8" i="21"/>
  <c r="V8" i="21"/>
  <c r="V63" i="21"/>
  <c r="J63" i="21"/>
  <c r="J80" i="21"/>
  <c r="V80" i="21"/>
  <c r="S12" i="22"/>
  <c r="V35" i="21"/>
  <c r="J35" i="21"/>
  <c r="S42" i="22"/>
  <c r="J72" i="21"/>
  <c r="V72" i="21"/>
  <c r="J85" i="21"/>
  <c r="V85" i="21"/>
  <c r="S104" i="22"/>
  <c r="V15" i="21"/>
  <c r="J15" i="21"/>
  <c r="S55" i="22"/>
  <c r="J48" i="21"/>
  <c r="V48" i="21"/>
  <c r="J61" i="21"/>
  <c r="V61" i="21"/>
  <c r="J108" i="21"/>
  <c r="J96" i="21"/>
  <c r="J91" i="21"/>
  <c r="AA52" i="20"/>
  <c r="Z52" i="20"/>
  <c r="Y52" i="20"/>
  <c r="X52" i="20"/>
  <c r="W52" i="20"/>
  <c r="AD28" i="20"/>
  <c r="AC28" i="20"/>
  <c r="AA28" i="20"/>
  <c r="AH45" i="20"/>
  <c r="AC45" i="20"/>
  <c r="AB45" i="20"/>
  <c r="AP45" i="20"/>
  <c r="AM45" i="20"/>
  <c r="J93" i="21"/>
  <c r="J101" i="21"/>
  <c r="F88" i="4"/>
  <c r="F6" i="4"/>
  <c r="Q6" i="13"/>
  <c r="R6" i="13"/>
  <c r="M5" i="5"/>
  <c r="R53" i="13"/>
  <c r="H6" i="5"/>
  <c r="F10" i="4"/>
  <c r="F20" i="4"/>
  <c r="F24" i="4"/>
  <c r="F28" i="4"/>
  <c r="F30" i="4"/>
  <c r="F40" i="4"/>
  <c r="F44" i="4"/>
  <c r="F48" i="4"/>
  <c r="F51" i="4"/>
  <c r="F54" i="4"/>
  <c r="F61" i="4"/>
  <c r="F66" i="4"/>
  <c r="F69" i="4"/>
  <c r="F73" i="4"/>
  <c r="F77" i="4"/>
  <c r="F82" i="4"/>
  <c r="Q5" i="13"/>
  <c r="R5" i="13"/>
  <c r="F86" i="4"/>
  <c r="F91" i="4"/>
  <c r="F94" i="4"/>
  <c r="F98" i="4"/>
  <c r="F103" i="4"/>
  <c r="F107" i="4"/>
  <c r="J7" i="5"/>
  <c r="R52" i="13"/>
  <c r="H5" i="5"/>
  <c r="F7" i="4"/>
  <c r="F15" i="4"/>
  <c r="F21" i="4"/>
  <c r="F25" i="4"/>
  <c r="F36" i="4"/>
  <c r="F41" i="4"/>
  <c r="F45" i="4"/>
  <c r="F52" i="4"/>
  <c r="F37" i="4"/>
  <c r="F58" i="4"/>
  <c r="F62" i="4"/>
  <c r="F67" i="4"/>
  <c r="F74" i="4"/>
  <c r="F79" i="4"/>
  <c r="F87" i="4"/>
  <c r="F92" i="4"/>
  <c r="F95" i="4"/>
  <c r="F100" i="4"/>
  <c r="F104" i="4"/>
  <c r="J5" i="5"/>
  <c r="R51" i="13"/>
  <c r="H4" i="5"/>
  <c r="F4" i="4"/>
  <c r="F8" i="4"/>
  <c r="F13" i="4"/>
  <c r="F16" i="4"/>
  <c r="F18" i="4"/>
  <c r="F22" i="4"/>
  <c r="F26" i="4"/>
  <c r="F31" i="4"/>
  <c r="F34" i="4"/>
  <c r="F38" i="4"/>
  <c r="F42" i="4"/>
  <c r="F49" i="4"/>
  <c r="F55" i="4"/>
  <c r="F59" i="4"/>
  <c r="F63" i="4"/>
  <c r="F68" i="4"/>
  <c r="F71" i="4"/>
  <c r="F75" i="4"/>
  <c r="F80" i="4"/>
  <c r="F84" i="4"/>
  <c r="F89" i="4"/>
  <c r="F96" i="4"/>
  <c r="F101" i="4"/>
  <c r="F105" i="4"/>
  <c r="H7" i="5"/>
  <c r="M7" i="5"/>
  <c r="R54" i="13"/>
  <c r="F9" i="4"/>
  <c r="F14" i="4"/>
  <c r="F17" i="4"/>
  <c r="F19" i="4"/>
  <c r="F23" i="4"/>
  <c r="F27" i="4"/>
  <c r="F32" i="4"/>
  <c r="F35" i="4"/>
  <c r="F43" i="4"/>
  <c r="F47" i="4"/>
  <c r="F50" i="4"/>
  <c r="F53" i="4"/>
  <c r="Q7" i="13"/>
  <c r="R7" i="13"/>
  <c r="F56" i="4"/>
  <c r="F60" i="4"/>
  <c r="F65" i="4"/>
  <c r="F72" i="4"/>
  <c r="F76" i="4"/>
  <c r="F78" i="4"/>
  <c r="F81" i="4"/>
  <c r="F85" i="4"/>
  <c r="Q4" i="13"/>
  <c r="R4" i="13"/>
  <c r="F90" i="4"/>
  <c r="F93" i="4"/>
  <c r="F97" i="4"/>
  <c r="F106" i="4"/>
  <c r="Z28" i="20"/>
  <c r="AM28" i="20"/>
  <c r="AJ26" i="20"/>
  <c r="AI26" i="20"/>
  <c r="AI22" i="20"/>
  <c r="AG22" i="20"/>
  <c r="AF22" i="20"/>
  <c r="X28" i="20"/>
  <c r="W28" i="20"/>
  <c r="U28" i="20"/>
  <c r="S28" i="20"/>
  <c r="Z23" i="20"/>
  <c r="X23" i="20"/>
  <c r="W23" i="20"/>
  <c r="U23" i="20"/>
  <c r="S23" i="20"/>
  <c r="X22" i="20"/>
  <c r="W22" i="20"/>
  <c r="U22" i="20"/>
  <c r="S22" i="20"/>
  <c r="AI25" i="20"/>
  <c r="AG25" i="20"/>
  <c r="AF25" i="20"/>
  <c r="AD25" i="20"/>
  <c r="AC25" i="20"/>
  <c r="AA25" i="20"/>
  <c r="Z25" i="20"/>
  <c r="X25" i="20"/>
  <c r="W25" i="20"/>
  <c r="U25" i="20"/>
  <c r="S25" i="20"/>
  <c r="AI28" i="20"/>
  <c r="AG28" i="20"/>
  <c r="AF28" i="20"/>
  <c r="AJ27" i="20"/>
  <c r="AI27" i="20"/>
  <c r="AG27" i="20"/>
  <c r="AF27" i="20"/>
  <c r="AD27" i="20"/>
  <c r="AC27" i="20"/>
  <c r="AA27" i="20"/>
  <c r="Z27" i="20"/>
  <c r="X27" i="20"/>
  <c r="W27" i="20"/>
  <c r="U27" i="20"/>
  <c r="S27" i="20"/>
  <c r="AG26" i="20"/>
  <c r="AF26" i="20"/>
  <c r="AD26" i="20"/>
  <c r="AC26" i="20"/>
  <c r="AA26" i="20"/>
  <c r="Z26" i="20"/>
  <c r="X26" i="20"/>
  <c r="W26" i="20"/>
  <c r="U26" i="20"/>
  <c r="S26" i="20"/>
  <c r="AM24" i="20"/>
  <c r="AL24" i="20"/>
  <c r="AJ24" i="20"/>
  <c r="AI24" i="20"/>
  <c r="AG24" i="20"/>
  <c r="AF24" i="20"/>
  <c r="AL23" i="20"/>
  <c r="AJ23" i="20"/>
  <c r="AI23" i="20"/>
  <c r="AG23" i="20"/>
  <c r="AF23" i="20"/>
  <c r="AD23" i="20"/>
  <c r="AC23" i="20"/>
  <c r="AC22" i="20"/>
  <c r="AA22" i="20"/>
  <c r="AA24" i="20"/>
  <c r="Z24" i="20"/>
  <c r="X24" i="20"/>
  <c r="W24" i="20"/>
  <c r="U24" i="20"/>
  <c r="S24" i="20"/>
  <c r="Z51" i="20"/>
  <c r="S8" i="9"/>
  <c r="S5" i="9"/>
  <c r="X51" i="20"/>
  <c r="AA51" i="20"/>
  <c r="AR45" i="20"/>
  <c r="AQ45" i="20"/>
  <c r="AC51" i="20"/>
  <c r="AB51" i="20"/>
  <c r="Y51" i="20"/>
  <c r="W51" i="20"/>
  <c r="AN53" i="20"/>
  <c r="AU53" i="20"/>
  <c r="AZ53" i="20"/>
  <c r="BI53" i="20"/>
  <c r="AR39" i="20"/>
  <c r="BN53" i="20"/>
  <c r="BP53" i="20"/>
  <c r="X47" i="20"/>
  <c r="S47" i="20"/>
  <c r="Z47" i="20"/>
  <c r="AE53" i="20"/>
  <c r="S6" i="9"/>
  <c r="S10" i="9"/>
  <c r="S7" i="9"/>
  <c r="T7" i="9"/>
  <c r="J1" i="21"/>
  <c r="T8" i="9"/>
  <c r="S9" i="9"/>
  <c r="T9" i="9"/>
  <c r="T5" i="9"/>
  <c r="T6" i="9"/>
  <c r="T10" i="9"/>
  <c r="AN45" i="20"/>
  <c r="G9" i="4"/>
  <c r="E37" i="16"/>
  <c r="G5" i="4"/>
  <c r="E35" i="16"/>
  <c r="G82" i="4"/>
  <c r="E108" i="16"/>
  <c r="G16" i="4"/>
  <c r="E58" i="16"/>
  <c r="G59" i="4"/>
  <c r="E74" i="16"/>
  <c r="G6" i="4"/>
  <c r="E36" i="16"/>
  <c r="G31" i="4"/>
  <c r="E25" i="16"/>
  <c r="G7" i="4"/>
  <c r="E96" i="16"/>
  <c r="G51" i="4"/>
  <c r="E87" i="16"/>
  <c r="G37" i="4"/>
  <c r="E15" i="16"/>
  <c r="G54" i="4"/>
  <c r="E77" i="16"/>
  <c r="G58" i="4"/>
  <c r="G12" i="4"/>
  <c r="E55" i="16"/>
  <c r="G17" i="4"/>
  <c r="E59" i="16"/>
  <c r="G32" i="4"/>
  <c r="E61" i="16"/>
  <c r="G50" i="4"/>
  <c r="E44" i="16"/>
  <c r="G72" i="4"/>
  <c r="G88" i="4"/>
  <c r="E83" i="16"/>
  <c r="G24" i="4"/>
  <c r="E13" i="16"/>
  <c r="G40" i="4"/>
  <c r="E102" i="16"/>
  <c r="G66" i="4"/>
  <c r="E20" i="16"/>
  <c r="D91" i="4"/>
  <c r="G91" i="4"/>
  <c r="E52" i="16"/>
  <c r="D98" i="4"/>
  <c r="G98" i="4"/>
  <c r="E53" i="16"/>
  <c r="G15" i="4"/>
  <c r="E57" i="16"/>
  <c r="G36" i="4"/>
  <c r="E26" i="16"/>
  <c r="G52" i="4"/>
  <c r="E45" i="16"/>
  <c r="E12" i="16"/>
  <c r="G20" i="4"/>
  <c r="G44" i="4"/>
  <c r="E17" i="16"/>
  <c r="G61" i="4"/>
  <c r="E95" i="16"/>
  <c r="G77" i="4"/>
  <c r="E78" i="16"/>
  <c r="D107" i="4"/>
  <c r="G107" i="4"/>
  <c r="E34" i="16"/>
  <c r="G41" i="4"/>
  <c r="E16" i="16"/>
  <c r="G62" i="4"/>
  <c r="E105" i="16"/>
  <c r="G8" i="4"/>
  <c r="E97" i="16"/>
  <c r="G22" i="4"/>
  <c r="E40" i="16"/>
  <c r="G23" i="4"/>
  <c r="E99" i="16"/>
  <c r="G43" i="4"/>
  <c r="E42" i="16"/>
  <c r="G56" i="4"/>
  <c r="E85" i="16"/>
  <c r="G78" i="4"/>
  <c r="E69" i="16"/>
  <c r="G10" i="4"/>
  <c r="E98" i="16"/>
  <c r="G30" i="4"/>
  <c r="E60" i="16"/>
  <c r="G48" i="4"/>
  <c r="E103" i="16"/>
  <c r="G73" i="4"/>
  <c r="E68" i="16"/>
  <c r="D94" i="4"/>
  <c r="G94" i="4"/>
  <c r="E29" i="16"/>
  <c r="D103" i="4"/>
  <c r="G103" i="4"/>
  <c r="E73" i="16"/>
  <c r="G21" i="4"/>
  <c r="E39" i="16"/>
  <c r="G45" i="4"/>
  <c r="E64" i="16"/>
  <c r="G28" i="4"/>
  <c r="E100" i="16"/>
  <c r="G69" i="4"/>
  <c r="E66" i="16"/>
  <c r="G25" i="4"/>
  <c r="E91" i="16"/>
  <c r="D100" i="4"/>
  <c r="G100" i="4"/>
  <c r="E94" i="16"/>
  <c r="G38" i="4"/>
  <c r="E81" i="16"/>
  <c r="G49" i="4"/>
  <c r="E43" i="16"/>
  <c r="G55" i="4"/>
  <c r="E46" i="16"/>
  <c r="G63" i="4"/>
  <c r="E106" i="16"/>
  <c r="G71" i="4"/>
  <c r="E67" i="16"/>
  <c r="G84" i="4"/>
  <c r="E23" i="16"/>
  <c r="D89" i="4"/>
  <c r="G89" i="4"/>
  <c r="E51" i="16"/>
  <c r="D96" i="4"/>
  <c r="G96" i="4"/>
  <c r="E110" i="16"/>
  <c r="D101" i="4"/>
  <c r="G101" i="4"/>
  <c r="E88" i="16"/>
  <c r="G67" i="4"/>
  <c r="E27" i="16"/>
  <c r="G74" i="4"/>
  <c r="E80" i="16"/>
  <c r="G79" i="4"/>
  <c r="E48" i="16"/>
  <c r="G87" i="4"/>
  <c r="E82" i="16"/>
  <c r="D92" i="4"/>
  <c r="G92" i="4"/>
  <c r="E72" i="16"/>
  <c r="D95" i="4"/>
  <c r="G95" i="4"/>
  <c r="E30" i="16"/>
  <c r="D104" i="4"/>
  <c r="G104" i="4"/>
  <c r="E24" i="16"/>
  <c r="G68" i="4"/>
  <c r="E84" i="16"/>
  <c r="G75" i="4"/>
  <c r="E92" i="16"/>
  <c r="G80" i="4"/>
  <c r="E90" i="16"/>
  <c r="D105" i="4"/>
  <c r="G105" i="4"/>
  <c r="E32" i="16"/>
  <c r="G19" i="4"/>
  <c r="E38" i="16"/>
  <c r="G27" i="4"/>
  <c r="E89" i="16"/>
  <c r="G35" i="4"/>
  <c r="E14" i="16"/>
  <c r="G47" i="4"/>
  <c r="E76" i="16"/>
  <c r="G53" i="4"/>
  <c r="E65" i="16"/>
  <c r="G60" i="4"/>
  <c r="E104" i="16"/>
  <c r="G76" i="4"/>
  <c r="E93" i="16"/>
  <c r="G81" i="4"/>
  <c r="E22" i="16"/>
  <c r="G85" i="4"/>
  <c r="E49" i="16"/>
  <c r="D90" i="4"/>
  <c r="G90" i="4"/>
  <c r="E71" i="16"/>
  <c r="D93" i="4"/>
  <c r="G93" i="4"/>
  <c r="E109" i="16"/>
  <c r="D97" i="4"/>
  <c r="G97" i="4"/>
  <c r="E31" i="16"/>
  <c r="D106" i="4"/>
  <c r="G106" i="4"/>
  <c r="E33" i="16"/>
  <c r="G65" i="4"/>
  <c r="E107" i="16"/>
  <c r="G14" i="4"/>
  <c r="E75" i="16"/>
  <c r="G86" i="4"/>
  <c r="E50" i="16"/>
  <c r="G13" i="4"/>
  <c r="E56" i="16"/>
  <c r="G18" i="4"/>
  <c r="E11" i="16"/>
  <c r="G26" i="4"/>
  <c r="E79" i="16"/>
  <c r="G34" i="4"/>
  <c r="E63" i="16"/>
  <c r="G42" i="4"/>
  <c r="E41" i="16"/>
  <c r="G57" i="4"/>
  <c r="E47" i="16"/>
  <c r="G11" i="4"/>
  <c r="E86" i="16"/>
  <c r="G83" i="4"/>
  <c r="E70" i="16"/>
  <c r="G33" i="4"/>
  <c r="E62" i="16"/>
  <c r="G29" i="4"/>
  <c r="E111" i="16"/>
  <c r="G64" i="4"/>
  <c r="E113" i="16"/>
  <c r="G46" i="4"/>
  <c r="E18" i="16"/>
  <c r="D102" i="4"/>
  <c r="G102" i="4"/>
  <c r="E54" i="16"/>
  <c r="G70" i="4"/>
  <c r="E28" i="16"/>
  <c r="G39" i="4"/>
  <c r="E101" i="16"/>
  <c r="E112" i="16"/>
  <c r="D99" i="4"/>
  <c r="G99" i="4"/>
  <c r="I7" i="13"/>
  <c r="H7" i="13"/>
  <c r="H9" i="13"/>
  <c r="I9" i="13"/>
  <c r="H11" i="13"/>
  <c r="I11" i="13"/>
  <c r="I5" i="13"/>
  <c r="I3" i="13"/>
  <c r="H5" i="13"/>
  <c r="E19" i="16"/>
  <c r="O52" i="13"/>
  <c r="K7" i="5"/>
  <c r="D5" i="5"/>
  <c r="D5" i="13"/>
  <c r="K6" i="5"/>
  <c r="P52" i="13"/>
  <c r="N5" i="5"/>
  <c r="D6" i="13"/>
  <c r="N4" i="5"/>
  <c r="O53" i="13"/>
  <c r="P53" i="13"/>
  <c r="D6" i="5"/>
  <c r="K5" i="5"/>
  <c r="K4" i="5"/>
  <c r="P51" i="13"/>
  <c r="O51" i="13"/>
  <c r="G4" i="4"/>
  <c r="K5" i="9"/>
  <c r="V9" i="9"/>
  <c r="V6" i="9"/>
  <c r="V10" i="9"/>
  <c r="V5" i="9"/>
  <c r="V8" i="9"/>
  <c r="V7" i="9"/>
  <c r="D7" i="13"/>
  <c r="D7" i="5"/>
  <c r="N7" i="5"/>
  <c r="N6" i="5"/>
  <c r="P54" i="13"/>
  <c r="O54" i="13"/>
  <c r="E5" i="5"/>
  <c r="E5" i="13"/>
  <c r="M7" i="13"/>
  <c r="E6" i="13"/>
  <c r="M9" i="13"/>
  <c r="E6" i="5"/>
  <c r="F6" i="13"/>
  <c r="S53" i="13"/>
  <c r="E4" i="13"/>
  <c r="E7" i="13"/>
  <c r="M11" i="13"/>
  <c r="E7" i="5"/>
  <c r="K10" i="13"/>
  <c r="K8" i="13"/>
  <c r="C4" i="13"/>
  <c r="M5" i="13"/>
  <c r="M3" i="13"/>
  <c r="H3" i="13"/>
  <c r="K6" i="13"/>
  <c r="K12" i="13"/>
  <c r="Q53" i="13"/>
  <c r="C5" i="13"/>
  <c r="U7" i="9"/>
  <c r="U5" i="9"/>
  <c r="U10" i="9"/>
  <c r="U6" i="9"/>
  <c r="U8" i="9"/>
  <c r="U9" i="9"/>
  <c r="O49" i="13"/>
  <c r="P11" i="13"/>
  <c r="P4" i="13"/>
  <c r="F4" i="13"/>
  <c r="S51" i="13"/>
  <c r="P12" i="13"/>
  <c r="M6" i="5"/>
  <c r="C6" i="13"/>
  <c r="J6" i="5"/>
  <c r="P7" i="13"/>
  <c r="P14" i="13"/>
  <c r="J4" i="5"/>
  <c r="M4" i="5"/>
  <c r="C6" i="5"/>
  <c r="P13" i="13"/>
  <c r="P6" i="13"/>
  <c r="P49" i="13"/>
  <c r="P5" i="13"/>
  <c r="C7" i="5"/>
  <c r="F7" i="13"/>
  <c r="S54" i="13"/>
  <c r="Q54" i="13"/>
  <c r="C7" i="13"/>
  <c r="C5" i="5"/>
  <c r="F5" i="13"/>
  <c r="S52" i="13"/>
  <c r="Q52" i="13"/>
  <c r="R14" i="13"/>
  <c r="R11" i="13"/>
  <c r="R13" i="13"/>
  <c r="S7" i="13"/>
  <c r="R12" i="13"/>
  <c r="S50" i="13"/>
  <c r="Q51" i="13"/>
  <c r="S4" i="13"/>
  <c r="T23" i="22"/>
  <c r="T67" i="22"/>
  <c r="S67" i="22"/>
  <c r="T33" i="22"/>
  <c r="S33" i="22"/>
  <c r="T46" i="22"/>
  <c r="T97" i="22"/>
  <c r="S97" i="22"/>
  <c r="T110" i="22"/>
  <c r="S110" i="22"/>
  <c r="T101" i="22"/>
  <c r="S101" i="22"/>
  <c r="T111" i="22"/>
  <c r="S111" i="22"/>
  <c r="T30" i="22"/>
  <c r="S30" i="22"/>
  <c r="T87" i="22"/>
  <c r="S87" i="22"/>
  <c r="T77" i="22"/>
  <c r="S77" i="22"/>
  <c r="T25" i="22"/>
  <c r="T45" i="22"/>
  <c r="T61" i="22"/>
  <c r="T100" i="22"/>
  <c r="S100" i="22"/>
  <c r="T68" i="22"/>
  <c r="S68" i="22"/>
  <c r="T34" i="22"/>
  <c r="S34" i="22"/>
  <c r="T79" i="22"/>
  <c r="S79" i="22"/>
  <c r="T69" i="22"/>
  <c r="S69" i="22"/>
  <c r="T58" i="22"/>
  <c r="T41" i="22"/>
  <c r="S41" i="22"/>
  <c r="T82" i="22"/>
  <c r="S82" i="22"/>
  <c r="T94" i="22"/>
  <c r="S94" i="22"/>
  <c r="T114" i="22"/>
  <c r="S114" i="22"/>
  <c r="T95" i="22"/>
  <c r="S95" i="22"/>
  <c r="T24" i="22"/>
  <c r="S24" i="22"/>
  <c r="T17" i="22"/>
  <c r="S17" i="22"/>
  <c r="T62" i="22"/>
  <c r="S62" i="22"/>
  <c r="T21" i="22"/>
  <c r="S21" i="22"/>
  <c r="T47" i="22"/>
  <c r="T85" i="22"/>
  <c r="S85" i="22"/>
  <c r="T64" i="22"/>
  <c r="S64" i="22"/>
  <c r="T96" i="22"/>
  <c r="S96" i="22"/>
  <c r="T70" i="22"/>
  <c r="S70" i="22"/>
  <c r="T90" i="22"/>
  <c r="S90" i="22"/>
  <c r="T115" i="22"/>
  <c r="S115" i="22"/>
  <c r="T52" i="22"/>
  <c r="S52" i="22"/>
  <c r="T13" i="22"/>
  <c r="S13" i="22"/>
  <c r="F107" i="21"/>
  <c r="F78" i="21"/>
  <c r="F40" i="21"/>
  <c r="F62" i="21"/>
  <c r="H41" i="19"/>
  <c r="W41" i="19"/>
  <c r="X41" i="19"/>
  <c r="M41" i="19"/>
  <c r="X7" i="19"/>
  <c r="X62" i="19"/>
  <c r="H62" i="19"/>
  <c r="V62" i="19"/>
  <c r="X63" i="19"/>
  <c r="H63" i="19"/>
  <c r="W63" i="19"/>
  <c r="X56" i="19"/>
  <c r="H56" i="19"/>
  <c r="V56" i="19"/>
  <c r="H47" i="19"/>
  <c r="W47" i="19"/>
  <c r="V47" i="19"/>
  <c r="X47" i="19"/>
  <c r="M47" i="19"/>
  <c r="X85" i="19"/>
  <c r="H85" i="19"/>
  <c r="M85" i="19"/>
  <c r="X59" i="19"/>
  <c r="H59" i="19"/>
  <c r="M59" i="19"/>
  <c r="H20" i="19"/>
  <c r="M20" i="19"/>
  <c r="X20" i="19"/>
  <c r="H42" i="19"/>
  <c r="V42" i="19"/>
  <c r="X42" i="19"/>
  <c r="X19" i="19"/>
  <c r="H19" i="19"/>
  <c r="W19" i="19"/>
  <c r="AH8" i="22"/>
  <c r="AD8" i="22"/>
  <c r="Z8" i="22"/>
  <c r="Y4" i="22"/>
  <c r="AG8" i="22"/>
  <c r="AC8" i="22"/>
  <c r="Y8" i="22"/>
  <c r="AJ8" i="22"/>
  <c r="AF8" i="22"/>
  <c r="AB8" i="22"/>
  <c r="X8" i="22"/>
  <c r="AI8" i="22"/>
  <c r="AE8" i="22"/>
  <c r="AA8" i="22"/>
  <c r="W8" i="22"/>
  <c r="AJ7" i="22"/>
  <c r="AF7" i="22"/>
  <c r="AB7" i="22"/>
  <c r="X7" i="22"/>
  <c r="AI7" i="22"/>
  <c r="AE7" i="22"/>
  <c r="AA7" i="22"/>
  <c r="W7" i="22"/>
  <c r="AH7" i="22"/>
  <c r="AD7" i="22"/>
  <c r="Z7" i="22"/>
  <c r="AG7" i="22"/>
  <c r="AC7" i="22"/>
  <c r="Y7" i="22"/>
  <c r="AJ10" i="22"/>
  <c r="AF10" i="22"/>
  <c r="AB10" i="22"/>
  <c r="X10" i="22"/>
  <c r="AI10" i="22"/>
  <c r="AE10" i="22"/>
  <c r="AA10" i="22"/>
  <c r="W10" i="22"/>
  <c r="AH10" i="22"/>
  <c r="AD10" i="22"/>
  <c r="Z10" i="22"/>
  <c r="AG10" i="22"/>
  <c r="AC10" i="22"/>
  <c r="Y10" i="22"/>
  <c r="H89" i="19"/>
  <c r="W89" i="19"/>
  <c r="V89" i="19"/>
  <c r="X89" i="19"/>
  <c r="M89" i="19"/>
  <c r="F93" i="21"/>
  <c r="F45" i="21"/>
  <c r="F83" i="21"/>
  <c r="F38" i="21"/>
  <c r="F18" i="21"/>
  <c r="F39" i="21"/>
  <c r="F26" i="21"/>
  <c r="F16" i="21"/>
  <c r="F6" i="21"/>
  <c r="F108" i="21"/>
  <c r="F89" i="21"/>
  <c r="F14" i="21"/>
  <c r="F55" i="21"/>
  <c r="F88" i="21"/>
  <c r="F75" i="21"/>
  <c r="F72" i="21"/>
  <c r="F27" i="21"/>
  <c r="X8" i="19"/>
  <c r="H8" i="19"/>
  <c r="M8" i="19"/>
  <c r="H91" i="19"/>
  <c r="W91" i="19"/>
  <c r="V91" i="19"/>
  <c r="X91" i="19"/>
  <c r="H80" i="19"/>
  <c r="M80" i="19"/>
  <c r="X80" i="19"/>
  <c r="X82" i="19"/>
  <c r="H82" i="19"/>
  <c r="W82" i="19"/>
  <c r="V82" i="19"/>
  <c r="Y82" i="19"/>
  <c r="H16" i="19"/>
  <c r="W16" i="19"/>
  <c r="X16" i="19"/>
  <c r="M16" i="19"/>
  <c r="H12" i="19"/>
  <c r="V12" i="19"/>
  <c r="X12" i="19"/>
  <c r="H18" i="19"/>
  <c r="V18" i="19"/>
  <c r="X18" i="19"/>
  <c r="M18" i="19"/>
  <c r="X36" i="19"/>
  <c r="H36" i="19"/>
  <c r="V36" i="19"/>
  <c r="H64" i="19"/>
  <c r="X64" i="19"/>
  <c r="M64" i="19"/>
  <c r="H29" i="19"/>
  <c r="M29" i="19"/>
  <c r="X29" i="19"/>
  <c r="X53" i="19"/>
  <c r="H53" i="19"/>
  <c r="W53" i="19"/>
  <c r="X74" i="19"/>
  <c r="H74" i="19"/>
  <c r="V74" i="19"/>
  <c r="H95" i="19"/>
  <c r="W95" i="19"/>
  <c r="X95" i="19"/>
  <c r="M95" i="19"/>
  <c r="AA95" i="19"/>
  <c r="X65" i="19"/>
  <c r="H65" i="19"/>
  <c r="V65" i="19"/>
  <c r="H40" i="19"/>
  <c r="V40" i="19"/>
  <c r="X40" i="19"/>
  <c r="X72" i="19"/>
  <c r="H72" i="19"/>
  <c r="W72" i="19"/>
  <c r="V72" i="19"/>
  <c r="Y72" i="19"/>
  <c r="Y40" i="21"/>
  <c r="X25" i="19"/>
  <c r="H25" i="19"/>
  <c r="V25" i="19"/>
  <c r="H96" i="19"/>
  <c r="V96" i="19"/>
  <c r="M96" i="19"/>
  <c r="AA96" i="19"/>
  <c r="X96" i="19"/>
  <c r="W96" i="19"/>
  <c r="H57" i="19"/>
  <c r="V57" i="19"/>
  <c r="X57" i="19"/>
  <c r="X92" i="19"/>
  <c r="H92" i="19"/>
  <c r="V92" i="19"/>
  <c r="X28" i="19"/>
  <c r="H28" i="19"/>
  <c r="W28" i="19"/>
  <c r="X90" i="19"/>
  <c r="H90" i="19"/>
  <c r="V90" i="19"/>
  <c r="F5" i="21"/>
  <c r="AJ9" i="22"/>
  <c r="AF9" i="22"/>
  <c r="AB9" i="22"/>
  <c r="X9" i="22"/>
  <c r="AI9" i="22"/>
  <c r="AE9" i="22"/>
  <c r="AA9" i="22"/>
  <c r="W9" i="22"/>
  <c r="AH9" i="22"/>
  <c r="AD9" i="22"/>
  <c r="Z9" i="22"/>
  <c r="AG9" i="22"/>
  <c r="AC9" i="22"/>
  <c r="Y9" i="22"/>
  <c r="AJ6" i="22"/>
  <c r="AF6" i="22"/>
  <c r="AB6" i="22"/>
  <c r="X6" i="22"/>
  <c r="AI6" i="22"/>
  <c r="AE6" i="22"/>
  <c r="AA6" i="22"/>
  <c r="W6" i="22"/>
  <c r="AH6" i="22"/>
  <c r="AD6" i="22"/>
  <c r="Z6" i="22"/>
  <c r="AG6" i="22"/>
  <c r="AC6" i="22"/>
  <c r="Y6" i="22"/>
  <c r="T12" i="22"/>
  <c r="X77" i="19"/>
  <c r="H77" i="19"/>
  <c r="V77" i="19"/>
  <c r="F54" i="21"/>
  <c r="F57" i="21"/>
  <c r="F70" i="21"/>
  <c r="F80" i="21"/>
  <c r="F23" i="21"/>
  <c r="F104" i="21"/>
  <c r="F94" i="21"/>
  <c r="F103" i="21"/>
  <c r="F90" i="21"/>
  <c r="F17" i="21"/>
  <c r="F60" i="21"/>
  <c r="F34" i="21"/>
  <c r="F63" i="21"/>
  <c r="F10" i="21"/>
  <c r="F87" i="21"/>
  <c r="F51" i="21"/>
  <c r="F61" i="21"/>
  <c r="X40" i="21"/>
  <c r="W7" i="19"/>
  <c r="Z7" i="19"/>
  <c r="W20" i="19"/>
  <c r="V20" i="19"/>
  <c r="Y20" i="19"/>
  <c r="Z40" i="21"/>
  <c r="Y78" i="21"/>
  <c r="V53" i="19"/>
  <c r="Y53" i="19"/>
  <c r="M82" i="19"/>
  <c r="T80" i="21"/>
  <c r="Z89" i="19"/>
  <c r="Y89" i="19"/>
  <c r="X78" i="21"/>
  <c r="Z78" i="21"/>
  <c r="Z95" i="19"/>
  <c r="Z53" i="19"/>
  <c r="W29" i="19"/>
  <c r="Z29" i="19"/>
  <c r="V29" i="19"/>
  <c r="Z19" i="19"/>
  <c r="M42" i="19"/>
  <c r="T40" i="21"/>
  <c r="W42" i="19"/>
  <c r="Y42" i="19"/>
  <c r="W74" i="19"/>
  <c r="Z74" i="19"/>
  <c r="W18" i="19"/>
  <c r="Z18" i="19"/>
  <c r="Y18" i="19"/>
  <c r="W12" i="19"/>
  <c r="Z12" i="19"/>
  <c r="Y12" i="19"/>
  <c r="M12" i="19"/>
  <c r="AA12" i="19"/>
  <c r="Z16" i="19"/>
  <c r="W80" i="19"/>
  <c r="V80" i="19"/>
  <c r="Z91" i="19"/>
  <c r="Y91" i="19"/>
  <c r="V41" i="19"/>
  <c r="W59" i="19"/>
  <c r="Z59" i="19"/>
  <c r="M28" i="19"/>
  <c r="T26" i="21"/>
  <c r="V28" i="19"/>
  <c r="Y28" i="19"/>
  <c r="M57" i="19"/>
  <c r="AA57" i="19"/>
  <c r="W57" i="19"/>
  <c r="Y57" i="19"/>
  <c r="Z96" i="19"/>
  <c r="Y96" i="19"/>
  <c r="M72" i="19"/>
  <c r="T70" i="21"/>
  <c r="M74" i="19"/>
  <c r="AA74" i="19"/>
  <c r="M53" i="19"/>
  <c r="T51" i="21"/>
  <c r="Z62" i="21"/>
  <c r="M91" i="19"/>
  <c r="T89" i="21"/>
  <c r="W8" i="19"/>
  <c r="Z8" i="19"/>
  <c r="M19" i="19"/>
  <c r="T17" i="21"/>
  <c r="V19" i="19"/>
  <c r="Y19" i="19"/>
  <c r="V59" i="19"/>
  <c r="Z47" i="19"/>
  <c r="Y47" i="19"/>
  <c r="M56" i="19"/>
  <c r="AA56" i="19"/>
  <c r="W56" i="19"/>
  <c r="Y56" i="19"/>
  <c r="M63" i="19"/>
  <c r="T61" i="21"/>
  <c r="V63" i="19"/>
  <c r="Y63" i="19"/>
  <c r="Z41" i="19"/>
  <c r="Y41" i="19"/>
  <c r="AA80" i="19"/>
  <c r="T78" i="21"/>
  <c r="T57" i="21"/>
  <c r="AA59" i="19"/>
  <c r="AA8" i="19"/>
  <c r="T6" i="21"/>
  <c r="T83" i="21"/>
  <c r="AA85" i="19"/>
  <c r="Y51" i="21"/>
  <c r="Z51" i="21"/>
  <c r="X51" i="21"/>
  <c r="Z10" i="21"/>
  <c r="Y10" i="21"/>
  <c r="X10" i="21"/>
  <c r="Z60" i="21"/>
  <c r="Y60" i="21"/>
  <c r="X60" i="21"/>
  <c r="Y23" i="21"/>
  <c r="X23" i="21"/>
  <c r="Z23" i="21"/>
  <c r="X70" i="21"/>
  <c r="Z70" i="21"/>
  <c r="Y70" i="21"/>
  <c r="Z54" i="21"/>
  <c r="Y54" i="21"/>
  <c r="X54" i="21"/>
  <c r="Y5" i="21"/>
  <c r="X5" i="21"/>
  <c r="Z5" i="21"/>
  <c r="AA28" i="19"/>
  <c r="AA72" i="19"/>
  <c r="Z72" i="19"/>
  <c r="T27" i="21"/>
  <c r="AA29" i="19"/>
  <c r="T62" i="21"/>
  <c r="AA64" i="19"/>
  <c r="T16" i="21"/>
  <c r="AA18" i="19"/>
  <c r="AA16" i="19"/>
  <c r="T14" i="21"/>
  <c r="Z72" i="21"/>
  <c r="Y72" i="21"/>
  <c r="X72" i="21"/>
  <c r="X55" i="21"/>
  <c r="Z55" i="21"/>
  <c r="Y55" i="21"/>
  <c r="X89" i="21"/>
  <c r="Y89" i="21"/>
  <c r="Z89" i="21"/>
  <c r="Z6" i="21"/>
  <c r="Y6" i="21"/>
  <c r="X6" i="21"/>
  <c r="Y26" i="21"/>
  <c r="Z26" i="21"/>
  <c r="X26" i="21"/>
  <c r="Z18" i="21"/>
  <c r="Y18" i="21"/>
  <c r="X18" i="21"/>
  <c r="Z83" i="21"/>
  <c r="Y83" i="21"/>
  <c r="X83" i="21"/>
  <c r="T18" i="21"/>
  <c r="AA20" i="19"/>
  <c r="AA41" i="19"/>
  <c r="T39" i="21"/>
  <c r="W77" i="19"/>
  <c r="Y77" i="19"/>
  <c r="M92" i="19"/>
  <c r="AA92" i="19"/>
  <c r="Y62" i="21"/>
  <c r="X62" i="21"/>
  <c r="W85" i="19"/>
  <c r="V85" i="19"/>
  <c r="Z61" i="21"/>
  <c r="Y61" i="21"/>
  <c r="X61" i="21"/>
  <c r="X87" i="21"/>
  <c r="Y87" i="21"/>
  <c r="Z87" i="21"/>
  <c r="X63" i="21"/>
  <c r="Y63" i="21"/>
  <c r="Z63" i="21"/>
  <c r="Z34" i="21"/>
  <c r="Y34" i="21"/>
  <c r="X34" i="21"/>
  <c r="Z17" i="21"/>
  <c r="Y17" i="21"/>
  <c r="X17" i="21"/>
  <c r="X80" i="21"/>
  <c r="Z80" i="21"/>
  <c r="Y80" i="21"/>
  <c r="X57" i="21"/>
  <c r="Y57" i="21"/>
  <c r="Z57" i="21"/>
  <c r="Z27" i="21"/>
  <c r="Y27" i="21"/>
  <c r="X27" i="21"/>
  <c r="Y75" i="21"/>
  <c r="X75" i="21"/>
  <c r="Z75" i="21"/>
  <c r="Y88" i="21"/>
  <c r="X88" i="21"/>
  <c r="Z88" i="21"/>
  <c r="Y14" i="21"/>
  <c r="Z14" i="21"/>
  <c r="X14" i="21"/>
  <c r="Z16" i="21"/>
  <c r="Y16" i="21"/>
  <c r="X16" i="21"/>
  <c r="Z39" i="21"/>
  <c r="Y39" i="21"/>
  <c r="X39" i="21"/>
  <c r="Y38" i="21"/>
  <c r="X38" i="21"/>
  <c r="Z38" i="21"/>
  <c r="Y45" i="21"/>
  <c r="X45" i="21"/>
  <c r="Z45" i="21"/>
  <c r="AA89" i="19"/>
  <c r="T87" i="21"/>
  <c r="AA47" i="19"/>
  <c r="T45" i="21"/>
  <c r="T5" i="21"/>
  <c r="AA7" i="19"/>
  <c r="M77" i="19"/>
  <c r="M90" i="19"/>
  <c r="W90" i="19"/>
  <c r="Z90" i="19"/>
  <c r="Y90" i="19"/>
  <c r="Z28" i="19"/>
  <c r="W92" i="19"/>
  <c r="Y92" i="19"/>
  <c r="M25" i="19"/>
  <c r="W25" i="19"/>
  <c r="Y25" i="19"/>
  <c r="M40" i="19"/>
  <c r="W40" i="19"/>
  <c r="Z40" i="19"/>
  <c r="Y40" i="19"/>
  <c r="M65" i="19"/>
  <c r="W65" i="19"/>
  <c r="Z65" i="19"/>
  <c r="V95" i="19"/>
  <c r="Y95" i="19"/>
  <c r="W64" i="19"/>
  <c r="Z64" i="19"/>
  <c r="V64" i="19"/>
  <c r="W36" i="19"/>
  <c r="Z36" i="19"/>
  <c r="Y36" i="19"/>
  <c r="M36" i="19"/>
  <c r="V16" i="19"/>
  <c r="M62" i="19"/>
  <c r="W62" i="19"/>
  <c r="Y62" i="19"/>
  <c r="AA42" i="19"/>
  <c r="Z56" i="19"/>
  <c r="AA82" i="19"/>
  <c r="Z82" i="19"/>
  <c r="Z20" i="19"/>
  <c r="AA19" i="19"/>
  <c r="AA53" i="19"/>
  <c r="AA91" i="19"/>
  <c r="Y59" i="19"/>
  <c r="T10" i="21"/>
  <c r="T55" i="21"/>
  <c r="Y29" i="19"/>
  <c r="AA63" i="19"/>
  <c r="Z63" i="19"/>
  <c r="Z80" i="19"/>
  <c r="Y80" i="19"/>
  <c r="Y64" i="19"/>
  <c r="Z42" i="19"/>
  <c r="T54" i="21"/>
  <c r="T72" i="21"/>
  <c r="Z85" i="19"/>
  <c r="Y85" i="19"/>
  <c r="Z57" i="19"/>
  <c r="Y74" i="19"/>
  <c r="T60" i="21"/>
  <c r="AA62" i="19"/>
  <c r="T34" i="21"/>
  <c r="AA36" i="19"/>
  <c r="T63" i="21"/>
  <c r="AA65" i="19"/>
  <c r="AA40" i="19"/>
  <c r="T38" i="21"/>
  <c r="T23" i="21"/>
  <c r="AA25" i="19"/>
  <c r="Z92" i="19"/>
  <c r="Y65" i="19"/>
  <c r="Y16" i="19"/>
  <c r="AA90" i="19"/>
  <c r="T88" i="21"/>
  <c r="T75" i="21"/>
  <c r="AA77" i="19"/>
  <c r="Z77" i="19"/>
  <c r="Z62" i="19"/>
  <c r="Z25" i="19"/>
  <c r="AB5" i="20"/>
  <c r="AI5" i="20"/>
  <c r="AA5" i="20"/>
  <c r="AH5" i="20"/>
  <c r="Z5" i="20"/>
  <c r="AG5" i="20"/>
  <c r="Y5" i="20"/>
  <c r="AF5" i="20"/>
  <c r="X5" i="20"/>
  <c r="AE5" i="20"/>
  <c r="W5" i="20"/>
  <c r="AD5" i="20"/>
  <c r="V5" i="20"/>
  <c r="AC5" i="20"/>
  <c r="AL40" i="20"/>
  <c r="AK40" i="20"/>
  <c r="X39" i="20"/>
  <c r="Y45" i="20"/>
  <c r="X40" i="20"/>
  <c r="AM40" i="20"/>
  <c r="AN40" i="20"/>
  <c r="AA43" i="20"/>
  <c r="AB43" i="20"/>
  <c r="AD42" i="20"/>
  <c r="AE42" i="20"/>
  <c r="AG42" i="20"/>
  <c r="AH42" i="20"/>
  <c r="AM42" i="20"/>
  <c r="AN42" i="20"/>
  <c r="S51" i="20"/>
  <c r="Y44" i="20"/>
  <c r="S55" i="20"/>
  <c r="S52" i="20"/>
  <c r="S54" i="20"/>
  <c r="AC5" i="22"/>
  <c r="AJ5" i="22"/>
  <c r="AB5" i="22"/>
  <c r="AI5" i="22"/>
  <c r="AA5" i="22"/>
  <c r="AH5" i="22"/>
  <c r="Z5" i="22"/>
  <c r="AG5" i="22"/>
  <c r="Y5" i="22"/>
  <c r="AF5" i="22"/>
  <c r="X5" i="22"/>
  <c r="AE5" i="22"/>
  <c r="U23" i="22"/>
  <c r="S26" i="22"/>
  <c r="S27" i="22"/>
  <c r="S60" i="22"/>
  <c r="V52" i="20"/>
  <c r="V55" i="20"/>
  <c r="Y41" i="20"/>
  <c r="Y47" i="20"/>
  <c r="V51" i="20"/>
  <c r="W54" i="20"/>
  <c r="X54" i="20"/>
  <c r="Y54" i="20"/>
  <c r="Z55" i="20"/>
  <c r="Y39" i="20"/>
  <c r="Y42" i="20"/>
  <c r="Y43" i="20"/>
  <c r="Y40" i="20"/>
  <c r="T50" i="22"/>
  <c r="S50" i="22"/>
  <c r="T88" i="22"/>
  <c r="S88" i="22"/>
  <c r="T109" i="22"/>
  <c r="S109" i="22"/>
  <c r="T105" i="22"/>
  <c r="S105" i="22"/>
  <c r="T31" i="22"/>
  <c r="S31" i="22"/>
  <c r="T54" i="22"/>
  <c r="T28" i="22"/>
  <c r="S28" i="22"/>
  <c r="T38" i="22"/>
  <c r="S38" i="22"/>
  <c r="T43" i="22"/>
  <c r="T63" i="22"/>
  <c r="S63" i="22"/>
  <c r="T53" i="22"/>
  <c r="T42" i="22"/>
  <c r="T19" i="22"/>
  <c r="T89" i="22"/>
  <c r="S89" i="22"/>
  <c r="T83" i="22"/>
  <c r="S83" i="22"/>
  <c r="T60" i="22"/>
  <c r="T98" i="22"/>
  <c r="S98" i="22"/>
  <c r="T113" i="22"/>
  <c r="S113" i="22"/>
  <c r="T106" i="22"/>
  <c r="S106" i="22"/>
  <c r="T81" i="22"/>
  <c r="S81" i="22"/>
  <c r="T86" i="22"/>
  <c r="S86" i="22"/>
  <c r="T20" i="22"/>
  <c r="S20" i="22"/>
  <c r="T56" i="22"/>
  <c r="T51" i="22"/>
  <c r="S51" i="22"/>
  <c r="T22" i="22"/>
  <c r="T80" i="22"/>
  <c r="S80" i="22"/>
  <c r="T93" i="22"/>
  <c r="S93" i="22"/>
  <c r="T36" i="22"/>
  <c r="S36" i="22"/>
  <c r="T35" i="22"/>
  <c r="S35" i="22"/>
  <c r="T18" i="22"/>
  <c r="S18" i="22"/>
  <c r="T59" i="22"/>
  <c r="S59" i="22"/>
  <c r="T103" i="22"/>
  <c r="S103" i="22"/>
  <c r="T112" i="22"/>
  <c r="T39" i="22"/>
  <c r="S39" i="22"/>
  <c r="T72" i="22"/>
  <c r="S72" i="22"/>
  <c r="T73" i="22"/>
  <c r="S73" i="22"/>
  <c r="T99" i="22"/>
  <c r="S99" i="22"/>
  <c r="T76" i="22"/>
  <c r="S76" i="22"/>
  <c r="T84" i="22"/>
  <c r="S84" i="22"/>
  <c r="T107" i="22"/>
  <c r="S107" i="22"/>
  <c r="T37" i="22"/>
  <c r="S37" i="22"/>
  <c r="T91" i="22"/>
  <c r="S91" i="22"/>
  <c r="T92" i="22"/>
  <c r="S92" i="22"/>
  <c r="T65" i="22"/>
  <c r="S65" i="22"/>
  <c r="T78" i="22"/>
  <c r="S78" i="22"/>
  <c r="T40" i="22"/>
  <c r="S40" i="22"/>
  <c r="T66" i="22"/>
  <c r="S66" i="22"/>
  <c r="T32" i="22"/>
  <c r="S32" i="22"/>
  <c r="T71" i="22"/>
  <c r="S71" i="22"/>
  <c r="T108" i="22"/>
  <c r="T55" i="22"/>
  <c r="T49" i="22"/>
  <c r="S49" i="22"/>
  <c r="T74" i="22"/>
  <c r="S74" i="22"/>
  <c r="T75" i="22"/>
  <c r="S75" i="22"/>
  <c r="T27" i="22"/>
  <c r="T44" i="22"/>
  <c r="S44" i="22"/>
  <c r="T102" i="22"/>
  <c r="S102" i="22"/>
  <c r="T16" i="22"/>
  <c r="S16" i="22"/>
  <c r="T29" i="22"/>
  <c r="S29" i="22"/>
  <c r="T26" i="22"/>
  <c r="T48" i="22"/>
  <c r="S48" i="22"/>
  <c r="T104" i="22"/>
  <c r="Y55" i="20"/>
  <c r="P20" i="21"/>
  <c r="P21" i="21"/>
  <c r="P22" i="21"/>
  <c r="P23" i="21"/>
  <c r="E112" i="21"/>
  <c r="F100" i="21"/>
  <c r="Z54" i="20"/>
  <c r="X55" i="20"/>
  <c r="F82" i="21"/>
  <c r="F42" i="21"/>
  <c r="F48" i="21"/>
  <c r="F50" i="21"/>
  <c r="F47" i="21"/>
  <c r="F24" i="21"/>
  <c r="F58" i="21"/>
  <c r="F8" i="21"/>
  <c r="F106" i="21"/>
  <c r="F36" i="21"/>
  <c r="F31" i="21"/>
  <c r="F19" i="21"/>
  <c r="F22" i="21"/>
  <c r="F13" i="21"/>
  <c r="F96" i="21"/>
  <c r="X31" i="19"/>
  <c r="H31" i="19"/>
  <c r="V31" i="19"/>
  <c r="H21" i="19"/>
  <c r="V21" i="19"/>
  <c r="X21" i="19"/>
  <c r="X46" i="19"/>
  <c r="H46" i="19"/>
  <c r="V46" i="19"/>
  <c r="X51" i="19"/>
  <c r="H51" i="19"/>
  <c r="M51" i="19"/>
  <c r="H15" i="19"/>
  <c r="M15" i="19"/>
  <c r="X15" i="19"/>
  <c r="W15" i="19"/>
  <c r="X93" i="19"/>
  <c r="H93" i="19"/>
  <c r="M93" i="19"/>
  <c r="AA93" i="19"/>
  <c r="H78" i="19"/>
  <c r="W78" i="19"/>
  <c r="X78" i="19"/>
  <c r="M78" i="19"/>
  <c r="S14" i="19"/>
  <c r="Q14" i="19"/>
  <c r="P14" i="19"/>
  <c r="D6" i="19"/>
  <c r="O14" i="19"/>
  <c r="S17" i="19"/>
  <c r="Q17" i="19"/>
  <c r="O17" i="19"/>
  <c r="P17" i="19"/>
  <c r="G6" i="19"/>
  <c r="S13" i="19"/>
  <c r="Q13" i="19"/>
  <c r="O13" i="19"/>
  <c r="C6" i="19"/>
  <c r="P13" i="19"/>
  <c r="U8" i="22"/>
  <c r="D11" i="22"/>
  <c r="D6" i="22"/>
  <c r="AI13" i="22"/>
  <c r="AP25" i="22"/>
  <c r="Y13" i="22"/>
  <c r="AE25" i="22"/>
  <c r="AB13" i="22"/>
  <c r="AQ25" i="22"/>
  <c r="Z4" i="22"/>
  <c r="AA4" i="22"/>
  <c r="D7" i="22"/>
  <c r="AE13" i="22"/>
  <c r="AA25" i="22"/>
  <c r="AH13" i="22"/>
  <c r="AJ25" i="22"/>
  <c r="X13" i="22"/>
  <c r="AB25" i="22"/>
  <c r="D9" i="22"/>
  <c r="D8" i="22"/>
  <c r="AA13" i="22"/>
  <c r="AK25" i="22"/>
  <c r="AD13" i="22"/>
  <c r="X25" i="22"/>
  <c r="AG13" i="22"/>
  <c r="AG25" i="22"/>
  <c r="AJ13" i="22"/>
  <c r="AM25" i="22"/>
  <c r="D5" i="22"/>
  <c r="D10" i="22"/>
  <c r="W13" i="22"/>
  <c r="Z13" i="22"/>
  <c r="AH25" i="22"/>
  <c r="AC13" i="22"/>
  <c r="AN25" i="22"/>
  <c r="AF13" i="22"/>
  <c r="AD25" i="22"/>
  <c r="F9" i="22"/>
  <c r="X15" i="22"/>
  <c r="AB27" i="22"/>
  <c r="Y15" i="22"/>
  <c r="AE27" i="22"/>
  <c r="AD15" i="22"/>
  <c r="X27" i="22"/>
  <c r="AE15" i="22"/>
  <c r="AA27" i="22"/>
  <c r="F11" i="22"/>
  <c r="F10" i="22"/>
  <c r="F6" i="22"/>
  <c r="AJ15" i="22"/>
  <c r="AM27" i="22"/>
  <c r="Z15" i="22"/>
  <c r="AH27" i="22"/>
  <c r="AA15" i="22"/>
  <c r="AK27" i="22"/>
  <c r="F5" i="22"/>
  <c r="F7" i="22"/>
  <c r="AF15" i="22"/>
  <c r="AD27" i="22"/>
  <c r="AG15" i="22"/>
  <c r="AG27" i="22"/>
  <c r="W15" i="22"/>
  <c r="U10" i="22"/>
  <c r="F8" i="22"/>
  <c r="AB15" i="22"/>
  <c r="AQ27" i="22"/>
  <c r="AC15" i="22"/>
  <c r="AN27" i="22"/>
  <c r="AH15" i="22"/>
  <c r="AJ27" i="22"/>
  <c r="AI15" i="22"/>
  <c r="AP27" i="22"/>
  <c r="H37" i="19"/>
  <c r="W37" i="19"/>
  <c r="V37" i="19"/>
  <c r="Y37" i="19"/>
  <c r="X37" i="19"/>
  <c r="M37" i="19"/>
  <c r="X38" i="19"/>
  <c r="H38" i="19"/>
  <c r="W38" i="19"/>
  <c r="X23" i="19"/>
  <c r="H23" i="19"/>
  <c r="V23" i="19"/>
  <c r="X49" i="19"/>
  <c r="H49" i="19"/>
  <c r="W49" i="19"/>
  <c r="V49" i="19"/>
  <c r="Y49" i="19"/>
  <c r="H26" i="19"/>
  <c r="W26" i="19"/>
  <c r="X26" i="19"/>
  <c r="V26" i="19"/>
  <c r="Y26" i="19"/>
  <c r="X79" i="19"/>
  <c r="H79" i="19"/>
  <c r="W79" i="19"/>
  <c r="H68" i="19"/>
  <c r="V68" i="19"/>
  <c r="X68" i="19"/>
  <c r="M68" i="19"/>
  <c r="H13" i="19"/>
  <c r="M13" i="19"/>
  <c r="X13" i="19"/>
  <c r="X76" i="19"/>
  <c r="H76" i="19"/>
  <c r="W76" i="19"/>
  <c r="X39" i="19"/>
  <c r="H39" i="19"/>
  <c r="M39" i="19"/>
  <c r="H22" i="19"/>
  <c r="V22" i="19"/>
  <c r="X22" i="19"/>
  <c r="F7" i="21"/>
  <c r="B4" i="21"/>
  <c r="O20" i="21"/>
  <c r="R20" i="21"/>
  <c r="N20" i="21"/>
  <c r="Q20" i="21"/>
  <c r="C4" i="21"/>
  <c r="N21" i="21"/>
  <c r="R21" i="21"/>
  <c r="O21" i="21"/>
  <c r="X84" i="19"/>
  <c r="H84" i="19"/>
  <c r="X27" i="19"/>
  <c r="H27" i="19"/>
  <c r="W27" i="19"/>
  <c r="H48" i="19"/>
  <c r="M48" i="19"/>
  <c r="X48" i="19"/>
  <c r="H35" i="19"/>
  <c r="V35" i="19"/>
  <c r="X35" i="19"/>
  <c r="X73" i="19"/>
  <c r="H73" i="19"/>
  <c r="M73" i="19"/>
  <c r="H86" i="19"/>
  <c r="V86" i="19"/>
  <c r="X86" i="19"/>
  <c r="W86" i="19"/>
  <c r="H71" i="19"/>
  <c r="M71" i="19"/>
  <c r="X71" i="19"/>
  <c r="V71" i="19"/>
  <c r="H67" i="19"/>
  <c r="V67" i="19"/>
  <c r="X67" i="19"/>
  <c r="X98" i="19"/>
  <c r="H98" i="19"/>
  <c r="V98" i="19"/>
  <c r="F86" i="21"/>
  <c r="F41" i="21"/>
  <c r="F15" i="21"/>
  <c r="F44" i="21"/>
  <c r="F74" i="21"/>
  <c r="F99" i="21"/>
  <c r="F91" i="21"/>
  <c r="F9" i="21"/>
  <c r="F37" i="21"/>
  <c r="F46" i="21"/>
  <c r="F102" i="21"/>
  <c r="F81" i="21"/>
  <c r="F65" i="21"/>
  <c r="F43" i="21"/>
  <c r="F73" i="21"/>
  <c r="F49" i="21"/>
  <c r="F20" i="21"/>
  <c r="F67" i="21"/>
  <c r="F64" i="21"/>
  <c r="F21" i="21"/>
  <c r="F85" i="21"/>
  <c r="F84" i="21"/>
  <c r="F77" i="21"/>
  <c r="F66" i="21"/>
  <c r="F32" i="21"/>
  <c r="H54" i="19"/>
  <c r="V54" i="19"/>
  <c r="X54" i="19"/>
  <c r="X30" i="19"/>
  <c r="H30" i="19"/>
  <c r="W30" i="19"/>
  <c r="V30" i="19"/>
  <c r="Y30" i="19"/>
  <c r="X75" i="19"/>
  <c r="H75" i="19"/>
  <c r="M75" i="19"/>
  <c r="X24" i="19"/>
  <c r="H24" i="19"/>
  <c r="M24" i="19"/>
  <c r="H81" i="19"/>
  <c r="V81" i="19"/>
  <c r="X81" i="19"/>
  <c r="W81" i="19"/>
  <c r="H55" i="19"/>
  <c r="M55" i="19"/>
  <c r="X55" i="19"/>
  <c r="F6" i="19"/>
  <c r="Q16" i="19"/>
  <c r="P16" i="19"/>
  <c r="S16" i="19"/>
  <c r="X9" i="19"/>
  <c r="H9" i="19"/>
  <c r="M9" i="19"/>
  <c r="S12" i="19"/>
  <c r="B6" i="19"/>
  <c r="P12" i="19"/>
  <c r="O12" i="19"/>
  <c r="S15" i="19"/>
  <c r="O16" i="19"/>
  <c r="E6" i="19"/>
  <c r="Q15" i="19"/>
  <c r="O15" i="19"/>
  <c r="P15" i="19"/>
  <c r="T14" i="22"/>
  <c r="S14" i="22"/>
  <c r="AC11" i="22"/>
  <c r="AN23" i="22"/>
  <c r="AE11" i="22"/>
  <c r="AA23" i="22"/>
  <c r="B10" i="22"/>
  <c r="Z11" i="22"/>
  <c r="AH23" i="22"/>
  <c r="AF11" i="22"/>
  <c r="AD23" i="22"/>
  <c r="AG11" i="22"/>
  <c r="AG23" i="22"/>
  <c r="AI11" i="22"/>
  <c r="AP23" i="22"/>
  <c r="B11" i="22"/>
  <c r="B7" i="22"/>
  <c r="B6" i="22"/>
  <c r="AB11" i="22"/>
  <c r="AQ23" i="22"/>
  <c r="B5" i="22"/>
  <c r="W11" i="22"/>
  <c r="Y23" i="22"/>
  <c r="B8" i="22"/>
  <c r="AH11" i="22"/>
  <c r="AJ23" i="22"/>
  <c r="X11" i="22"/>
  <c r="AB23" i="22"/>
  <c r="Y11" i="22"/>
  <c r="AE23" i="22"/>
  <c r="U6" i="22"/>
  <c r="AA11" i="22"/>
  <c r="AK23" i="22"/>
  <c r="B9" i="22"/>
  <c r="AD11" i="22"/>
  <c r="X23" i="22"/>
  <c r="AJ11" i="22"/>
  <c r="AM23" i="22"/>
  <c r="C9" i="22"/>
  <c r="C8" i="22"/>
  <c r="U7" i="22"/>
  <c r="AC12" i="22"/>
  <c r="AN24" i="22"/>
  <c r="AF12" i="22"/>
  <c r="AD24" i="22"/>
  <c r="AE12" i="22"/>
  <c r="AA24" i="22"/>
  <c r="AH12" i="22"/>
  <c r="AJ24" i="22"/>
  <c r="Y12" i="22"/>
  <c r="AE24" i="22"/>
  <c r="AB12" i="22"/>
  <c r="AQ24" i="22"/>
  <c r="AA12" i="22"/>
  <c r="AK24" i="22"/>
  <c r="AD12" i="22"/>
  <c r="X24" i="22"/>
  <c r="C11" i="22"/>
  <c r="C7" i="22"/>
  <c r="C10" i="22"/>
  <c r="C6" i="22"/>
  <c r="C5" i="22"/>
  <c r="X12" i="22"/>
  <c r="AB24" i="22"/>
  <c r="W12" i="22"/>
  <c r="Z12" i="22"/>
  <c r="AH24" i="22"/>
  <c r="AG12" i="22"/>
  <c r="AG24" i="22"/>
  <c r="AJ12" i="22"/>
  <c r="AM24" i="22"/>
  <c r="AI12" i="22"/>
  <c r="AP24" i="22"/>
  <c r="E11" i="22"/>
  <c r="E7" i="22"/>
  <c r="AG14" i="22"/>
  <c r="AG26" i="22"/>
  <c r="AJ14" i="22"/>
  <c r="AM26" i="22"/>
  <c r="AI14" i="22"/>
  <c r="AP26" i="22"/>
  <c r="E8" i="22"/>
  <c r="AC14" i="22"/>
  <c r="AN26" i="22"/>
  <c r="AF14" i="22"/>
  <c r="AD26" i="22"/>
  <c r="AE14" i="22"/>
  <c r="AA26" i="22"/>
  <c r="AH14" i="22"/>
  <c r="AJ26" i="22"/>
  <c r="E9" i="22"/>
  <c r="Y14" i="22"/>
  <c r="AE26" i="22"/>
  <c r="AB14" i="22"/>
  <c r="AQ26" i="22"/>
  <c r="AA14" i="22"/>
  <c r="AK26" i="22"/>
  <c r="AD14" i="22"/>
  <c r="X26" i="22"/>
  <c r="E10" i="22"/>
  <c r="U9" i="22"/>
  <c r="E6" i="22"/>
  <c r="E5" i="22"/>
  <c r="X14" i="22"/>
  <c r="AB26" i="22"/>
  <c r="W14" i="22"/>
  <c r="Z14" i="22"/>
  <c r="AH26" i="22"/>
  <c r="X44" i="19"/>
  <c r="H44" i="19"/>
  <c r="W44" i="19"/>
  <c r="V44" i="19"/>
  <c r="X14" i="19"/>
  <c r="H14" i="19"/>
  <c r="V14" i="19"/>
  <c r="X58" i="19"/>
  <c r="H58" i="19"/>
  <c r="W58" i="19"/>
  <c r="X36" i="21"/>
  <c r="X60" i="19"/>
  <c r="H60" i="19"/>
  <c r="V60" i="19"/>
  <c r="X87" i="19"/>
  <c r="H87" i="19"/>
  <c r="W87" i="19"/>
  <c r="V87" i="19"/>
  <c r="Y87" i="19"/>
  <c r="X32" i="19"/>
  <c r="H32" i="19"/>
  <c r="V32" i="19"/>
  <c r="X45" i="19"/>
  <c r="H45" i="19"/>
  <c r="W45" i="19"/>
  <c r="V45" i="19"/>
  <c r="Y45" i="19"/>
  <c r="X88" i="19"/>
  <c r="H88" i="19"/>
  <c r="V88" i="19"/>
  <c r="H43" i="19"/>
  <c r="V43" i="19"/>
  <c r="X43" i="19"/>
  <c r="Z19" i="21"/>
  <c r="Y19" i="21"/>
  <c r="X19" i="21"/>
  <c r="H17" i="19"/>
  <c r="V17" i="19"/>
  <c r="X17" i="19"/>
  <c r="W17" i="19"/>
  <c r="X22" i="21"/>
  <c r="Z13" i="21"/>
  <c r="H11" i="19"/>
  <c r="M11" i="19"/>
  <c r="X11" i="19"/>
  <c r="W11" i="19"/>
  <c r="H97" i="19"/>
  <c r="V97" i="19"/>
  <c r="X97" i="19"/>
  <c r="X70" i="19"/>
  <c r="H70" i="19"/>
  <c r="V70" i="19"/>
  <c r="O22" i="21"/>
  <c r="D4" i="21"/>
  <c r="R22" i="21"/>
  <c r="N22" i="21"/>
  <c r="E4" i="21"/>
  <c r="N23" i="21"/>
  <c r="R23" i="21"/>
  <c r="O23" i="21"/>
  <c r="X69" i="19"/>
  <c r="H69" i="19"/>
  <c r="V69" i="19"/>
  <c r="X50" i="19"/>
  <c r="H50" i="19"/>
  <c r="Z48" i="21"/>
  <c r="X66" i="19"/>
  <c r="H66" i="19"/>
  <c r="W66" i="19"/>
  <c r="X52" i="19"/>
  <c r="H52" i="19"/>
  <c r="Y50" i="21"/>
  <c r="H61" i="19"/>
  <c r="M61" i="19"/>
  <c r="X61" i="19"/>
  <c r="X33" i="19"/>
  <c r="H33" i="19"/>
  <c r="Y31" i="21"/>
  <c r="X10" i="19"/>
  <c r="H10" i="19"/>
  <c r="V10" i="19"/>
  <c r="H94" i="19"/>
  <c r="M94" i="19"/>
  <c r="AA94" i="19"/>
  <c r="X94" i="19"/>
  <c r="X83" i="19"/>
  <c r="H83" i="19"/>
  <c r="M83" i="19"/>
  <c r="X34" i="19"/>
  <c r="H34" i="19"/>
  <c r="M34" i="19"/>
  <c r="F52" i="21"/>
  <c r="F11" i="21"/>
  <c r="F28" i="21"/>
  <c r="F79" i="21"/>
  <c r="F76" i="21"/>
  <c r="F12" i="21"/>
  <c r="F35" i="21"/>
  <c r="F25" i="21"/>
  <c r="F56" i="21"/>
  <c r="F33" i="21"/>
  <c r="F98" i="21"/>
  <c r="F69" i="21"/>
  <c r="F29" i="21"/>
  <c r="F97" i="21"/>
  <c r="F53" i="21"/>
  <c r="F95" i="21"/>
  <c r="F68" i="21"/>
  <c r="F101" i="21"/>
  <c r="F59" i="21"/>
  <c r="F71" i="21"/>
  <c r="F30" i="21"/>
  <c r="F92" i="21"/>
  <c r="F105" i="21"/>
  <c r="Q21" i="21"/>
  <c r="Q23" i="21"/>
  <c r="Q22" i="21"/>
  <c r="P24" i="21"/>
  <c r="R14" i="19"/>
  <c r="R15" i="19"/>
  <c r="R17" i="19"/>
  <c r="Z36" i="21"/>
  <c r="Y36" i="21"/>
  <c r="Z82" i="21"/>
  <c r="AA55" i="20"/>
  <c r="AA54" i="20"/>
  <c r="X13" i="21"/>
  <c r="Y13" i="21"/>
  <c r="R16" i="19"/>
  <c r="R12" i="19"/>
  <c r="R13" i="19"/>
  <c r="M46" i="19"/>
  <c r="AA46" i="19"/>
  <c r="Y22" i="21"/>
  <c r="Z22" i="21"/>
  <c r="W55" i="19"/>
  <c r="Z55" i="19"/>
  <c r="V55" i="19"/>
  <c r="W98" i="19"/>
  <c r="Z98" i="19"/>
  <c r="Y98" i="19"/>
  <c r="M98" i="19"/>
  <c r="AA98" i="19"/>
  <c r="V34" i="19"/>
  <c r="W9" i="19"/>
  <c r="Z9" i="19"/>
  <c r="W68" i="19"/>
  <c r="Y68" i="19"/>
  <c r="Z24" i="21"/>
  <c r="W46" i="19"/>
  <c r="Y46" i="19"/>
  <c r="M21" i="19"/>
  <c r="AA21" i="19"/>
  <c r="W21" i="19"/>
  <c r="Y21" i="19"/>
  <c r="W31" i="19"/>
  <c r="Z31" i="19"/>
  <c r="M31" i="19"/>
  <c r="AA31" i="19"/>
  <c r="W61" i="19"/>
  <c r="Z61" i="19"/>
  <c r="V61" i="19"/>
  <c r="V9" i="19"/>
  <c r="V39" i="19"/>
  <c r="X24" i="21"/>
  <c r="Z47" i="21"/>
  <c r="Z81" i="19"/>
  <c r="M67" i="19"/>
  <c r="W67" i="19"/>
  <c r="Z67" i="19"/>
  <c r="Y67" i="19"/>
  <c r="V73" i="19"/>
  <c r="W73" i="19"/>
  <c r="Z73" i="19"/>
  <c r="Z27" i="19"/>
  <c r="W84" i="19"/>
  <c r="Z84" i="19"/>
  <c r="M84" i="19"/>
  <c r="V84" i="19"/>
  <c r="M79" i="19"/>
  <c r="V79" i="19"/>
  <c r="Z38" i="19"/>
  <c r="W34" i="19"/>
  <c r="Z34" i="19"/>
  <c r="Y34" i="19"/>
  <c r="M66" i="19"/>
  <c r="AA66" i="19"/>
  <c r="M50" i="19"/>
  <c r="T48" i="21"/>
  <c r="Y17" i="19"/>
  <c r="Z15" i="19"/>
  <c r="W33" i="19"/>
  <c r="W69" i="19"/>
  <c r="Y69" i="19"/>
  <c r="M69" i="19"/>
  <c r="AA69" i="19"/>
  <c r="W70" i="19"/>
  <c r="Y70" i="19"/>
  <c r="M70" i="19"/>
  <c r="AA70" i="19"/>
  <c r="M97" i="19"/>
  <c r="AA97" i="19"/>
  <c r="W97" i="19"/>
  <c r="Y97" i="19"/>
  <c r="M17" i="19"/>
  <c r="T15" i="21"/>
  <c r="M87" i="19"/>
  <c r="T85" i="21"/>
  <c r="M60" i="19"/>
  <c r="AA60" i="19"/>
  <c r="W60" i="19"/>
  <c r="V75" i="19"/>
  <c r="W75" i="19"/>
  <c r="W48" i="19"/>
  <c r="V48" i="19"/>
  <c r="Y48" i="19"/>
  <c r="V27" i="19"/>
  <c r="M76" i="19"/>
  <c r="T74" i="21"/>
  <c r="V76" i="19"/>
  <c r="Y24" i="21"/>
  <c r="M26" i="19"/>
  <c r="Z26" i="19"/>
  <c r="Y47" i="21"/>
  <c r="X47" i="21"/>
  <c r="M49" i="19"/>
  <c r="M23" i="19"/>
  <c r="AA23" i="19"/>
  <c r="W23" i="19"/>
  <c r="Z23" i="19"/>
  <c r="Y23" i="19"/>
  <c r="M38" i="19"/>
  <c r="T36" i="21"/>
  <c r="Z78" i="19"/>
  <c r="V51" i="19"/>
  <c r="W52" i="19"/>
  <c r="V52" i="19"/>
  <c r="Y52" i="19"/>
  <c r="Y81" i="19"/>
  <c r="Y27" i="19"/>
  <c r="V38" i="19"/>
  <c r="Y38" i="19"/>
  <c r="AA75" i="19"/>
  <c r="T73" i="21"/>
  <c r="AA71" i="19"/>
  <c r="T69" i="21"/>
  <c r="T46" i="21"/>
  <c r="AA48" i="19"/>
  <c r="AA13" i="19"/>
  <c r="T11" i="21"/>
  <c r="AA15" i="19"/>
  <c r="T13" i="21"/>
  <c r="AA51" i="19"/>
  <c r="T49" i="21"/>
  <c r="T81" i="21"/>
  <c r="AA83" i="19"/>
  <c r="T59" i="21"/>
  <c r="AA61" i="19"/>
  <c r="AA11" i="19"/>
  <c r="T9" i="21"/>
  <c r="AA24" i="19"/>
  <c r="T22" i="21"/>
  <c r="T71" i="21"/>
  <c r="AA73" i="19"/>
  <c r="AA39" i="19"/>
  <c r="T37" i="21"/>
  <c r="X30" i="21"/>
  <c r="Z30" i="21"/>
  <c r="Y30" i="21"/>
  <c r="Z56" i="21"/>
  <c r="X56" i="21"/>
  <c r="Y56" i="21"/>
  <c r="Y35" i="21"/>
  <c r="Z35" i="21"/>
  <c r="X35" i="21"/>
  <c r="Z79" i="21"/>
  <c r="Y79" i="21"/>
  <c r="X79" i="21"/>
  <c r="Y11" i="21"/>
  <c r="X11" i="21"/>
  <c r="Z11" i="21"/>
  <c r="T64" i="21"/>
  <c r="T67" i="21"/>
  <c r="Y59" i="21"/>
  <c r="Z59" i="21"/>
  <c r="X59" i="21"/>
  <c r="X68" i="21"/>
  <c r="Y68" i="21"/>
  <c r="Z68" i="21"/>
  <c r="X53" i="21"/>
  <c r="Z53" i="21"/>
  <c r="Y53" i="21"/>
  <c r="X29" i="21"/>
  <c r="Z29" i="21"/>
  <c r="Y29" i="21"/>
  <c r="X69" i="21"/>
  <c r="Z69" i="21"/>
  <c r="Y69" i="21"/>
  <c r="Y33" i="21"/>
  <c r="X33" i="21"/>
  <c r="Z33" i="21"/>
  <c r="Z25" i="21"/>
  <c r="Y25" i="21"/>
  <c r="X25" i="21"/>
  <c r="X12" i="21"/>
  <c r="Y12" i="21"/>
  <c r="Z12" i="21"/>
  <c r="Z76" i="21"/>
  <c r="X76" i="21"/>
  <c r="Y76" i="21"/>
  <c r="Z28" i="21"/>
  <c r="X28" i="21"/>
  <c r="Y28" i="21"/>
  <c r="Y52" i="21"/>
  <c r="Z52" i="21"/>
  <c r="X52" i="21"/>
  <c r="V12" i="22"/>
  <c r="U24" i="22"/>
  <c r="Y24" i="22"/>
  <c r="AG43" i="22"/>
  <c r="Y43" i="22"/>
  <c r="AQ43" i="22"/>
  <c r="AH43" i="22"/>
  <c r="AK43" i="22"/>
  <c r="AB43" i="22"/>
  <c r="AE43" i="22"/>
  <c r="X43" i="22"/>
  <c r="AA43" i="22"/>
  <c r="AM43" i="22"/>
  <c r="AN43" i="22"/>
  <c r="AJ43" i="22"/>
  <c r="AP43" i="22"/>
  <c r="AD43" i="22"/>
  <c r="H6" i="19"/>
  <c r="P18" i="19"/>
  <c r="O18" i="19"/>
  <c r="S18" i="19"/>
  <c r="Q18" i="19"/>
  <c r="P2" i="19"/>
  <c r="X32" i="21"/>
  <c r="Y32" i="21"/>
  <c r="Z32" i="21"/>
  <c r="Y85" i="21"/>
  <c r="X85" i="21"/>
  <c r="Z85" i="21"/>
  <c r="Z64" i="21"/>
  <c r="X64" i="21"/>
  <c r="Y64" i="21"/>
  <c r="Y20" i="21"/>
  <c r="X20" i="21"/>
  <c r="Z20" i="21"/>
  <c r="Z49" i="21"/>
  <c r="Y49" i="21"/>
  <c r="X49" i="21"/>
  <c r="X43" i="21"/>
  <c r="Z43" i="21"/>
  <c r="Y43" i="21"/>
  <c r="Z81" i="21"/>
  <c r="X81" i="21"/>
  <c r="Y81" i="21"/>
  <c r="Y46" i="21"/>
  <c r="X46" i="21"/>
  <c r="Z46" i="21"/>
  <c r="Y9" i="21"/>
  <c r="Z9" i="21"/>
  <c r="X9" i="21"/>
  <c r="Z74" i="21"/>
  <c r="Y74" i="21"/>
  <c r="X74" i="21"/>
  <c r="Z15" i="21"/>
  <c r="X15" i="21"/>
  <c r="Y15" i="21"/>
  <c r="Y86" i="21"/>
  <c r="X86" i="21"/>
  <c r="Z86" i="21"/>
  <c r="AG47" i="22"/>
  <c r="Y47" i="22"/>
  <c r="AQ47" i="22"/>
  <c r="AR47" i="22"/>
  <c r="AN47" i="22"/>
  <c r="AJ47" i="22"/>
  <c r="AP47" i="22"/>
  <c r="AD47" i="22"/>
  <c r="AE47" i="22"/>
  <c r="X47" i="22"/>
  <c r="AA47" i="22"/>
  <c r="AM47" i="22"/>
  <c r="AH47" i="22"/>
  <c r="AK47" i="22"/>
  <c r="AB47" i="22"/>
  <c r="V15" i="22"/>
  <c r="Y27" i="22"/>
  <c r="V13" i="22"/>
  <c r="U25" i="22"/>
  <c r="Y25" i="22"/>
  <c r="AA45" i="22"/>
  <c r="AM45" i="22"/>
  <c r="AJ45" i="22"/>
  <c r="AK45" i="22"/>
  <c r="AB45" i="22"/>
  <c r="AE45" i="22"/>
  <c r="X45" i="22"/>
  <c r="Y45" i="22"/>
  <c r="AQ45" i="22"/>
  <c r="AR45" i="22"/>
  <c r="AN45" i="22"/>
  <c r="AH45" i="22"/>
  <c r="AP45" i="22"/>
  <c r="AD45" i="22"/>
  <c r="AG45" i="22"/>
  <c r="AA78" i="19"/>
  <c r="T76" i="21"/>
  <c r="T44" i="21"/>
  <c r="T19" i="21"/>
  <c r="T29" i="21"/>
  <c r="W83" i="19"/>
  <c r="V83" i="19"/>
  <c r="V94" i="19"/>
  <c r="W94" i="19"/>
  <c r="Z94" i="19"/>
  <c r="W10" i="19"/>
  <c r="Z10" i="19"/>
  <c r="Y10" i="19"/>
  <c r="M10" i="19"/>
  <c r="M33" i="19"/>
  <c r="V33" i="19"/>
  <c r="M52" i="19"/>
  <c r="V66" i="19"/>
  <c r="Z66" i="19"/>
  <c r="W50" i="19"/>
  <c r="V50" i="19"/>
  <c r="Y50" i="19"/>
  <c r="Z97" i="19"/>
  <c r="V11" i="19"/>
  <c r="Y11" i="19"/>
  <c r="Z17" i="19"/>
  <c r="M43" i="19"/>
  <c r="W43" i="19"/>
  <c r="Y43" i="19"/>
  <c r="M88" i="19"/>
  <c r="W88" i="19"/>
  <c r="Y88" i="19"/>
  <c r="M45" i="19"/>
  <c r="M32" i="19"/>
  <c r="W32" i="19"/>
  <c r="Z32" i="19"/>
  <c r="Y32" i="19"/>
  <c r="Z87" i="19"/>
  <c r="Z31" i="21"/>
  <c r="M58" i="19"/>
  <c r="V58" i="19"/>
  <c r="Y58" i="19"/>
  <c r="W14" i="19"/>
  <c r="Z14" i="19"/>
  <c r="Y14" i="19"/>
  <c r="M14" i="19"/>
  <c r="M44" i="19"/>
  <c r="M81" i="19"/>
  <c r="W24" i="19"/>
  <c r="Z24" i="19"/>
  <c r="V24" i="19"/>
  <c r="M30" i="19"/>
  <c r="Z30" i="19"/>
  <c r="W54" i="19"/>
  <c r="Z54" i="19"/>
  <c r="Y54" i="19"/>
  <c r="M54" i="19"/>
  <c r="W71" i="19"/>
  <c r="Y71" i="19"/>
  <c r="X8" i="21"/>
  <c r="Z8" i="21"/>
  <c r="M86" i="19"/>
  <c r="X58" i="21"/>
  <c r="Y58" i="21"/>
  <c r="W35" i="19"/>
  <c r="Z35" i="19"/>
  <c r="Y35" i="19"/>
  <c r="M35" i="19"/>
  <c r="M27" i="19"/>
  <c r="X48" i="21"/>
  <c r="Y48" i="21"/>
  <c r="Z42" i="21"/>
  <c r="W22" i="19"/>
  <c r="Z22" i="19"/>
  <c r="Y22" i="19"/>
  <c r="M22" i="19"/>
  <c r="W39" i="19"/>
  <c r="Y39" i="19"/>
  <c r="W13" i="19"/>
  <c r="V13" i="19"/>
  <c r="Y13" i="19"/>
  <c r="Z68" i="19"/>
  <c r="X50" i="21"/>
  <c r="Z50" i="21"/>
  <c r="X82" i="21"/>
  <c r="Y82" i="21"/>
  <c r="V78" i="19"/>
  <c r="Y78" i="19"/>
  <c r="Z71" i="21"/>
  <c r="X71" i="21"/>
  <c r="Y71" i="21"/>
  <c r="T32" i="21"/>
  <c r="AA34" i="19"/>
  <c r="AA50" i="19"/>
  <c r="T68" i="21"/>
  <c r="AA17" i="19"/>
  <c r="AA87" i="19"/>
  <c r="T58" i="21"/>
  <c r="V14" i="22"/>
  <c r="U26" i="22"/>
  <c r="Y26" i="22"/>
  <c r="AN46" i="22"/>
  <c r="AK46" i="22"/>
  <c r="AQ46" i="22"/>
  <c r="AR46" i="22"/>
  <c r="AE46" i="22"/>
  <c r="AH46" i="22"/>
  <c r="Y46" i="22"/>
  <c r="AB46" i="22"/>
  <c r="X46" i="22"/>
  <c r="AP46" i="22"/>
  <c r="AM46" i="22"/>
  <c r="AG46" i="22"/>
  <c r="AJ46" i="22"/>
  <c r="AA46" i="22"/>
  <c r="AD46" i="22"/>
  <c r="AN44" i="22"/>
  <c r="AJ44" i="22"/>
  <c r="AA44" i="22"/>
  <c r="AM44" i="22"/>
  <c r="AG44" i="22"/>
  <c r="AK44" i="22"/>
  <c r="AB44" i="22"/>
  <c r="X56" i="22"/>
  <c r="AH44" i="22"/>
  <c r="Y44" i="22"/>
  <c r="AQ44" i="22"/>
  <c r="AE44" i="22"/>
  <c r="X44" i="22"/>
  <c r="AP44" i="22"/>
  <c r="AD44" i="22"/>
  <c r="O2" i="19"/>
  <c r="AA9" i="19"/>
  <c r="T7" i="21"/>
  <c r="AA55" i="19"/>
  <c r="T53" i="21"/>
  <c r="Y66" i="21"/>
  <c r="X66" i="21"/>
  <c r="Z66" i="21"/>
  <c r="X77" i="21"/>
  <c r="Y77" i="21"/>
  <c r="Z77" i="21"/>
  <c r="X84" i="21"/>
  <c r="Y84" i="21"/>
  <c r="Z84" i="21"/>
  <c r="X21" i="21"/>
  <c r="Y21" i="21"/>
  <c r="Z21" i="21"/>
  <c r="Z67" i="21"/>
  <c r="Y67" i="21"/>
  <c r="X67" i="21"/>
  <c r="X73" i="21"/>
  <c r="Z73" i="21"/>
  <c r="Y73" i="21"/>
  <c r="Z65" i="21"/>
  <c r="X65" i="21"/>
  <c r="Y65" i="21"/>
  <c r="Y37" i="21"/>
  <c r="X37" i="21"/>
  <c r="Z37" i="21"/>
  <c r="Z44" i="21"/>
  <c r="Y44" i="21"/>
  <c r="X44" i="21"/>
  <c r="Z41" i="21"/>
  <c r="Y41" i="21"/>
  <c r="X41" i="21"/>
  <c r="T65" i="21"/>
  <c r="AA67" i="19"/>
  <c r="T82" i="21"/>
  <c r="AA84" i="19"/>
  <c r="Z7" i="21"/>
  <c r="X7" i="21"/>
  <c r="Y7" i="21"/>
  <c r="R24" i="21"/>
  <c r="N24" i="21"/>
  <c r="F4" i="21"/>
  <c r="O24" i="21"/>
  <c r="AA76" i="19"/>
  <c r="AA68" i="19"/>
  <c r="T66" i="21"/>
  <c r="T77" i="21"/>
  <c r="AA79" i="19"/>
  <c r="T24" i="21"/>
  <c r="AA26" i="19"/>
  <c r="T47" i="21"/>
  <c r="AA49" i="19"/>
  <c r="Z49" i="19"/>
  <c r="T21" i="21"/>
  <c r="AA38" i="19"/>
  <c r="T35" i="21"/>
  <c r="AA37" i="19"/>
  <c r="Z37" i="19"/>
  <c r="Z83" i="19"/>
  <c r="Y83" i="19"/>
  <c r="Z11" i="19"/>
  <c r="Z43" i="19"/>
  <c r="X31" i="21"/>
  <c r="Z58" i="19"/>
  <c r="Z44" i="19"/>
  <c r="Y44" i="19"/>
  <c r="Z75" i="19"/>
  <c r="Y8" i="21"/>
  <c r="Z86" i="19"/>
  <c r="Y86" i="19"/>
  <c r="Z58" i="21"/>
  <c r="Y42" i="21"/>
  <c r="X42" i="21"/>
  <c r="D114" i="21"/>
  <c r="Z76" i="19"/>
  <c r="Y76" i="19"/>
  <c r="Z79" i="19"/>
  <c r="W93" i="19"/>
  <c r="V93" i="19"/>
  <c r="V15" i="19"/>
  <c r="Y15" i="19"/>
  <c r="W51" i="19"/>
  <c r="Y51" i="19"/>
  <c r="Z46" i="19"/>
  <c r="Z21" i="19"/>
  <c r="Q24" i="21"/>
  <c r="N18" i="21"/>
  <c r="Y79" i="19"/>
  <c r="AR44" i="22"/>
  <c r="Y31" i="19"/>
  <c r="Z70" i="19"/>
  <c r="Z69" i="19"/>
  <c r="Z13" i="19"/>
  <c r="Z88" i="19"/>
  <c r="W44" i="22"/>
  <c r="AS44" i="22"/>
  <c r="W46" i="22"/>
  <c r="AS46" i="22"/>
  <c r="Z60" i="19"/>
  <c r="Y60" i="19"/>
  <c r="Y55" i="19"/>
  <c r="Y33" i="19"/>
  <c r="W45" i="22"/>
  <c r="AS45" i="22"/>
  <c r="W47" i="22"/>
  <c r="AS47" i="22"/>
  <c r="AB55" i="20"/>
  <c r="AB54" i="20"/>
  <c r="AC54" i="20"/>
  <c r="Z48" i="19"/>
  <c r="Y66" i="19"/>
  <c r="Y75" i="19"/>
  <c r="Y9" i="19"/>
  <c r="Y73" i="19"/>
  <c r="Y61" i="19"/>
  <c r="Z51" i="19"/>
  <c r="Z39" i="19"/>
  <c r="R18" i="19"/>
  <c r="Y84" i="19"/>
  <c r="Y24" i="19"/>
  <c r="Z50" i="19"/>
  <c r="Z52" i="19"/>
  <c r="AA22" i="19"/>
  <c r="T20" i="21"/>
  <c r="T25" i="21"/>
  <c r="AA27" i="19"/>
  <c r="AA30" i="19"/>
  <c r="T28" i="21"/>
  <c r="T12" i="21"/>
  <c r="AA14" i="19"/>
  <c r="T43" i="21"/>
  <c r="AA45" i="19"/>
  <c r="Z45" i="19"/>
  <c r="AA88" i="19"/>
  <c r="T86" i="21"/>
  <c r="T41" i="21"/>
  <c r="AA43" i="19"/>
  <c r="T50" i="21"/>
  <c r="AA52" i="19"/>
  <c r="T31" i="21"/>
  <c r="AA33" i="19"/>
  <c r="Z33" i="19"/>
  <c r="W43" i="22"/>
  <c r="W25" i="22"/>
  <c r="AS25" i="22"/>
  <c r="W26" i="22"/>
  <c r="AS26" i="22"/>
  <c r="W27" i="22"/>
  <c r="AS27" i="22"/>
  <c r="W24" i="22"/>
  <c r="AS24" i="22"/>
  <c r="W23" i="22"/>
  <c r="AS23" i="22"/>
  <c r="AC47" i="22"/>
  <c r="AC46" i="22"/>
  <c r="AC43" i="22"/>
  <c r="AC45" i="22"/>
  <c r="X58" i="22"/>
  <c r="AC44" i="22"/>
  <c r="AC23" i="22"/>
  <c r="AC25" i="22"/>
  <c r="AC26" i="22"/>
  <c r="AC27" i="22"/>
  <c r="AC24" i="22"/>
  <c r="Z58" i="22"/>
  <c r="AI46" i="22"/>
  <c r="AI47" i="22"/>
  <c r="AI43" i="22"/>
  <c r="AI44" i="22"/>
  <c r="AI45" i="22"/>
  <c r="AI25" i="22"/>
  <c r="AI26" i="22"/>
  <c r="AI27" i="22"/>
  <c r="AI24" i="22"/>
  <c r="AI23" i="22"/>
  <c r="W58" i="22"/>
  <c r="W61" i="22"/>
  <c r="Z44" i="22"/>
  <c r="Z46" i="22"/>
  <c r="Z43" i="22"/>
  <c r="Z45" i="22"/>
  <c r="Z47" i="22"/>
  <c r="Z24" i="22"/>
  <c r="Z23" i="22"/>
  <c r="Z27" i="22"/>
  <c r="Z25" i="22"/>
  <c r="Z26" i="22"/>
  <c r="Z93" i="19"/>
  <c r="Y93" i="19"/>
  <c r="S5" i="21"/>
  <c r="Z71" i="19"/>
  <c r="AA35" i="19"/>
  <c r="T33" i="21"/>
  <c r="AA86" i="19"/>
  <c r="T84" i="21"/>
  <c r="AA54" i="19"/>
  <c r="T52" i="21"/>
  <c r="AA81" i="19"/>
  <c r="T79" i="21"/>
  <c r="T42" i="21"/>
  <c r="AA44" i="19"/>
  <c r="AA58" i="19"/>
  <c r="T56" i="21"/>
  <c r="T30" i="21"/>
  <c r="AA32" i="19"/>
  <c r="T8" i="21"/>
  <c r="AA10" i="19"/>
  <c r="T15" i="22"/>
  <c r="S15" i="22"/>
  <c r="U27" i="22"/>
  <c r="AO43" i="22"/>
  <c r="AO44" i="22"/>
  <c r="AO46" i="22"/>
  <c r="AB58" i="22"/>
  <c r="AO45" i="22"/>
  <c r="AO47" i="22"/>
  <c r="AO23" i="22"/>
  <c r="AO26" i="22"/>
  <c r="AO27" i="22"/>
  <c r="AO25" i="22"/>
  <c r="AO24" i="22"/>
  <c r="AF43" i="22"/>
  <c r="AF44" i="22"/>
  <c r="AF46" i="22"/>
  <c r="Y58" i="22"/>
  <c r="AF45" i="22"/>
  <c r="AF47" i="22"/>
  <c r="AF24" i="22"/>
  <c r="AF23" i="22"/>
  <c r="AF25" i="22"/>
  <c r="AF26" i="22"/>
  <c r="AF27" i="22"/>
  <c r="AL44" i="22"/>
  <c r="AL46" i="22"/>
  <c r="AA58" i="22"/>
  <c r="AL45" i="22"/>
  <c r="AL47" i="22"/>
  <c r="AL43" i="22"/>
  <c r="AL24" i="22"/>
  <c r="AL23" i="22"/>
  <c r="AL27" i="22"/>
  <c r="AL25" i="22"/>
  <c r="AL26" i="22"/>
  <c r="AR43" i="22"/>
  <c r="AC58" i="22"/>
  <c r="AR23" i="22"/>
  <c r="AR25" i="22"/>
  <c r="AR26" i="22"/>
  <c r="AR24" i="22"/>
  <c r="AR27" i="22"/>
  <c r="Y94" i="19"/>
  <c r="AD55" i="20"/>
  <c r="AC55" i="20"/>
  <c r="AD54" i="20"/>
  <c r="AE55" i="20"/>
  <c r="S4" i="21"/>
  <c r="AB57" i="22"/>
  <c r="W57" i="22"/>
  <c r="AD57" i="22"/>
  <c r="Y57" i="22"/>
  <c r="Z57" i="22"/>
  <c r="AA57" i="22"/>
  <c r="X57" i="22"/>
  <c r="AC57" i="22"/>
  <c r="AS43" i="22"/>
  <c r="AE54" i="20"/>
  <c r="AF55" i="20"/>
  <c r="T57" i="22"/>
  <c r="S57" i="22"/>
  <c r="X60" i="22"/>
  <c r="AF54" i="20"/>
  <c r="AG55" i="20"/>
  <c r="Y61" i="22"/>
  <c r="Y60" i="22"/>
  <c r="Z61" i="22"/>
  <c r="AG54" i="20"/>
  <c r="AH55" i="20"/>
  <c r="Z60" i="22"/>
  <c r="AH54" i="20"/>
  <c r="AI55" i="20"/>
  <c r="AA61" i="22"/>
  <c r="AA60" i="22"/>
  <c r="AI54" i="20"/>
  <c r="AJ55" i="20"/>
  <c r="AB61" i="22"/>
  <c r="AB60" i="22"/>
  <c r="AC60" i="22"/>
  <c r="AD61" i="22"/>
  <c r="AJ54" i="20"/>
  <c r="AK55" i="20"/>
  <c r="AC61" i="22"/>
  <c r="AD60" i="22"/>
  <c r="AE60" i="22"/>
  <c r="AF61" i="22"/>
  <c r="AK54" i="20"/>
  <c r="AL55" i="20"/>
  <c r="AE61" i="22"/>
  <c r="AF60" i="22"/>
  <c r="AG61" i="22"/>
  <c r="AL54" i="20"/>
  <c r="AM55" i="20"/>
  <c r="AG60" i="22"/>
  <c r="AM54" i="20"/>
  <c r="AN54" i="20"/>
  <c r="AO55" i="20"/>
  <c r="AH61" i="22"/>
  <c r="AH60" i="22"/>
  <c r="AN55" i="20"/>
  <c r="AO54" i="20"/>
  <c r="AP55" i="20"/>
  <c r="AI61" i="22"/>
  <c r="AI60" i="22"/>
  <c r="AP54" i="20"/>
  <c r="AQ54" i="20"/>
  <c r="AR55" i="20"/>
  <c r="AJ61" i="22"/>
  <c r="AJ60" i="22"/>
  <c r="AQ55" i="20"/>
  <c r="AR54" i="20"/>
  <c r="AK61" i="22"/>
  <c r="AK60" i="22"/>
  <c r="AS55" i="20"/>
  <c r="AS54" i="20"/>
  <c r="AL61" i="22"/>
  <c r="AL60" i="22"/>
  <c r="AT55" i="20"/>
  <c r="AT54" i="20"/>
  <c r="AM61" i="22"/>
  <c r="AM60" i="22"/>
  <c r="AU54" i="20"/>
  <c r="AU55" i="20"/>
  <c r="AN61" i="22"/>
  <c r="AN60" i="22"/>
  <c r="AV55" i="20"/>
  <c r="AV54" i="20"/>
  <c r="AO61" i="22"/>
  <c r="AO60" i="22"/>
  <c r="AW54" i="20"/>
  <c r="AW55" i="20"/>
  <c r="AP61" i="22"/>
  <c r="AP60" i="22"/>
  <c r="AX55" i="20"/>
  <c r="AX54" i="20"/>
  <c r="AQ61" i="22"/>
  <c r="AQ60" i="22"/>
  <c r="AY54" i="20"/>
  <c r="AY55" i="20"/>
  <c r="AR61" i="22"/>
  <c r="AR60" i="22"/>
  <c r="AZ55" i="20"/>
  <c r="AZ54" i="20"/>
  <c r="AS61" i="22"/>
  <c r="AS60" i="22"/>
  <c r="BA54" i="20"/>
  <c r="BA55" i="20"/>
  <c r="AT61" i="22"/>
  <c r="AT60" i="22"/>
  <c r="BB55" i="20"/>
  <c r="BB54" i="20"/>
  <c r="AU61" i="22"/>
  <c r="AU60" i="22"/>
  <c r="BC54" i="20"/>
  <c r="BC55" i="20"/>
  <c r="AV61" i="22"/>
  <c r="AV60" i="22"/>
  <c r="BD55" i="20"/>
  <c r="BD54" i="20"/>
  <c r="AW61" i="22"/>
  <c r="AW60" i="22"/>
  <c r="BE54" i="20"/>
  <c r="BE55" i="20"/>
  <c r="AX61" i="22"/>
  <c r="AX60" i="22"/>
  <c r="BF55" i="20"/>
  <c r="BF54" i="20"/>
  <c r="AY61" i="22"/>
  <c r="AY60" i="22"/>
  <c r="BG54" i="20"/>
  <c r="BG55" i="20"/>
  <c r="AZ61" i="22"/>
  <c r="AZ60" i="22"/>
  <c r="BH55" i="20"/>
  <c r="BH54" i="20"/>
  <c r="BA61" i="22"/>
  <c r="BA60" i="22"/>
  <c r="BI54" i="20"/>
  <c r="BI55" i="20"/>
  <c r="BB61" i="22"/>
  <c r="BB60" i="22"/>
  <c r="BJ55" i="20"/>
  <c r="BJ54" i="20"/>
  <c r="BC61" i="22"/>
  <c r="BC60" i="22"/>
  <c r="BK55" i="20"/>
  <c r="BK54" i="20"/>
  <c r="BL55" i="20"/>
  <c r="BD61" i="22"/>
  <c r="BD60" i="22"/>
  <c r="BL54" i="20"/>
  <c r="BE61" i="22"/>
  <c r="BE60" i="22"/>
  <c r="BM55" i="20"/>
  <c r="BM54" i="20"/>
  <c r="BN55" i="20"/>
  <c r="BF61" i="22"/>
  <c r="BF60" i="22"/>
  <c r="BN54" i="20"/>
  <c r="BG61" i="22"/>
  <c r="BG60" i="22"/>
  <c r="BO55" i="20"/>
  <c r="BO54" i="20"/>
  <c r="BH61" i="22"/>
  <c r="BH60" i="22"/>
  <c r="BP55" i="20"/>
  <c r="BP54" i="20"/>
  <c r="BI61" i="22"/>
  <c r="BI60" i="22"/>
  <c r="BQ54" i="20"/>
  <c r="BR55" i="20"/>
  <c r="BQ55" i="20"/>
  <c r="BJ61" i="22"/>
  <c r="BJ60" i="22"/>
  <c r="BR54" i="20"/>
  <c r="BS55" i="20"/>
  <c r="BK61" i="22"/>
  <c r="BK60" i="22"/>
  <c r="BS54" i="20"/>
  <c r="BT55" i="20"/>
  <c r="BL61" i="22"/>
  <c r="BL60" i="22"/>
  <c r="BT54" i="20"/>
  <c r="BM61" i="22"/>
  <c r="BM60" i="22"/>
  <c r="BU55" i="20"/>
  <c r="BU54" i="20"/>
  <c r="BN61" i="22"/>
  <c r="BN60" i="22"/>
  <c r="BV55" i="20"/>
  <c r="BV54" i="20"/>
  <c r="BO61" i="22"/>
  <c r="BO60" i="22"/>
  <c r="BP61" i="22"/>
  <c r="BP60" i="22"/>
  <c r="BQ61" i="22"/>
  <c r="BQ60" i="22"/>
  <c r="BR61" i="22"/>
  <c r="BR60" i="22"/>
  <c r="BS61" i="22"/>
  <c r="BS60" i="22"/>
  <c r="BT61" i="22"/>
  <c r="BT60" i="22"/>
  <c r="BU61" i="22"/>
  <c r="BU60" i="22"/>
  <c r="BV61" i="22"/>
  <c r="BV60" i="22"/>
  <c r="BW61" i="22"/>
  <c r="BW60" i="22"/>
  <c r="BX61" i="22"/>
  <c r="BX60" i="22"/>
  <c r="BY61" i="22"/>
  <c r="BY60" i="22"/>
  <c r="BZ61" i="22"/>
  <c r="BZ60" i="22"/>
  <c r="CA61" i="22"/>
  <c r="CA60" i="22"/>
  <c r="CB61" i="22"/>
  <c r="CB60" i="22"/>
  <c r="CC61" i="22"/>
  <c r="CC60" i="22"/>
  <c r="CD61" i="22"/>
  <c r="CD60" i="22"/>
  <c r="CE61" i="22"/>
  <c r="CE60" i="22"/>
  <c r="C33" i="16"/>
  <c r="L66" i="6"/>
  <c r="C112" i="16"/>
  <c r="L58" i="6"/>
  <c r="L67" i="6"/>
  <c r="L63" i="6"/>
  <c r="C84" i="16"/>
  <c r="L57" i="6"/>
  <c r="L64" i="6"/>
  <c r="L62" i="6"/>
  <c r="L51" i="6"/>
  <c r="C80" i="16"/>
  <c r="C28" i="16"/>
  <c r="C34" i="16"/>
  <c r="C27" i="16"/>
  <c r="C29" i="16"/>
  <c r="C32" i="16"/>
  <c r="C30" i="16"/>
  <c r="C26" i="16"/>
  <c r="C31" i="16"/>
  <c r="C25" i="16"/>
  <c r="C18" i="16"/>
  <c r="C20" i="16"/>
  <c r="C12" i="16"/>
  <c r="C11" i="16"/>
  <c r="C15" i="16"/>
  <c r="C19" i="16"/>
  <c r="C22" i="16"/>
  <c r="C13" i="16"/>
  <c r="C14" i="16"/>
  <c r="C23" i="16"/>
  <c r="C16" i="16"/>
  <c r="C10" i="16"/>
  <c r="C17" i="16"/>
  <c r="C21" i="16"/>
  <c r="C24" i="16"/>
  <c r="C54" i="16"/>
  <c r="C44" i="16"/>
  <c r="C42" i="16"/>
  <c r="C53" i="16"/>
  <c r="C43" i="16"/>
  <c r="C41" i="16"/>
  <c r="C52" i="16"/>
  <c r="C50" i="16"/>
  <c r="C40" i="16"/>
  <c r="C51" i="16"/>
  <c r="C38" i="16"/>
  <c r="C39" i="16"/>
  <c r="C48" i="16"/>
  <c r="C36" i="16"/>
  <c r="C45" i="16"/>
  <c r="C49" i="16"/>
  <c r="C37" i="16"/>
  <c r="C46" i="16"/>
  <c r="C47" i="16"/>
  <c r="C35" i="16"/>
  <c r="C78" i="16"/>
  <c r="C94" i="16"/>
  <c r="C92" i="16"/>
  <c r="C93" i="16"/>
  <c r="C91" i="16"/>
  <c r="C95" i="16"/>
  <c r="C85" i="16"/>
  <c r="C74" i="16"/>
  <c r="C111" i="16"/>
  <c r="C113" i="16"/>
  <c r="C98" i="16"/>
  <c r="C100" i="16"/>
  <c r="C102" i="16"/>
  <c r="C104" i="16"/>
  <c r="C106" i="16"/>
  <c r="C108" i="16"/>
  <c r="C110" i="16"/>
  <c r="C97" i="16"/>
  <c r="C101" i="16"/>
  <c r="C105" i="16"/>
  <c r="C109" i="16"/>
  <c r="C99" i="16"/>
  <c r="C103" i="16"/>
  <c r="C107" i="16"/>
  <c r="C96" i="16"/>
  <c r="C89" i="16"/>
  <c r="C90" i="16"/>
  <c r="C83" i="16"/>
  <c r="C81" i="16"/>
  <c r="C82" i="16"/>
  <c r="C87" i="16"/>
  <c r="C86" i="16"/>
  <c r="C88" i="16"/>
  <c r="C72" i="16"/>
  <c r="C63" i="16"/>
  <c r="C65" i="16"/>
  <c r="C61" i="16"/>
  <c r="C55" i="16"/>
  <c r="C73" i="16"/>
  <c r="C68" i="16"/>
  <c r="C66" i="16"/>
  <c r="C60" i="16"/>
  <c r="C56" i="16"/>
  <c r="C69" i="16"/>
  <c r="C59" i="16"/>
  <c r="C64" i="16"/>
  <c r="C58" i="16"/>
  <c r="C71" i="16"/>
  <c r="C67" i="16"/>
  <c r="C62" i="16"/>
  <c r="C57" i="16"/>
  <c r="C70" i="16"/>
  <c r="C79" i="16"/>
  <c r="C75" i="16"/>
  <c r="C77" i="16"/>
  <c r="C76" i="16"/>
  <c r="K9" i="6"/>
  <c r="K13" i="6"/>
  <c r="B8" i="16"/>
  <c r="E9" i="16"/>
  <c r="B7" i="16"/>
  <c r="K15" i="6"/>
  <c r="F4" i="16"/>
  <c r="E6" i="6"/>
  <c r="F7" i="16"/>
  <c r="F6" i="16"/>
  <c r="E4" i="6"/>
  <c r="E8" i="16"/>
  <c r="B9" i="6"/>
  <c r="K5" i="6"/>
  <c r="E6" i="16"/>
  <c r="B9" i="16"/>
  <c r="E7" i="16"/>
  <c r="K7" i="6"/>
  <c r="B6" i="16"/>
  <c r="F6" i="6"/>
  <c r="F9" i="6"/>
  <c r="G9" i="6"/>
  <c r="B5" i="6"/>
  <c r="K20" i="16"/>
  <c r="F8" i="16"/>
  <c r="E5" i="6"/>
  <c r="F5" i="6"/>
  <c r="E8" i="6"/>
  <c r="E7" i="6"/>
  <c r="F7" i="6"/>
  <c r="F8" i="6"/>
  <c r="F4" i="6"/>
  <c r="B6" i="6"/>
  <c r="E5" i="16"/>
  <c r="B4" i="6"/>
  <c r="K19" i="16"/>
  <c r="E4" i="16"/>
  <c r="B5" i="16"/>
  <c r="F9" i="16"/>
  <c r="E9" i="6"/>
  <c r="F5" i="16"/>
  <c r="R28" i="16"/>
  <c r="B7" i="6"/>
  <c r="K22" i="16"/>
  <c r="K11" i="6"/>
  <c r="B8" i="6"/>
  <c r="G5" i="6"/>
  <c r="J24" i="16"/>
  <c r="L24" i="16"/>
  <c r="D8" i="6"/>
  <c r="K12" i="6"/>
  <c r="J22" i="16"/>
  <c r="L22" i="16"/>
  <c r="D7" i="6"/>
  <c r="K10" i="6"/>
  <c r="J20" i="16"/>
  <c r="L20" i="16"/>
  <c r="D5" i="6"/>
  <c r="K6" i="6"/>
  <c r="L14" i="6"/>
  <c r="L15" i="6"/>
  <c r="J19" i="16"/>
  <c r="L19" i="16"/>
  <c r="D4" i="6"/>
  <c r="K4" i="6"/>
  <c r="J21" i="16"/>
  <c r="L21" i="16"/>
  <c r="D6" i="6"/>
  <c r="K8" i="6"/>
  <c r="R24" i="16"/>
  <c r="G6" i="6"/>
  <c r="K23" i="16"/>
  <c r="P26" i="16"/>
  <c r="P27" i="16"/>
  <c r="R26" i="16"/>
  <c r="R27" i="16"/>
  <c r="K21" i="16"/>
  <c r="L6" i="6"/>
  <c r="L7" i="6"/>
  <c r="P24" i="16"/>
  <c r="H1" i="13"/>
  <c r="J23" i="16"/>
  <c r="L23" i="16"/>
  <c r="D9" i="6"/>
  <c r="K14" i="6"/>
  <c r="R29" i="16"/>
  <c r="R25" i="16"/>
  <c r="P25" i="16"/>
  <c r="P29" i="16"/>
  <c r="P28" i="16"/>
  <c r="I1" i="13"/>
  <c r="K1" i="13"/>
  <c r="K24" i="16"/>
  <c r="G8" i="6"/>
  <c r="G4" i="6"/>
  <c r="G7" i="6"/>
  <c r="L9" i="6"/>
  <c r="L8" i="6"/>
  <c r="L4" i="6"/>
  <c r="L5" i="6"/>
  <c r="L11" i="6"/>
  <c r="L10" i="6"/>
  <c r="L12" i="6"/>
  <c r="L13" i="6"/>
  <c r="V8" i="19"/>
  <c r="Y8" i="19"/>
  <c r="V7" i="19"/>
  <c r="Y7" i="19"/>
  <c r="W5" i="22"/>
  <c r="AD5" i="22"/>
  <c r="I3" i="22"/>
  <c r="J3" i="22"/>
  <c r="K3" i="22"/>
  <c r="L3" i="22"/>
  <c r="M3" i="22"/>
  <c r="N3" i="22"/>
  <c r="G122" i="22"/>
  <c r="H122" i="22"/>
  <c r="I122" i="22"/>
  <c r="J122" i="22"/>
  <c r="K122" i="22"/>
</calcChain>
</file>

<file path=xl/sharedStrings.xml><?xml version="1.0" encoding="utf-8"?>
<sst xmlns="http://schemas.openxmlformats.org/spreadsheetml/2006/main" count="1510" uniqueCount="257">
  <si>
    <t>AB3 Apache Block III</t>
  </si>
  <si>
    <t>FAB-T</t>
  </si>
  <si>
    <t>IDECM</t>
  </si>
  <si>
    <t>HIMARS</t>
  </si>
  <si>
    <t>GPS IIIA</t>
  </si>
  <si>
    <t>JCA</t>
  </si>
  <si>
    <t>Joint MRAP</t>
  </si>
  <si>
    <t>FMTV</t>
  </si>
  <si>
    <t>E-2D AHE</t>
  </si>
  <si>
    <t>AMRAAM</t>
  </si>
  <si>
    <t>F-35</t>
  </si>
  <si>
    <t>CVN 21</t>
  </si>
  <si>
    <t>AIM-9X</t>
  </si>
  <si>
    <t>ATIRCM/CMWS</t>
  </si>
  <si>
    <t>FBCB2</t>
  </si>
  <si>
    <t>EA-18G</t>
  </si>
  <si>
    <t>CEC</t>
  </si>
  <si>
    <t>B-2 EHF Increment I</t>
  </si>
  <si>
    <t>AGM-88E</t>
  </si>
  <si>
    <t>C-130J</t>
  </si>
  <si>
    <t>Cobra Judy replacement</t>
  </si>
  <si>
    <t>JPATS</t>
  </si>
  <si>
    <t>CH-47F</t>
  </si>
  <si>
    <t>CH-53K</t>
  </si>
  <si>
    <t>C-17A</t>
  </si>
  <si>
    <t>AEHF</t>
  </si>
  <si>
    <t>EFV</t>
  </si>
  <si>
    <t>C-5 RERP</t>
  </si>
  <si>
    <t>C-130AMP</t>
  </si>
  <si>
    <t>Excalibur</t>
  </si>
  <si>
    <t>B-2 RMP</t>
  </si>
  <si>
    <t>C-5AMP</t>
  </si>
  <si>
    <t>DDG 1000</t>
  </si>
  <si>
    <t>JSOW</t>
  </si>
  <si>
    <t>JDAM</t>
  </si>
  <si>
    <t>RQ-4</t>
  </si>
  <si>
    <t xml:space="preserve">Trident II </t>
  </si>
  <si>
    <t>LPD 17</t>
  </si>
  <si>
    <t>Patriot PAC3</t>
  </si>
  <si>
    <t>H-1 Upgrades</t>
  </si>
  <si>
    <t>Stryker</t>
  </si>
  <si>
    <t>MH-60R</t>
  </si>
  <si>
    <t>Tactical Tomahawk</t>
  </si>
  <si>
    <t>WIN-T increment 1</t>
  </si>
  <si>
    <t>MH-60S</t>
  </si>
  <si>
    <t>LAIRCM</t>
  </si>
  <si>
    <t>NAS</t>
  </si>
  <si>
    <t>CHEM DEMIL-ACWA</t>
  </si>
  <si>
    <t>F/A-18E/F</t>
  </si>
  <si>
    <t>UH-60M Black Hawk Upgrade</t>
  </si>
  <si>
    <t>RMS</t>
  </si>
  <si>
    <t>DDG 51</t>
  </si>
  <si>
    <t>T-AKE</t>
  </si>
  <si>
    <t>GMLRS</t>
  </si>
  <si>
    <t>GBS</t>
  </si>
  <si>
    <t>CHEM DEMIL-CMA</t>
  </si>
  <si>
    <t>VTUAV</t>
  </si>
  <si>
    <t>WIN-T increment 2</t>
  </si>
  <si>
    <t>LUH</t>
  </si>
  <si>
    <t>WGS</t>
  </si>
  <si>
    <t>V-22</t>
  </si>
  <si>
    <t>JASSM</t>
  </si>
  <si>
    <t>LHA Replacement</t>
  </si>
  <si>
    <t>Navstar GPS</t>
  </si>
  <si>
    <t>SBIRS</t>
  </si>
  <si>
    <t>MUOS</t>
  </si>
  <si>
    <t>MP RTIP</t>
  </si>
  <si>
    <t>SM-6</t>
  </si>
  <si>
    <t>JTRS GMR</t>
  </si>
  <si>
    <t>NPOESS</t>
  </si>
  <si>
    <t>JTRS NED</t>
  </si>
  <si>
    <t>NMT</t>
  </si>
  <si>
    <t>P-8A</t>
  </si>
  <si>
    <t xml:space="preserve">F-22 </t>
  </si>
  <si>
    <t xml:space="preserve">Longbow Apache </t>
  </si>
  <si>
    <t>SSN 774</t>
  </si>
  <si>
    <t>JTRS HMS</t>
  </si>
  <si>
    <t>Patriot/MEADS CAP</t>
  </si>
  <si>
    <t>JLENS</t>
  </si>
  <si>
    <t>SBSS B10</t>
  </si>
  <si>
    <t>Shorthand</t>
  </si>
  <si>
    <t>Time-cost correlation (I)</t>
  </si>
  <si>
    <t>Total</t>
  </si>
  <si>
    <t>Reasons for cost growth (I)</t>
  </si>
  <si>
    <t>Support</t>
  </si>
  <si>
    <t>Other</t>
  </si>
  <si>
    <t>Estimating</t>
  </si>
  <si>
    <t>Engineering</t>
  </si>
  <si>
    <t>Schedule</t>
  </si>
  <si>
    <t>Negative Only</t>
  </si>
  <si>
    <t>Positive Only</t>
  </si>
  <si>
    <t>Quantity</t>
  </si>
  <si>
    <t>Average Increase</t>
  </si>
  <si>
    <t>Baseline-Weighted Average Increase</t>
  </si>
  <si>
    <t>Cost Decrease</t>
  </si>
  <si>
    <t>Cost Increase</t>
  </si>
  <si>
    <t>Explaination</t>
  </si>
  <si>
    <t>Cost Savings</t>
  </si>
  <si>
    <r>
      <t>•</t>
    </r>
    <r>
      <rPr>
        <sz val="32"/>
        <color rgb="FF000000"/>
        <rFont val="Calibri"/>
        <family val="2"/>
      </rPr>
      <t xml:space="preserve">Aggregate breakdown of cost growth in categories based on SARs data, staked bar chart </t>
    </r>
  </si>
  <si>
    <t>Absolute Change Quantity Adjusted</t>
  </si>
  <si>
    <t>Current situation Quantity Adjusted</t>
  </si>
  <si>
    <t>DoD-wide</t>
  </si>
  <si>
    <t>Navy</t>
  </si>
  <si>
    <t>Army</t>
  </si>
  <si>
    <t>Air Force</t>
  </si>
  <si>
    <t>Average Overrun</t>
  </si>
  <si>
    <t>Baseline-Weighted Average Overrun</t>
  </si>
  <si>
    <t>% Cost Growth</t>
  </si>
  <si>
    <t>Weighted Average Overrun</t>
  </si>
  <si>
    <t>Lead Service (II)</t>
  </si>
  <si>
    <t>Count</t>
  </si>
  <si>
    <t>Raytheon</t>
  </si>
  <si>
    <t>Northrop Grumman</t>
  </si>
  <si>
    <t>Lockheed Martin</t>
  </si>
  <si>
    <t>General Dynamics</t>
  </si>
  <si>
    <t>Boeing</t>
  </si>
  <si>
    <t>Unweighted</t>
  </si>
  <si>
    <t>Various</t>
  </si>
  <si>
    <t>UTC</t>
  </si>
  <si>
    <t>Unknown</t>
  </si>
  <si>
    <t>Textron</t>
  </si>
  <si>
    <t xml:space="preserve">L-3 </t>
  </si>
  <si>
    <t>ITT</t>
  </si>
  <si>
    <t>EADS</t>
  </si>
  <si>
    <t>Bechtel</t>
  </si>
  <si>
    <t>BAE</t>
  </si>
  <si>
    <t>Avg. Baseline</t>
  </si>
  <si>
    <t>Consolidated Prime</t>
  </si>
  <si>
    <t>Economic</t>
  </si>
  <si>
    <t>Space 22</t>
  </si>
  <si>
    <t>Neg. Quantity</t>
  </si>
  <si>
    <t>Space 19</t>
  </si>
  <si>
    <t>Neg. Other</t>
  </si>
  <si>
    <t>Space 16</t>
  </si>
  <si>
    <t>Neg. Support</t>
  </si>
  <si>
    <t>Space 13</t>
  </si>
  <si>
    <t>Neg. Estimating</t>
  </si>
  <si>
    <t>Space 10</t>
  </si>
  <si>
    <t>Neg. Engineering</t>
  </si>
  <si>
    <t>Space 7</t>
  </si>
  <si>
    <t>Neg. Schedule</t>
  </si>
  <si>
    <t>Space 4</t>
  </si>
  <si>
    <t>Neg. Economic</t>
  </si>
  <si>
    <t>Space 1</t>
  </si>
  <si>
    <t>Inverse of Baseline</t>
  </si>
  <si>
    <t>Competition  (III)</t>
  </si>
  <si>
    <t>Unclear</t>
  </si>
  <si>
    <t>None</t>
  </si>
  <si>
    <t>Follow_on</t>
  </si>
  <si>
    <t>Partial Competition_1</t>
  </si>
  <si>
    <t>Partial Competition_2</t>
  </si>
  <si>
    <t>Full_Competition_1</t>
  </si>
  <si>
    <t>Full_Competition_2</t>
  </si>
  <si>
    <t>Follow on to competed action</t>
  </si>
  <si>
    <t>Cost Overrun %</t>
  </si>
  <si>
    <t>Comp Score</t>
  </si>
  <si>
    <t>Competition (II)</t>
  </si>
  <si>
    <t>Include</t>
  </si>
  <si>
    <t>Unspecified</t>
  </si>
  <si>
    <t>Mixed or Other Type</t>
  </si>
  <si>
    <t>Cost Plus Award Fee/Incentive</t>
  </si>
  <si>
    <t>Cost Other</t>
  </si>
  <si>
    <t>Fixed Price</t>
  </si>
  <si>
    <t>Unspecified Type</t>
  </si>
  <si>
    <t>Overrun</t>
  </si>
  <si>
    <t>Type</t>
  </si>
  <si>
    <t>Comp</t>
  </si>
  <si>
    <t>Contract Type (II)</t>
  </si>
  <si>
    <t>Contract Type  (III)</t>
  </si>
  <si>
    <t>% Change To Date Adjusted  for Qty
 (Constant $)</t>
  </si>
  <si>
    <t>% Change CAGR To Date Adjusted for Qty (Constant $)</t>
  </si>
  <si>
    <t>% Change To Date Adjusted  for Qty
 (Then-Year  $)</t>
  </si>
  <si>
    <t>% Change CAGR To Date Adjusted for Qty (Then-Year  $)</t>
  </si>
  <si>
    <t>Baseline Estimate (Then-Year  $)</t>
  </si>
  <si>
    <t>AMF JTRS</t>
  </si>
  <si>
    <t>ASIP</t>
  </si>
  <si>
    <t>BAMS</t>
  </si>
  <si>
    <t>REAPER</t>
  </si>
  <si>
    <t>ER/MP UAS</t>
  </si>
  <si>
    <t>IAMD</t>
  </si>
  <si>
    <t>E-IBCT</t>
  </si>
  <si>
    <t>JHSV</t>
  </si>
  <si>
    <t>JPALS</t>
  </si>
  <si>
    <t>MIDS JTRS</t>
  </si>
  <si>
    <t>Predator</t>
  </si>
  <si>
    <t>WIN-T increment 3</t>
  </si>
  <si>
    <t>Service Branch</t>
  </si>
  <si>
    <t>Prime contractor 1</t>
  </si>
  <si>
    <t>General Atomics Aeronautical Systems</t>
  </si>
  <si>
    <t>BAE/Rockwell Collins JV</t>
  </si>
  <si>
    <t>Austal</t>
  </si>
  <si>
    <t>http://answers.google.com/answers/threadview/id/343380.html</t>
  </si>
  <si>
    <t>BWAO check</t>
  </si>
  <si>
    <t>Full and Open -Multiple Bidders</t>
  </si>
  <si>
    <t>Full and Open -Single Bidder</t>
  </si>
  <si>
    <t>Partial -Multiple Bidders</t>
  </si>
  <si>
    <t>Partial -Single Bidder</t>
  </si>
  <si>
    <t>Follow-On</t>
  </si>
  <si>
    <t>Unclear Competition</t>
  </si>
  <si>
    <t>Contract Share Denominator</t>
  </si>
  <si>
    <t>Cost Plus Award/Incentive</t>
  </si>
  <si>
    <t>Combination</t>
  </si>
  <si>
    <t>Cost (All Other; Including Time and Materials and Labor)</t>
  </si>
  <si>
    <t>Unclear Type</t>
  </si>
  <si>
    <t>Baseline Estimate (2010 $)</t>
  </si>
  <si>
    <t>Quantity (2010 $)</t>
  </si>
  <si>
    <t>Schedule (2010 $)</t>
  </si>
  <si>
    <t>Engineering (2010 $)</t>
  </si>
  <si>
    <t>Estimating (2010 $)</t>
  </si>
  <si>
    <t>Other (2010 $)</t>
  </si>
  <si>
    <t>Support (2010 $)</t>
  </si>
  <si>
    <t>Total (2010 $)</t>
  </si>
  <si>
    <t>ACS</t>
  </si>
  <si>
    <t>ARH</t>
  </si>
  <si>
    <t>ASDS</t>
  </si>
  <si>
    <t>Comanche</t>
  </si>
  <si>
    <t>DIMHRS</t>
  </si>
  <si>
    <t>ERM</t>
  </si>
  <si>
    <t>FCS</t>
  </si>
  <si>
    <t>JCM</t>
  </si>
  <si>
    <t>JSIMS</t>
  </si>
  <si>
    <t>LAND WARRIOR</t>
  </si>
  <si>
    <t>TSAT</t>
  </si>
  <si>
    <t>VH-71</t>
  </si>
  <si>
    <t>Boeing/Sikorsky JV</t>
  </si>
  <si>
    <t>Split Lockheed Boeing</t>
  </si>
  <si>
    <t>TRW</t>
  </si>
  <si>
    <t>Cost Overruns</t>
  </si>
  <si>
    <t>Full comp. (2+ bids)</t>
  </si>
  <si>
    <t>Full comp. (1 bid)</t>
  </si>
  <si>
    <t>No comp.</t>
  </si>
  <si>
    <t>Unclear comp.</t>
  </si>
  <si>
    <t>Partial comp. 
(1 bidder)</t>
  </si>
  <si>
    <t>Partial comp. 
(2+ bids)</t>
  </si>
  <si>
    <t>Fixed price</t>
  </si>
  <si>
    <t>Cost (all other*)</t>
  </si>
  <si>
    <t>Cost-plus 
award/incentive</t>
  </si>
  <si>
    <t>X-Axis</t>
  </si>
  <si>
    <t>Y-Axis</t>
  </si>
  <si>
    <t>Bottom Left</t>
  </si>
  <si>
    <t>Bottom Right</t>
  </si>
  <si>
    <t>Upper Right</t>
  </si>
  <si>
    <t>Upper Left</t>
  </si>
  <si>
    <t>Base Year</t>
  </si>
  <si>
    <t>F-22</t>
  </si>
  <si>
    <t>LONGBOW APACHE</t>
  </si>
  <si>
    <t>MQ-1 PREDATOR</t>
  </si>
  <si>
    <t>MQ-9 REAPER</t>
  </si>
  <si>
    <t>RQ-4 GLOBAL HAWK</t>
  </si>
  <si>
    <t>TRIDENT II</t>
  </si>
  <si>
    <t>C-5 AMP</t>
  </si>
  <si>
    <t>Patriot PAC-3</t>
  </si>
  <si>
    <t>PATRIOT PAC-3</t>
  </si>
  <si>
    <t>PATRIOT/MEADS CAP</t>
  </si>
  <si>
    <t>STRYKER</t>
  </si>
  <si>
    <t>Total
 (Then Year)</t>
  </si>
  <si>
    <t>COBRA JUDY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</si>
</sst>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7" formatCode="#,##0.0_);\-#,##0.0"/>
    <numFmt numFmtId="168" formatCode="0.0"/>
    <numFmt numFmtId="169" formatCode="0.000%"/>
    <numFmt numFmtId="170" formatCode="_(* #,##0.0_);_(* \(#,##0.0\);_(* &quot;-&quot;??_);_(@_)"/>
    <numFmt numFmtId="171" formatCode="_(* #,##0.0_);_(* \(#,##0.0\);_(* &quot;-&quot;?_);_(@_)"/>
    <numFmt numFmtId="172" formatCode="#,##0_);\-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44"/>
      <color rgb="FF000000"/>
      <name val="Calibri"/>
      <family val="2"/>
    </font>
    <font>
      <sz val="32"/>
      <name val="Arial"/>
      <family val="2"/>
    </font>
    <font>
      <sz val="32"/>
      <color rgb="FF000000"/>
      <name val="Calibri"/>
      <family val="2"/>
    </font>
    <font>
      <sz val="10"/>
      <name val="Times New Roman"/>
      <family val="1"/>
      <charset val="204"/>
    </font>
    <font>
      <sz val="10"/>
      <color rgb="FF000000"/>
      <name val="Times New Roman"/>
      <family val="1"/>
    </font>
    <font>
      <sz val="8"/>
      <color indexed="8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u/>
      <sz val="9.35"/>
      <color theme="1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Protection="0">
      <alignment vertical="top" wrapText="1"/>
    </xf>
    <xf numFmtId="0" fontId="3" fillId="0" borderId="0"/>
    <xf numFmtId="0" fontId="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2" fillId="0" borderId="0" xfId="1"/>
    <xf numFmtId="9" fontId="2" fillId="0" borderId="0" xfId="1" applyNumberFormat="1" applyFill="1" applyBorder="1" applyAlignment="1">
      <alignment horizontal="center" vertical="top" wrapText="1"/>
    </xf>
    <xf numFmtId="9" fontId="2" fillId="0" borderId="0" xfId="1" applyNumberFormat="1" applyFill="1" applyBorder="1" applyAlignment="1">
      <alignment horizontal="center" vertical="top"/>
    </xf>
    <xf numFmtId="0" fontId="2" fillId="0" borderId="0" xfId="1" applyFill="1" applyBorder="1" applyAlignment="1">
      <alignment horizontal="left" vertical="top"/>
    </xf>
    <xf numFmtId="0" fontId="3" fillId="0" borderId="0" xfId="1" applyFont="1" applyFill="1" applyBorder="1" applyAlignment="1">
      <alignment vertical="top"/>
    </xf>
    <xf numFmtId="0" fontId="2" fillId="0" borderId="0" xfId="1" applyFill="1" applyBorder="1" applyAlignment="1">
      <alignment vertical="top"/>
    </xf>
    <xf numFmtId="0" fontId="2" fillId="2" borderId="0" xfId="1" applyFill="1" applyBorder="1" applyAlignment="1">
      <alignment vertical="top"/>
    </xf>
    <xf numFmtId="0" fontId="2" fillId="0" borderId="0" xfId="1" applyFill="1" applyBorder="1" applyAlignment="1">
      <alignment horizontal="left" vertical="top" wrapText="1"/>
    </xf>
    <xf numFmtId="0" fontId="3" fillId="0" borderId="0" xfId="1" applyFont="1"/>
    <xf numFmtId="0" fontId="4" fillId="0" borderId="0" xfId="1" applyFont="1" applyAlignment="1">
      <alignment vertical="top" wrapText="1"/>
    </xf>
    <xf numFmtId="0" fontId="4" fillId="0" borderId="0" xfId="1" applyFont="1"/>
    <xf numFmtId="44" fontId="0" fillId="0" borderId="0" xfId="2" applyFont="1" applyFill="1" applyBorder="1" applyAlignment="1">
      <alignment horizontal="center" vertical="top"/>
    </xf>
    <xf numFmtId="44" fontId="2" fillId="0" borderId="0" xfId="1" applyNumberFormat="1" applyFill="1" applyBorder="1" applyAlignment="1">
      <alignment horizontal="center" vertical="top" wrapText="1"/>
    </xf>
    <xf numFmtId="0" fontId="2" fillId="0" borderId="0" xfId="1" applyNumberFormat="1" applyFill="1" applyBorder="1" applyAlignment="1">
      <alignment horizontal="center" vertical="top"/>
    </xf>
    <xf numFmtId="9" fontId="3" fillId="0" borderId="0" xfId="1" applyNumberFormat="1" applyFont="1" applyAlignment="1">
      <alignment wrapText="1"/>
    </xf>
    <xf numFmtId="0" fontId="2" fillId="0" borderId="0" xfId="1" applyAlignment="1"/>
    <xf numFmtId="0" fontId="3" fillId="0" borderId="0" xfId="1" applyFont="1" applyAlignment="1">
      <alignment wrapText="1"/>
    </xf>
    <xf numFmtId="0" fontId="2" fillId="0" borderId="0" xfId="1" applyAlignment="1">
      <alignment vertical="top"/>
    </xf>
    <xf numFmtId="9" fontId="2" fillId="0" borderId="0" xfId="1" applyNumberFormat="1"/>
    <xf numFmtId="0" fontId="4" fillId="0" borderId="0" xfId="1" applyFont="1" applyAlignment="1">
      <alignment vertical="top"/>
    </xf>
    <xf numFmtId="164" fontId="0" fillId="0" borderId="0" xfId="3" applyNumberFormat="1" applyFont="1" applyAlignment="1">
      <alignment wrapText="1"/>
    </xf>
    <xf numFmtId="0" fontId="2" fillId="0" borderId="0" xfId="1" applyAlignment="1">
      <alignment wrapText="1"/>
    </xf>
    <xf numFmtId="44" fontId="2" fillId="0" borderId="0" xfId="1" applyNumberFormat="1" applyAlignment="1">
      <alignment wrapText="1"/>
    </xf>
    <xf numFmtId="164" fontId="2" fillId="0" borderId="0" xfId="1" applyNumberFormat="1"/>
    <xf numFmtId="9" fontId="0" fillId="0" borderId="0" xfId="3" applyFont="1" applyAlignment="1">
      <alignment wrapText="1"/>
    </xf>
    <xf numFmtId="0" fontId="3" fillId="0" borderId="0" xfId="1" applyFont="1" applyAlignment="1"/>
    <xf numFmtId="165" fontId="2" fillId="0" borderId="0" xfId="1" applyNumberFormat="1" applyAlignment="1">
      <alignment wrapText="1"/>
    </xf>
    <xf numFmtId="0" fontId="2" fillId="0" borderId="0" xfId="1" applyAlignment="1">
      <alignment readingOrder="1"/>
    </xf>
    <xf numFmtId="0" fontId="5" fillId="0" borderId="0" xfId="1" applyFont="1" applyAlignment="1">
      <alignment horizontal="left" readingOrder="1"/>
    </xf>
    <xf numFmtId="0" fontId="5" fillId="0" borderId="0" xfId="1" applyFont="1" applyAlignment="1">
      <alignment horizontal="left" indent="3" readingOrder="1"/>
    </xf>
    <xf numFmtId="9" fontId="0" fillId="0" borderId="0" xfId="3" applyFont="1" applyAlignment="1"/>
    <xf numFmtId="43" fontId="2" fillId="0" borderId="0" xfId="1" applyNumberFormat="1" applyFill="1" applyBorder="1" applyAlignment="1">
      <alignment horizontal="center" vertical="top"/>
    </xf>
    <xf numFmtId="43" fontId="3" fillId="0" borderId="0" xfId="1" applyNumberFormat="1" applyFont="1" applyFill="1" applyBorder="1" applyAlignment="1">
      <alignment horizontal="center" vertical="top" wrapText="1"/>
    </xf>
    <xf numFmtId="43" fontId="2" fillId="0" borderId="0" xfId="1" applyNumberFormat="1"/>
    <xf numFmtId="2" fontId="3" fillId="0" borderId="0" xfId="1" applyNumberFormat="1" applyFont="1" applyAlignment="1">
      <alignment wrapText="1"/>
    </xf>
    <xf numFmtId="43" fontId="3" fillId="0" borderId="0" xfId="4" applyFont="1" applyAlignment="1">
      <alignment wrapText="1"/>
    </xf>
    <xf numFmtId="9" fontId="0" fillId="0" borderId="0" xfId="3" applyFont="1"/>
    <xf numFmtId="44" fontId="3" fillId="0" borderId="0" xfId="1" applyNumberFormat="1" applyFont="1" applyFill="1" applyBorder="1" applyAlignment="1">
      <alignment horizontal="left" vertical="top"/>
    </xf>
    <xf numFmtId="43" fontId="2" fillId="0" borderId="0" xfId="1" applyNumberFormat="1" applyFill="1" applyBorder="1" applyAlignment="1">
      <alignment horizontal="left"/>
    </xf>
    <xf numFmtId="44" fontId="2" fillId="0" borderId="0" xfId="1" applyNumberFormat="1"/>
    <xf numFmtId="9" fontId="0" fillId="0" borderId="0" xfId="3" applyFont="1" applyFill="1" applyBorder="1" applyAlignment="1">
      <alignment horizontal="center" vertical="top"/>
    </xf>
    <xf numFmtId="9" fontId="2" fillId="0" borderId="0" xfId="1" applyNumberFormat="1" applyFill="1" applyBorder="1" applyAlignment="1">
      <alignment horizontal="left" vertical="top"/>
    </xf>
    <xf numFmtId="9" fontId="2" fillId="0" borderId="0" xfId="1" applyNumberFormat="1" applyAlignment="1">
      <alignment wrapText="1"/>
    </xf>
    <xf numFmtId="43" fontId="2" fillId="0" borderId="0" xfId="1" applyNumberFormat="1" applyFill="1" applyBorder="1" applyAlignment="1">
      <alignment horizontal="left" vertical="top" wrapText="1"/>
    </xf>
    <xf numFmtId="167" fontId="9" fillId="3" borderId="1" xfId="6" applyNumberFormat="1" applyFont="1" applyFill="1" applyBorder="1" applyAlignment="1">
      <alignment horizontal="left" vertical="top"/>
    </xf>
    <xf numFmtId="43" fontId="2" fillId="0" borderId="0" xfId="1" applyNumberFormat="1" applyFill="1" applyBorder="1" applyAlignment="1">
      <alignment horizontal="center" vertical="top" wrapText="1"/>
    </xf>
    <xf numFmtId="44" fontId="0" fillId="0" borderId="0" xfId="2" applyFont="1" applyFill="1" applyBorder="1" applyAlignment="1">
      <alignment horizontal="left" vertical="top"/>
    </xf>
    <xf numFmtId="44" fontId="2" fillId="0" borderId="0" xfId="1" applyNumberFormat="1" applyFill="1" applyBorder="1" applyAlignment="1">
      <alignment horizontal="left" vertical="top" wrapText="1"/>
    </xf>
    <xf numFmtId="2" fontId="3" fillId="0" borderId="0" xfId="1" applyNumberFormat="1" applyFont="1" applyAlignment="1"/>
    <xf numFmtId="9" fontId="0" fillId="0" borderId="0" xfId="3" applyFont="1" applyFill="1" applyBorder="1" applyAlignment="1">
      <alignment horizontal="center" vertical="top" wrapText="1"/>
    </xf>
    <xf numFmtId="164" fontId="0" fillId="0" borderId="0" xfId="3" applyNumberFormat="1" applyFont="1"/>
    <xf numFmtId="44" fontId="3" fillId="0" borderId="0" xfId="1" applyNumberFormat="1" applyFont="1" applyFill="1" applyBorder="1" applyAlignment="1">
      <alignment horizontal="left" vertical="top" wrapText="1"/>
    </xf>
    <xf numFmtId="0" fontId="2" fillId="0" borderId="0" xfId="1" applyFill="1" applyBorder="1" applyAlignment="1">
      <alignment horizontal="left" vertical="center"/>
    </xf>
    <xf numFmtId="44" fontId="3" fillId="0" borderId="0" xfId="2" applyFont="1" applyFill="1" applyBorder="1" applyAlignment="1">
      <alignment horizontal="left" vertical="top"/>
    </xf>
    <xf numFmtId="168" fontId="3" fillId="0" borderId="0" xfId="1" applyNumberFormat="1" applyFont="1" applyAlignment="1"/>
    <xf numFmtId="0" fontId="3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168" fontId="2" fillId="0" borderId="0" xfId="1" applyNumberFormat="1"/>
    <xf numFmtId="0" fontId="2" fillId="0" borderId="0" xfId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9" fontId="2" fillId="0" borderId="0" xfId="1" applyNumberFormat="1" applyFill="1" applyBorder="1" applyAlignment="1">
      <alignment horizontal="right" vertical="top"/>
    </xf>
    <xf numFmtId="9" fontId="3" fillId="0" borderId="0" xfId="1" applyNumberFormat="1" applyFont="1"/>
    <xf numFmtId="168" fontId="2" fillId="0" borderId="0" xfId="1" applyNumberFormat="1" applyFill="1" applyBorder="1" applyAlignment="1">
      <alignment horizontal="right" vertical="top" wrapText="1"/>
    </xf>
    <xf numFmtId="168" fontId="2" fillId="0" borderId="0" xfId="1" applyNumberFormat="1" applyFill="1" applyBorder="1" applyAlignment="1">
      <alignment horizontal="right" vertical="top"/>
    </xf>
    <xf numFmtId="9" fontId="0" fillId="0" borderId="0" xfId="3" applyFont="1" applyFill="1" applyBorder="1" applyAlignment="1">
      <alignment horizontal="left" vertical="top"/>
    </xf>
    <xf numFmtId="10" fontId="2" fillId="0" borderId="0" xfId="1" applyNumberFormat="1"/>
    <xf numFmtId="9" fontId="10" fillId="0" borderId="0" xfId="1" applyNumberFormat="1" applyFont="1"/>
    <xf numFmtId="0" fontId="10" fillId="0" borderId="0" xfId="1" applyFont="1"/>
    <xf numFmtId="169" fontId="2" fillId="0" borderId="0" xfId="1" applyNumberFormat="1"/>
    <xf numFmtId="10" fontId="0" fillId="0" borderId="0" xfId="3" applyNumberFormat="1" applyFont="1"/>
    <xf numFmtId="0" fontId="2" fillId="0" borderId="0" xfId="1" quotePrefix="1"/>
    <xf numFmtId="43" fontId="0" fillId="0" borderId="0" xfId="4" applyFont="1"/>
    <xf numFmtId="43" fontId="0" fillId="0" borderId="0" xfId="4" applyFont="1" applyFill="1" applyBorder="1" applyAlignment="1">
      <alignment horizontal="center" vertical="top"/>
    </xf>
    <xf numFmtId="2" fontId="2" fillId="0" borderId="0" xfId="1" applyNumberFormat="1"/>
    <xf numFmtId="2" fontId="2" fillId="0" borderId="0" xfId="1" applyNumberFormat="1" applyFill="1" applyBorder="1" applyAlignment="1">
      <alignment horizontal="right" vertical="top"/>
    </xf>
    <xf numFmtId="0" fontId="3" fillId="0" borderId="0" xfId="1" applyFont="1" applyAlignment="1">
      <alignment horizontal="right"/>
    </xf>
    <xf numFmtId="43" fontId="2" fillId="0" borderId="0" xfId="1" applyNumberFormat="1" applyFill="1" applyBorder="1" applyAlignment="1">
      <alignment horizontal="right" vertical="top"/>
    </xf>
    <xf numFmtId="43" fontId="0" fillId="0" borderId="0" xfId="4" applyFont="1" applyAlignment="1">
      <alignment wrapText="1"/>
    </xf>
    <xf numFmtId="166" fontId="0" fillId="0" borderId="0" xfId="4" applyNumberFormat="1" applyFont="1" applyFill="1" applyBorder="1" applyAlignment="1">
      <alignment horizontal="left" vertical="top"/>
    </xf>
    <xf numFmtId="44" fontId="2" fillId="0" borderId="0" xfId="1" applyNumberFormat="1" applyAlignment="1">
      <alignment vertical="top"/>
    </xf>
    <xf numFmtId="170" fontId="2" fillId="0" borderId="0" xfId="1" applyNumberFormat="1"/>
    <xf numFmtId="166" fontId="0" fillId="0" borderId="0" xfId="4" applyNumberFormat="1" applyFont="1" applyFill="1" applyBorder="1" applyAlignment="1">
      <alignment horizontal="right" vertical="top"/>
    </xf>
    <xf numFmtId="166" fontId="0" fillId="0" borderId="0" xfId="4" applyNumberFormat="1" applyFont="1"/>
    <xf numFmtId="170" fontId="0" fillId="0" borderId="0" xfId="4" applyNumberFormat="1" applyFont="1" applyFill="1" applyBorder="1" applyAlignment="1">
      <alignment horizontal="center" vertical="top"/>
    </xf>
    <xf numFmtId="166" fontId="3" fillId="0" borderId="0" xfId="4" applyNumberFormat="1" applyFont="1"/>
    <xf numFmtId="170" fontId="0" fillId="0" borderId="0" xfId="4" applyNumberFormat="1" applyFont="1"/>
    <xf numFmtId="9" fontId="3" fillId="0" borderId="0" xfId="3" applyFont="1" applyFill="1" applyBorder="1" applyAlignment="1">
      <alignment horizontal="center" vertical="top"/>
    </xf>
    <xf numFmtId="164" fontId="2" fillId="0" borderId="0" xfId="1" applyNumberFormat="1" applyAlignment="1">
      <alignment vertical="top"/>
    </xf>
    <xf numFmtId="2" fontId="3" fillId="0" borderId="0" xfId="1" applyNumberFormat="1" applyFont="1"/>
    <xf numFmtId="0" fontId="2" fillId="0" borderId="0" xfId="1" applyFill="1"/>
    <xf numFmtId="0" fontId="0" fillId="0" borderId="0" xfId="0" applyFill="1"/>
    <xf numFmtId="166" fontId="3" fillId="0" borderId="0" xfId="9" applyNumberFormat="1" applyFont="1" applyAlignment="1">
      <alignment wrapText="1"/>
    </xf>
    <xf numFmtId="166" fontId="2" fillId="0" borderId="0" xfId="1" applyNumberFormat="1" applyFill="1" applyBorder="1" applyAlignment="1">
      <alignment horizontal="center" vertical="top"/>
    </xf>
    <xf numFmtId="0" fontId="12" fillId="0" borderId="0" xfId="6" applyFont="1" applyFill="1" applyBorder="1" applyAlignment="1">
      <alignment vertical="center" wrapText="1"/>
    </xf>
    <xf numFmtId="0" fontId="11" fillId="0" borderId="2" xfId="0" applyFont="1" applyFill="1" applyBorder="1" applyAlignment="1">
      <alignment wrapText="1"/>
    </xf>
    <xf numFmtId="9" fontId="0" fillId="0" borderId="0" xfId="10" applyFont="1" applyAlignment="1">
      <alignment wrapText="1"/>
    </xf>
    <xf numFmtId="0" fontId="13" fillId="0" borderId="0" xfId="11" applyAlignment="1" applyProtection="1"/>
    <xf numFmtId="0" fontId="2" fillId="5" borderId="0" xfId="1" applyFill="1" applyAlignment="1">
      <alignment vertical="top"/>
    </xf>
    <xf numFmtId="9" fontId="2" fillId="5" borderId="0" xfId="1" applyNumberFormat="1" applyFill="1" applyBorder="1" applyAlignment="1">
      <alignment horizontal="center" vertical="top" wrapText="1"/>
    </xf>
    <xf numFmtId="0" fontId="3" fillId="0" borderId="0" xfId="1" applyFont="1" applyFill="1" applyAlignment="1">
      <alignment wrapText="1"/>
    </xf>
    <xf numFmtId="9" fontId="2" fillId="0" borderId="0" xfId="10" applyFont="1"/>
    <xf numFmtId="171" fontId="0" fillId="0" borderId="0" xfId="3" applyNumberFormat="1" applyFont="1" applyAlignment="1">
      <alignment wrapText="1"/>
    </xf>
    <xf numFmtId="0" fontId="0" fillId="5" borderId="0" xfId="0" applyFill="1"/>
    <xf numFmtId="0" fontId="2" fillId="5" borderId="0" xfId="1" applyFill="1" applyBorder="1" applyAlignment="1">
      <alignment horizontal="left" vertical="top"/>
    </xf>
    <xf numFmtId="9" fontId="2" fillId="5" borderId="0" xfId="1" applyNumberFormat="1" applyFill="1" applyBorder="1" applyAlignment="1">
      <alignment horizontal="center" vertical="top"/>
    </xf>
    <xf numFmtId="43" fontId="2" fillId="5" borderId="0" xfId="1" applyNumberFormat="1" applyFill="1" applyBorder="1" applyAlignment="1">
      <alignment horizontal="center" vertical="top"/>
    </xf>
    <xf numFmtId="166" fontId="2" fillId="5" borderId="0" xfId="1" applyNumberFormat="1" applyFill="1" applyBorder="1" applyAlignment="1">
      <alignment horizontal="center" vertical="top"/>
    </xf>
    <xf numFmtId="0" fontId="3" fillId="5" borderId="0" xfId="1" applyFont="1" applyFill="1" applyAlignment="1"/>
    <xf numFmtId="9" fontId="0" fillId="5" borderId="0" xfId="3" applyFont="1" applyFill="1" applyAlignment="1"/>
    <xf numFmtId="0" fontId="2" fillId="5" borderId="0" xfId="1" applyFill="1"/>
    <xf numFmtId="9" fontId="0" fillId="5" borderId="0" xfId="3" applyFont="1" applyFill="1" applyBorder="1" applyAlignment="1">
      <alignment horizontal="left" vertical="top"/>
    </xf>
    <xf numFmtId="164" fontId="2" fillId="0" borderId="0" xfId="1" applyNumberFormat="1" applyFill="1" applyBorder="1" applyAlignment="1">
      <alignment horizontal="center" vertical="top"/>
    </xf>
    <xf numFmtId="172" fontId="2" fillId="6" borderId="0" xfId="6" applyNumberFormat="1" applyFont="1" applyFill="1" applyBorder="1" applyAlignment="1">
      <alignment horizontal="center" vertical="top" wrapText="1"/>
    </xf>
    <xf numFmtId="9" fontId="2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top" wrapText="1"/>
    </xf>
    <xf numFmtId="1" fontId="2" fillId="0" borderId="0" xfId="1" applyNumberFormat="1" applyFill="1" applyBorder="1" applyAlignment="1">
      <alignment horizontal="center" vertical="top" wrapText="1"/>
    </xf>
    <xf numFmtId="1" fontId="2" fillId="5" borderId="0" xfId="1" applyNumberFormat="1" applyFill="1" applyBorder="1" applyAlignment="1">
      <alignment horizontal="center" vertical="top" wrapText="1"/>
    </xf>
    <xf numFmtId="0" fontId="2" fillId="0" borderId="0" xfId="1" applyAlignment="1">
      <alignment horizontal="center"/>
    </xf>
    <xf numFmtId="0" fontId="2" fillId="0" borderId="0" xfId="1" applyFill="1" applyAlignment="1">
      <alignment horizontal="center" wrapText="1"/>
    </xf>
    <xf numFmtId="164" fontId="2" fillId="7" borderId="0" xfId="1" applyNumberForma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wrapText="1"/>
    </xf>
    <xf numFmtId="9" fontId="14" fillId="0" borderId="0" xfId="1" applyNumberFormat="1" applyFont="1" applyFill="1" applyBorder="1" applyAlignment="1">
      <alignment horizontal="center" vertical="top" wrapText="1"/>
    </xf>
    <xf numFmtId="43" fontId="14" fillId="0" borderId="0" xfId="1" applyNumberFormat="1" applyFont="1" applyFill="1" applyBorder="1" applyAlignment="1">
      <alignment horizontal="center" vertical="top" wrapText="1"/>
    </xf>
    <xf numFmtId="0" fontId="14" fillId="0" borderId="0" xfId="1" applyFont="1" applyAlignment="1">
      <alignment wrapText="1"/>
    </xf>
    <xf numFmtId="0" fontId="9" fillId="0" borderId="0" xfId="6" applyFont="1" applyFill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2" fillId="0" borderId="0" xfId="1" applyFill="1" applyBorder="1" applyAlignment="1">
      <alignment horizontal="center" vertical="top" wrapText="1"/>
    </xf>
    <xf numFmtId="0" fontId="0" fillId="0" borderId="0" xfId="0" applyFill="1" applyAlignment="1"/>
    <xf numFmtId="0" fontId="2" fillId="0" borderId="0" xfId="1" applyFill="1" applyBorder="1" applyAlignment="1">
      <alignment horizontal="left"/>
    </xf>
    <xf numFmtId="9" fontId="2" fillId="0" borderId="0" xfId="1" applyNumberFormat="1" applyFill="1" applyBorder="1" applyAlignment="1">
      <alignment horizontal="center"/>
    </xf>
    <xf numFmtId="43" fontId="2" fillId="0" borderId="0" xfId="1" applyNumberFormat="1" applyFill="1" applyBorder="1" applyAlignment="1">
      <alignment horizontal="center"/>
    </xf>
    <xf numFmtId="0" fontId="14" fillId="0" borderId="0" xfId="1" applyFont="1"/>
    <xf numFmtId="0" fontId="2" fillId="0" borderId="0" xfId="1" applyFill="1" applyBorder="1"/>
    <xf numFmtId="0" fontId="2" fillId="4" borderId="2" xfId="0" applyFont="1" applyFill="1" applyBorder="1" applyAlignment="1">
      <alignment vertical="top"/>
    </xf>
    <xf numFmtId="9" fontId="14" fillId="0" borderId="0" xfId="1" applyNumberFormat="1" applyFont="1" applyFill="1" applyBorder="1" applyAlignment="1">
      <alignment horizontal="center" wrapText="1"/>
    </xf>
    <xf numFmtId="0" fontId="14" fillId="0" borderId="0" xfId="1" applyFont="1" applyAlignment="1">
      <alignment horizontal="center" wrapText="1"/>
    </xf>
    <xf numFmtId="0" fontId="14" fillId="0" borderId="0" xfId="1" applyFont="1" applyFill="1" applyBorder="1" applyAlignment="1">
      <alignment horizontal="center" wrapText="1"/>
    </xf>
    <xf numFmtId="0" fontId="14" fillId="0" borderId="0" xfId="1" applyFont="1" applyAlignment="1">
      <alignment horizontal="center"/>
    </xf>
    <xf numFmtId="9" fontId="15" fillId="0" borderId="0" xfId="1" applyNumberFormat="1" applyFont="1" applyFill="1" applyBorder="1" applyAlignment="1">
      <alignment horizontal="center" wrapText="1"/>
    </xf>
    <xf numFmtId="43" fontId="15" fillId="0" borderId="0" xfId="1" applyNumberFormat="1" applyFont="1" applyFill="1" applyBorder="1" applyAlignment="1">
      <alignment horizontal="center"/>
    </xf>
    <xf numFmtId="0" fontId="15" fillId="0" borderId="0" xfId="1" applyFont="1" applyAlignment="1">
      <alignment horizontal="center" wrapText="1"/>
    </xf>
    <xf numFmtId="0" fontId="15" fillId="0" borderId="0" xfId="1" applyFont="1" applyFill="1" applyBorder="1" applyAlignment="1">
      <alignment horizontal="center" wrapText="1"/>
    </xf>
    <xf numFmtId="0" fontId="3" fillId="8" borderId="2" xfId="1" applyFont="1" applyFill="1" applyBorder="1" applyAlignment="1">
      <alignment wrapText="1"/>
    </xf>
    <xf numFmtId="0" fontId="2" fillId="8" borderId="2" xfId="1" applyFill="1" applyBorder="1" applyAlignment="1">
      <alignment horizontal="left" vertical="top" wrapText="1"/>
    </xf>
    <xf numFmtId="9" fontId="2" fillId="8" borderId="2" xfId="1" applyNumberFormat="1" applyFill="1" applyBorder="1" applyAlignment="1">
      <alignment horizontal="center" wrapText="1"/>
    </xf>
    <xf numFmtId="0" fontId="3" fillId="8" borderId="2" xfId="1" applyFont="1" applyFill="1" applyBorder="1" applyAlignment="1">
      <alignment horizontal="center" wrapText="1"/>
    </xf>
    <xf numFmtId="0" fontId="3" fillId="8" borderId="2" xfId="1" applyFont="1" applyFill="1" applyBorder="1"/>
    <xf numFmtId="1" fontId="8" fillId="8" borderId="2" xfId="8" applyNumberFormat="1" applyFill="1" applyBorder="1" applyAlignment="1">
      <alignment vertical="top" wrapText="1"/>
    </xf>
    <xf numFmtId="9" fontId="2" fillId="8" borderId="2" xfId="1" applyNumberFormat="1" applyFill="1" applyBorder="1" applyAlignment="1">
      <alignment horizontal="center" vertical="top" wrapText="1"/>
    </xf>
    <xf numFmtId="0" fontId="0" fillId="0" borderId="0" xfId="0" applyAlignment="1"/>
    <xf numFmtId="0" fontId="0" fillId="0" borderId="0" xfId="0" applyBorder="1"/>
    <xf numFmtId="0" fontId="0" fillId="0" borderId="0" xfId="0" applyFill="1" applyBorder="1"/>
  </cellXfs>
  <cellStyles count="12">
    <cellStyle name="Comma" xfId="9" builtinId="3"/>
    <cellStyle name="Comma 2" xfId="4"/>
    <cellStyle name="Currency 2" xfId="2"/>
    <cellStyle name="Hyperlink" xfId="11" builtinId="8"/>
    <cellStyle name="Normal" xfId="0" builtinId="0"/>
    <cellStyle name="Normal 2" xfId="1"/>
    <cellStyle name="Normal 2 2" xfId="5"/>
    <cellStyle name="Normal 3" xfId="6"/>
    <cellStyle name="Normal 4" xfId="7"/>
    <cellStyle name="Normal 5" xfId="8"/>
    <cellStyle name="Percent" xfId="10" builtinId="5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58815606859596"/>
          <c:y val="4.2795002187226594E-2"/>
          <c:w val="0.69553905184989562"/>
          <c:h val="0.713477963692038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'Overall Scatter'!$A$4:$A$107</c:f>
              <c:strCache>
                <c:ptCount val="1"/>
                <c:pt idx="0">
                  <c:v>AB3 Apache Block III ACS AEHF AGM-88E AIM-9X AMF JTRS AMRAAM ARH ASDS ASIP ATIRCM/CMWS B-2 EHF Increment I B-2 RMP BAMS C-130AMP C-130J C-17A C-5 RERP C-5AMP CEC CH-47F CH-53K CHEM DEMIL-ACWA CHEM DEMIL-CMA Cobra Judy replacement Comanche CVN 21 DDG 1000 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39"/>
              <c:layout/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sz="1000" b="0" i="0" u="none" strike="noStrike" baseline="0">
                        <a:effectLst/>
                      </a:rPr>
                      <a:t>F-35</a:t>
                    </a:r>
                    <a:r>
                      <a:rPr lang="en-US" sz="10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'Overall Scatter'!$B$4:$B$95</c:f>
              <c:strCache>
                <c:ptCount val="92"/>
                <c:pt idx="0">
                  <c:v>42%</c:v>
                </c:pt>
                <c:pt idx="1">
                  <c:v>-15%</c:v>
                </c:pt>
                <c:pt idx="2">
                  <c:v>34%</c:v>
                </c:pt>
                <c:pt idx="3">
                  <c:v>8%</c:v>
                </c:pt>
                <c:pt idx="4">
                  <c:v>19%</c:v>
                </c:pt>
                <c:pt idx="5">
                  <c:v>-19%</c:v>
                </c:pt>
                <c:pt idx="6">
                  <c:v>28%</c:v>
                </c:pt>
                <c:pt idx="7">
                  <c:v>-60%</c:v>
                </c:pt>
                <c:pt idx="8">
                  <c:v>3%</c:v>
                </c:pt>
                <c:pt idx="9">
                  <c:v>0%</c:v>
                </c:pt>
                <c:pt idx="10">
                  <c:v>2%</c:v>
                </c:pt>
                <c:pt idx="11">
                  <c:v>-18%</c:v>
                </c:pt>
                <c:pt idx="12">
                  <c:v>-8%</c:v>
                </c:pt>
                <c:pt idx="13">
                  <c:v>20%</c:v>
                </c:pt>
                <c:pt idx="14">
                  <c:v>-10%</c:v>
                </c:pt>
                <c:pt idx="15">
                  <c:v>32%</c:v>
                </c:pt>
                <c:pt idx="16">
                  <c:v>47%</c:v>
                </c:pt>
                <c:pt idx="17">
                  <c:v>-2%</c:v>
                </c:pt>
                <c:pt idx="18">
                  <c:v>#N/A</c:v>
                </c:pt>
                <c:pt idx="19">
                  <c:v>12%</c:v>
                </c:pt>
                <c:pt idx="20">
                  <c:v>13%</c:v>
                </c:pt>
                <c:pt idx="21">
                  <c:v>18%</c:v>
                </c:pt>
                <c:pt idx="22">
                  <c:v>284%</c:v>
                </c:pt>
                <c:pt idx="23">
                  <c:v>80%</c:v>
                </c:pt>
                <c:pt idx="24">
                  <c:v>12%</c:v>
                </c:pt>
                <c:pt idx="25">
                  <c:v>15%</c:v>
                </c:pt>
                <c:pt idx="26">
                  <c:v>-13%</c:v>
                </c:pt>
                <c:pt idx="27">
                  <c:v>8%</c:v>
                </c:pt>
                <c:pt idx="28">
                  <c:v>22%</c:v>
                </c:pt>
                <c:pt idx="29">
                  <c:v>-10%</c:v>
                </c:pt>
                <c:pt idx="30">
                  <c:v>7%</c:v>
                </c:pt>
                <c:pt idx="31">
                  <c:v>3%</c:v>
                </c:pt>
                <c:pt idx="32">
                  <c:v>63%</c:v>
                </c:pt>
                <c:pt idx="33">
                  <c:v>-18%</c:v>
                </c:pt>
                <c:pt idx="35">
                  <c:v>4%</c:v>
                </c:pt>
                <c:pt idx="36">
                  <c:v>-2%</c:v>
                </c:pt>
                <c:pt idx="37">
                  <c:v>5%</c:v>
                </c:pt>
                <c:pt idx="38">
                  <c:v>#N/A</c:v>
                </c:pt>
                <c:pt idx="39">
                  <c:v>53%</c:v>
                </c:pt>
                <c:pt idx="40">
                  <c:v>32%</c:v>
                </c:pt>
                <c:pt idx="41">
                  <c:v>21%</c:v>
                </c:pt>
                <c:pt idx="42">
                  <c:v>45%</c:v>
                </c:pt>
                <c:pt idx="43">
                  <c:v>25%</c:v>
                </c:pt>
                <c:pt idx="44">
                  <c:v>20%</c:v>
                </c:pt>
                <c:pt idx="45">
                  <c:v>26%</c:v>
                </c:pt>
                <c:pt idx="46">
                  <c:v>-3%</c:v>
                </c:pt>
                <c:pt idx="47">
                  <c:v>7%</c:v>
                </c:pt>
                <c:pt idx="48">
                  <c:v>-13%</c:v>
                </c:pt>
                <c:pt idx="49">
                  <c:v>-12%</c:v>
                </c:pt>
                <c:pt idx="51">
                  <c:v>45%</c:v>
                </c:pt>
                <c:pt idx="52">
                  <c:v>-12%</c:v>
                </c:pt>
                <c:pt idx="53">
                  <c:v>-71%</c:v>
                </c:pt>
                <c:pt idx="54">
                  <c:v>27%</c:v>
                </c:pt>
                <c:pt idx="55">
                  <c:v>-8%</c:v>
                </c:pt>
                <c:pt idx="56">
                  <c:v>-22%</c:v>
                </c:pt>
                <c:pt idx="57">
                  <c:v>26%</c:v>
                </c:pt>
                <c:pt idx="58">
                  <c:v>-3%</c:v>
                </c:pt>
                <c:pt idx="59">
                  <c:v>8%</c:v>
                </c:pt>
                <c:pt idx="60">
                  <c:v>-27%</c:v>
                </c:pt>
                <c:pt idx="61">
                  <c:v>-7%</c:v>
                </c:pt>
                <c:pt idx="62">
                  <c:v>-54%</c:v>
                </c:pt>
                <c:pt idx="63">
                  <c:v>-28%</c:v>
                </c:pt>
                <c:pt idx="64">
                  <c:v>111%</c:v>
                </c:pt>
                <c:pt idx="65">
                  <c:v>14%</c:v>
                </c:pt>
                <c:pt idx="66">
                  <c:v>-90%</c:v>
                </c:pt>
                <c:pt idx="67">
                  <c:v>-1%</c:v>
                </c:pt>
                <c:pt idx="68">
                  <c:v>#N/A</c:v>
                </c:pt>
                <c:pt idx="69">
                  <c:v>86%</c:v>
                </c:pt>
                <c:pt idx="70">
                  <c:v>3%</c:v>
                </c:pt>
                <c:pt idx="71">
                  <c:v>14%</c:v>
                </c:pt>
                <c:pt idx="72">
                  <c:v>14%</c:v>
                </c:pt>
                <c:pt idx="73">
                  <c:v>15%</c:v>
                </c:pt>
                <c:pt idx="74">
                  <c:v>-2000%</c:v>
                </c:pt>
                <c:pt idx="75">
                  <c:v>4%</c:v>
                </c:pt>
                <c:pt idx="76">
                  <c:v>4%</c:v>
                </c:pt>
                <c:pt idx="77">
                  <c:v>24%</c:v>
                </c:pt>
                <c:pt idx="78">
                  <c:v>5%</c:v>
                </c:pt>
                <c:pt idx="79">
                  <c:v>274%</c:v>
                </c:pt>
                <c:pt idx="80">
                  <c:v>-2%</c:v>
                </c:pt>
                <c:pt idx="81">
                  <c:v>#N/A</c:v>
                </c:pt>
                <c:pt idx="82">
                  <c:v>-4%</c:v>
                </c:pt>
                <c:pt idx="83">
                  <c:v>#N/A</c:v>
                </c:pt>
                <c:pt idx="84">
                  <c:v>#N/A</c:v>
                </c:pt>
                <c:pt idx="85">
                  <c:v>-1%</c:v>
                </c:pt>
                <c:pt idx="86">
                  <c:v>#N/A</c:v>
                </c:pt>
                <c:pt idx="87">
                  <c:v>175%</c:v>
                </c:pt>
                <c:pt idx="88">
                  <c:v>11%</c:v>
                </c:pt>
                <c:pt idx="89">
                  <c:v>-3%</c:v>
                </c:pt>
                <c:pt idx="90">
                  <c:v>-3%</c:v>
                </c:pt>
                <c:pt idx="91">
                  <c:v>2%</c:v>
                </c:pt>
              </c:strCache>
            </c:strRef>
          </c:xVal>
          <c:yVal>
            <c:numRef>
              <c:f>'Overall Scatter'!$D$4:$D$95</c:f>
              <c:numCache>
                <c:formatCode>_(* #,##0_);_(* \(#,##0\);_(* "-"??_);_(@_)</c:formatCode>
                <c:ptCount val="92"/>
                <c:pt idx="0">
                  <c:v>3071.1528683541505</c:v>
                </c:pt>
                <c:pt idx="1">
                  <c:v>-695.83847923477413</c:v>
                </c:pt>
                <c:pt idx="2">
                  <c:v>2409.1906056860321</c:v>
                </c:pt>
                <c:pt idx="3">
                  <c:v>144.35524881946967</c:v>
                </c:pt>
                <c:pt idx="4">
                  <c:v>620.06190283945637</c:v>
                </c:pt>
                <c:pt idx="5">
                  <c:v>-1554.4871499003461</c:v>
                </c:pt>
                <c:pt idx="6">
                  <c:v>5173.8097081596197</c:v>
                </c:pt>
                <c:pt idx="7">
                  <c:v>-2163.7236766891506</c:v>
                </c:pt>
                <c:pt idx="8">
                  <c:v>62.309238406586744</c:v>
                </c:pt>
                <c:pt idx="9">
                  <c:v>-0.55440254803246691</c:v>
                </c:pt>
                <c:pt idx="10">
                  <c:v>60.930621140573919</c:v>
                </c:pt>
                <c:pt idx="11">
                  <c:v>-125.29981757699325</c:v>
                </c:pt>
                <c:pt idx="12">
                  <c:v>-108.37197104793874</c:v>
                </c:pt>
                <c:pt idx="13">
                  <c:v>2564.6700933599077</c:v>
                </c:pt>
                <c:pt idx="14">
                  <c:v>-597.10222952840854</c:v>
                </c:pt>
                <c:pt idx="15">
                  <c:v>318.43579553241062</c:v>
                </c:pt>
                <c:pt idx="16">
                  <c:v>26569.717692202274</c:v>
                </c:pt>
                <c:pt idx="17">
                  <c:v>-142.43721808454842</c:v>
                </c:pt>
                <c:pt idx="18">
                  <c:v>#N/A</c:v>
                </c:pt>
                <c:pt idx="19">
                  <c:v>596.32398022249686</c:v>
                </c:pt>
                <c:pt idx="20">
                  <c:v>1589.7322510575052</c:v>
                </c:pt>
                <c:pt idx="21">
                  <c:v>2930.9376588924506</c:v>
                </c:pt>
                <c:pt idx="22">
                  <c:v>7486.4414478353447</c:v>
                </c:pt>
                <c:pt idx="23">
                  <c:v>13172.59258202568</c:v>
                </c:pt>
                <c:pt idx="24">
                  <c:v>193.37086814384307</c:v>
                </c:pt>
                <c:pt idx="25">
                  <c:v>7366.7066615226322</c:v>
                </c:pt>
                <c:pt idx="26">
                  <c:v>-4761.3873456790125</c:v>
                </c:pt>
                <c:pt idx="27">
                  <c:v>2993.5700240082319</c:v>
                </c:pt>
                <c:pt idx="28">
                  <c:v>6693.0363059569963</c:v>
                </c:pt>
                <c:pt idx="29">
                  <c:v>-104.72421933683873</c:v>
                </c:pt>
                <c:pt idx="30">
                  <c:v>1283.9240165631468</c:v>
                </c:pt>
                <c:pt idx="31">
                  <c:v>248.92267736985008</c:v>
                </c:pt>
                <c:pt idx="32">
                  <c:v>5778.1830668526682</c:v>
                </c:pt>
                <c:pt idx="33">
                  <c:v>-592.16942361039764</c:v>
                </c:pt>
                <c:pt idx="34">
                  <c:v>0</c:v>
                </c:pt>
                <c:pt idx="35">
                  <c:v>51.145764262032699</c:v>
                </c:pt>
                <c:pt idx="36">
                  <c:v>-28.408198304539113</c:v>
                </c:pt>
                <c:pt idx="37">
                  <c:v>2550.3082561728388</c:v>
                </c:pt>
                <c:pt idx="38">
                  <c:v>#N/A</c:v>
                </c:pt>
                <c:pt idx="39">
                  <c:v>115585.66131025959</c:v>
                </c:pt>
                <c:pt idx="40">
                  <c:v>1054.960321384425</c:v>
                </c:pt>
                <c:pt idx="41">
                  <c:v>377.49982851263286</c:v>
                </c:pt>
                <c:pt idx="42">
                  <c:v>41919.118537353184</c:v>
                </c:pt>
                <c:pt idx="43">
                  <c:v>4004.0268603535706</c:v>
                </c:pt>
                <c:pt idx="44">
                  <c:v>122.09850625756965</c:v>
                </c:pt>
                <c:pt idx="45">
                  <c:v>3055.202324736651</c:v>
                </c:pt>
                <c:pt idx="46">
                  <c:v>-136.20959621904859</c:v>
                </c:pt>
                <c:pt idx="47">
                  <c:v>763.89489142977027</c:v>
                </c:pt>
                <c:pt idx="48">
                  <c:v>-584.22084998183789</c:v>
                </c:pt>
                <c:pt idx="49">
                  <c:v>-613.35942028985517</c:v>
                </c:pt>
                <c:pt idx="50">
                  <c:v>0</c:v>
                </c:pt>
                <c:pt idx="51">
                  <c:v>2502.1852213996372</c:v>
                </c:pt>
                <c:pt idx="52">
                  <c:v>-468.10172765318168</c:v>
                </c:pt>
                <c:pt idx="53">
                  <c:v>-5643.166096092551</c:v>
                </c:pt>
                <c:pt idx="54">
                  <c:v>873.97904735298243</c:v>
                </c:pt>
                <c:pt idx="55">
                  <c:v>-272.2123151159131</c:v>
                </c:pt>
                <c:pt idx="56">
                  <c:v>-1484.7376243283411</c:v>
                </c:pt>
                <c:pt idx="57">
                  <c:v>6026.9836357914619</c:v>
                </c:pt>
                <c:pt idx="58">
                  <c:v>-26.270009440889545</c:v>
                </c:pt>
                <c:pt idx="59">
                  <c:v>464.65636588380715</c:v>
                </c:pt>
                <c:pt idx="60">
                  <c:v>-441.20919713531839</c:v>
                </c:pt>
                <c:pt idx="61">
                  <c:v>-580.1658474710639</c:v>
                </c:pt>
                <c:pt idx="62">
                  <c:v>-9636.6971569839297</c:v>
                </c:pt>
                <c:pt idx="63">
                  <c:v>-2767.3316435161723</c:v>
                </c:pt>
                <c:pt idx="64">
                  <c:v>1114.3462299134733</c:v>
                </c:pt>
                <c:pt idx="65">
                  <c:v>55.530053498374073</c:v>
                </c:pt>
                <c:pt idx="66">
                  <c:v>-2683.3224361302823</c:v>
                </c:pt>
                <c:pt idx="67">
                  <c:v>-28.624516414280983</c:v>
                </c:pt>
                <c:pt idx="68">
                  <c:v>#N/A</c:v>
                </c:pt>
                <c:pt idx="69">
                  <c:v>10566.637659312046</c:v>
                </c:pt>
                <c:pt idx="70">
                  <c:v>47.082789875096722</c:v>
                </c:pt>
                <c:pt idx="71">
                  <c:v>1585.7687631258982</c:v>
                </c:pt>
                <c:pt idx="72">
                  <c:v>945.46644518272444</c:v>
                </c:pt>
                <c:pt idx="73">
                  <c:v>324.7918634217217</c:v>
                </c:pt>
                <c:pt idx="74">
                  <c:v>-37276.234567901229</c:v>
                </c:pt>
                <c:pt idx="75">
                  <c:v>272.40703576909453</c:v>
                </c:pt>
                <c:pt idx="76">
                  <c:v>61.226477649479818</c:v>
                </c:pt>
                <c:pt idx="77">
                  <c:v>1779.3070987654319</c:v>
                </c:pt>
                <c:pt idx="78">
                  <c:v>91.937082818294201</c:v>
                </c:pt>
                <c:pt idx="79">
                  <c:v>18736.101359703338</c:v>
                </c:pt>
                <c:pt idx="80">
                  <c:v>-531.73163464502215</c:v>
                </c:pt>
                <c:pt idx="81">
                  <c:v>#N/A</c:v>
                </c:pt>
                <c:pt idx="82">
                  <c:v>-1101.1774288749853</c:v>
                </c:pt>
                <c:pt idx="83">
                  <c:v>#N/A</c:v>
                </c:pt>
                <c:pt idx="84">
                  <c:v>#N/A</c:v>
                </c:pt>
                <c:pt idx="85">
                  <c:v>-15.55830662097933</c:v>
                </c:pt>
                <c:pt idx="86">
                  <c:v>#N/A</c:v>
                </c:pt>
                <c:pt idx="87">
                  <c:v>9004.7269171672015</c:v>
                </c:pt>
                <c:pt idx="88">
                  <c:v>99.14905032728835</c:v>
                </c:pt>
                <c:pt idx="89">
                  <c:v>-193.26419549049703</c:v>
                </c:pt>
                <c:pt idx="90">
                  <c:v>-3056.3240676072078</c:v>
                </c:pt>
                <c:pt idx="91">
                  <c:v>195.41730610317555</c:v>
                </c:pt>
              </c:numCache>
            </c:numRef>
          </c:yVal>
          <c:smooth val="0"/>
        </c:ser>
        <c:ser>
          <c:idx val="1"/>
          <c:order val="1"/>
          <c:tx>
            <c:v>Bounding Box</c:v>
          </c:tx>
          <c:spPr>
            <a:ln w="15875"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'Overall Scatter'!$J$27:$J$31</c:f>
              <c:numCache>
                <c:formatCode>0%</c:formatCode>
                <c:ptCount val="5"/>
                <c:pt idx="0">
                  <c:v>-0.25</c:v>
                </c:pt>
                <c:pt idx="1">
                  <c:v>0.5</c:v>
                </c:pt>
                <c:pt idx="2">
                  <c:v>0.5</c:v>
                </c:pt>
                <c:pt idx="3">
                  <c:v>-0.25</c:v>
                </c:pt>
                <c:pt idx="4">
                  <c:v>-0.25</c:v>
                </c:pt>
              </c:numCache>
            </c:numRef>
          </c:xVal>
          <c:yVal>
            <c:numRef>
              <c:f>'Overall Scatter'!$K$27:$K$31</c:f>
              <c:numCache>
                <c:formatCode>General</c:formatCode>
                <c:ptCount val="5"/>
                <c:pt idx="0">
                  <c:v>-2000</c:v>
                </c:pt>
                <c:pt idx="1">
                  <c:v>-2000</c:v>
                </c:pt>
                <c:pt idx="2">
                  <c:v>10000</c:v>
                </c:pt>
                <c:pt idx="3">
                  <c:v>10000</c:v>
                </c:pt>
                <c:pt idx="4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0384"/>
        <c:axId val="74302592"/>
      </c:scatterChart>
      <c:valAx>
        <c:axId val="690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 i="0" baseline="0"/>
                  <a:t>Real cost overruns </a:t>
                </a:r>
                <a:br>
                  <a:rPr lang="en-US" sz="1100" b="0" i="0" baseline="0"/>
                </a:br>
                <a:r>
                  <a:rPr lang="en-US" sz="1100" b="0" i="0" baseline="0"/>
                  <a:t>(in percent, quantity adjusted)</a:t>
                </a:r>
              </a:p>
            </c:rich>
          </c:tx>
          <c:layout>
            <c:manualLayout>
              <c:xMode val="edge"/>
              <c:yMode val="edge"/>
              <c:x val="0.19029345290172084"/>
              <c:y val="0.90173611111111107"/>
            </c:manualLayout>
          </c:layout>
          <c:overlay val="0"/>
        </c:title>
        <c:numFmt formatCode="0%" sourceLinked="1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74302592"/>
        <c:crossesAt val="0"/>
        <c:crossBetween val="midCat"/>
      </c:valAx>
      <c:valAx>
        <c:axId val="7430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 i="0" baseline="0"/>
                  <a:t>Real cost overruns </a:t>
                </a:r>
                <a:br>
                  <a:rPr lang="en-US" sz="1100" b="0" i="0" baseline="0"/>
                </a:br>
                <a:r>
                  <a:rPr lang="en-US" sz="1100" b="0" i="0" baseline="0"/>
                  <a:t>(in 2010 billions, quantity adjusted)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69040384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002819092057905E-2"/>
          <c:y val="3.2755056054488772E-2"/>
          <c:w val="0.9111062506075629"/>
          <c:h val="0.68631605681525409"/>
        </c:manualLayout>
      </c:layout>
      <c:scatterChart>
        <c:scatterStyle val="lineMarker"/>
        <c:varyColors val="0"/>
        <c:ser>
          <c:idx val="5"/>
          <c:order val="0"/>
          <c:tx>
            <c:strRef>
              <c:f>'Prime-Scatter'!$C$10</c:f>
              <c:strCache>
                <c:ptCount val="1"/>
                <c:pt idx="0">
                  <c:v>Boeing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xVal>
            <c:numRef>
              <c:f>'Prime-Scatter'!$D$10:$D$24</c:f>
              <c:numCache>
                <c:formatCode>0%</c:formatCode>
                <c:ptCount val="15"/>
                <c:pt idx="0">
                  <c:v>0.42399999999999999</c:v>
                </c:pt>
                <c:pt idx="1">
                  <c:v>-9.8000000000000004E-2</c:v>
                </c:pt>
                <c:pt idx="2">
                  <c:v>0.47</c:v>
                </c:pt>
                <c:pt idx="3">
                  <c:v>0.13100000000000001</c:v>
                </c:pt>
                <c:pt idx="4">
                  <c:v>2.7999999999999997E-2</c:v>
                </c:pt>
                <c:pt idx="5">
                  <c:v>-0.183</c:v>
                </c:pt>
                <c:pt idx="6">
                  <c:v>5.0999999999999997E-2</c:v>
                </c:pt>
                <c:pt idx="7">
                  <c:v>0.32299999999999995</c:v>
                </c:pt>
                <c:pt idx="8">
                  <c:v>0.44500000000000001</c:v>
                </c:pt>
                <c:pt idx="9">
                  <c:v>0.27200000000000002</c:v>
                </c:pt>
                <c:pt idx="10">
                  <c:v>-0.54</c:v>
                </c:pt>
                <c:pt idx="11">
                  <c:v>80.599999999999994</c:v>
                </c:pt>
                <c:pt idx="12">
                  <c:v>0.23800000000000002</c:v>
                </c:pt>
                <c:pt idx="13">
                  <c:v>-1.6E-2</c:v>
                </c:pt>
                <c:pt idx="14">
                  <c:v>-2.5000000000000001E-2</c:v>
                </c:pt>
              </c:numCache>
            </c:numRef>
          </c:xVal>
          <c:yVal>
            <c:numRef>
              <c:f>'Prime-Scatter'!$E$10:$E$24</c:f>
              <c:numCache>
                <c:formatCode>_(* #,##0.00_);_(* \(#,##0.00\);_(* "-"??_);_(@_)</c:formatCode>
                <c:ptCount val="15"/>
                <c:pt idx="0">
                  <c:v>3071.1528683541505</c:v>
                </c:pt>
                <c:pt idx="1">
                  <c:v>-597.10222952840854</c:v>
                </c:pt>
                <c:pt idx="2">
                  <c:v>26569.717692202274</c:v>
                </c:pt>
                <c:pt idx="3">
                  <c:v>1589.7322510575052</c:v>
                </c:pt>
                <c:pt idx="4">
                  <c:v>248.92267736985008</c:v>
                </c:pt>
                <c:pt idx="5">
                  <c:v>-592.16942361039764</c:v>
                </c:pt>
                <c:pt idx="6">
                  <c:v>2550.3082561728388</c:v>
                </c:pt>
                <c:pt idx="7">
                  <c:v>1054.960321384425</c:v>
                </c:pt>
                <c:pt idx="8">
                  <c:v>41919.118537353184</c:v>
                </c:pt>
                <c:pt idx="9">
                  <c:v>873.97904735298243</c:v>
                </c:pt>
                <c:pt idx="10">
                  <c:v>-9636.6971569839297</c:v>
                </c:pt>
                <c:pt idx="11">
                  <c:v>628562.91626695904</c:v>
                </c:pt>
                <c:pt idx="12">
                  <c:v>1779.3070987654319</c:v>
                </c:pt>
                <c:pt idx="13">
                  <c:v>-531.73163464502215</c:v>
                </c:pt>
                <c:pt idx="14">
                  <c:v>-92.741189766772834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'Prime-Scatter'!$C$25</c:f>
              <c:strCache>
                <c:ptCount val="1"/>
                <c:pt idx="0">
                  <c:v>#N/A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'Prime-Scatter'!$D$25:$D$34</c:f>
              <c:numCache>
                <c:formatCode>0%</c:formatCode>
                <c:ptCount val="10"/>
                <c:pt idx="0">
                  <c:v>8.3000000000000004E-2</c:v>
                </c:pt>
                <c:pt idx="1">
                  <c:v>0.63400000000000001</c:v>
                </c:pt>
                <c:pt idx="2">
                  <c:v>-0.27600000000000002</c:v>
                </c:pt>
                <c:pt idx="3">
                  <c:v>-0.90400000000000003</c:v>
                </c:pt>
                <c:pt idx="4">
                  <c:v>-3.4000000000000002E-2</c:v>
                </c:pt>
                <c:pt idx="5">
                  <c:v>0.02</c:v>
                </c:pt>
                <c:pt idx="6">
                  <c:v>0.08</c:v>
                </c:pt>
                <c:pt idx="7">
                  <c:v>2.1000000000000001E-2</c:v>
                </c:pt>
                <c:pt idx="8">
                  <c:v>6.2E-2</c:v>
                </c:pt>
                <c:pt idx="9">
                  <c:v>-0.19500000000000001</c:v>
                </c:pt>
              </c:numCache>
            </c:numRef>
          </c:xVal>
          <c:yVal>
            <c:numRef>
              <c:f>'Prime-Scatter'!$E$25:$E$34</c:f>
              <c:numCache>
                <c:formatCode>_(* #,##0.00_);_(* \(#,##0.00\);_(* "-"??_);_(@_)</c:formatCode>
                <c:ptCount val="10"/>
                <c:pt idx="0">
                  <c:v>2993.5700240082319</c:v>
                </c:pt>
                <c:pt idx="1">
                  <c:v>5778.1830668526682</c:v>
                </c:pt>
                <c:pt idx="2">
                  <c:v>-2767.3316435161723</c:v>
                </c:pt>
                <c:pt idx="3">
                  <c:v>-2683.3224361302823</c:v>
                </c:pt>
                <c:pt idx="4">
                  <c:v>-3056.3240676072078</c:v>
                </c:pt>
                <c:pt idx="5">
                  <c:v>195.41730610317555</c:v>
                </c:pt>
                <c:pt idx="6">
                  <c:v>438.53909465020575</c:v>
                </c:pt>
                <c:pt idx="7">
                  <c:v>85.586436312909129</c:v>
                </c:pt>
                <c:pt idx="8">
                  <c:v>298.50200349327031</c:v>
                </c:pt>
                <c:pt idx="9">
                  <c:v>-3191.0357142857142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'Prime-Scatter'!$C$35</c:f>
              <c:strCache>
                <c:ptCount val="1"/>
                <c:pt idx="0">
                  <c:v>Lockheed Martin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'Prime-Scatter'!$D$35:$D$54</c:f>
              <c:numCache>
                <c:formatCode>0%</c:formatCode>
                <c:ptCount val="20"/>
                <c:pt idx="0">
                  <c:v>-0.14899999999999999</c:v>
                </c:pt>
                <c:pt idx="1">
                  <c:v>0.33600000000000002</c:v>
                </c:pt>
                <c:pt idx="2">
                  <c:v>-0.191</c:v>
                </c:pt>
                <c:pt idx="3">
                  <c:v>0.318</c:v>
                </c:pt>
                <c:pt idx="4">
                  <c:v>-1.9E-2</c:v>
                </c:pt>
                <c:pt idx="5">
                  <c:v>0.19899999999999998</c:v>
                </c:pt>
                <c:pt idx="6">
                  <c:v>6.8000000000000005E-2</c:v>
                </c:pt>
                <c:pt idx="7">
                  <c:v>0.52800000000000002</c:v>
                </c:pt>
                <c:pt idx="8">
                  <c:v>0.25800000000000001</c:v>
                </c:pt>
                <c:pt idx="9">
                  <c:v>-3.2000000000000001E-2</c:v>
                </c:pt>
                <c:pt idx="10">
                  <c:v>-0.13</c:v>
                </c:pt>
                <c:pt idx="11">
                  <c:v>0.44600000000000001</c:v>
                </c:pt>
                <c:pt idx="12">
                  <c:v>-0.70599999999999996</c:v>
                </c:pt>
                <c:pt idx="13">
                  <c:v>0.04</c:v>
                </c:pt>
                <c:pt idx="14">
                  <c:v>#N/A</c:v>
                </c:pt>
                <c:pt idx="15">
                  <c:v>-4.0999999999999995E-2</c:v>
                </c:pt>
                <c:pt idx="16">
                  <c:v>-1.1000000000000001E-2</c:v>
                </c:pt>
                <c:pt idx="17">
                  <c:v>1.7519999999999998</c:v>
                </c:pt>
                <c:pt idx="18">
                  <c:v>0.20699999999999999</c:v>
                </c:pt>
                <c:pt idx="19">
                  <c:v>-3.3000000000000002E-2</c:v>
                </c:pt>
              </c:numCache>
            </c:numRef>
          </c:xVal>
          <c:yVal>
            <c:numRef>
              <c:f>'Prime-Scatter'!$E$35:$E$54</c:f>
              <c:numCache>
                <c:formatCode>_(* #,##0.00_);_(* \(#,##0.00\);_(* "-"??_);_(@_)</c:formatCode>
                <c:ptCount val="20"/>
                <c:pt idx="0">
                  <c:v>-695.83847923477413</c:v>
                </c:pt>
                <c:pt idx="1">
                  <c:v>2409.1906056860321</c:v>
                </c:pt>
                <c:pt idx="2">
                  <c:v>-1554.4871499003461</c:v>
                </c:pt>
                <c:pt idx="3">
                  <c:v>318.43579553241062</c:v>
                </c:pt>
                <c:pt idx="4">
                  <c:v>-142.43721808454842</c:v>
                </c:pt>
                <c:pt idx="5">
                  <c:v>195.4146125787554</c:v>
                </c:pt>
                <c:pt idx="6">
                  <c:v>4997.319766777181</c:v>
                </c:pt>
                <c:pt idx="7">
                  <c:v>115585.66131025959</c:v>
                </c:pt>
                <c:pt idx="8">
                  <c:v>3055.202324736651</c:v>
                </c:pt>
                <c:pt idx="9">
                  <c:v>-136.20959621904859</c:v>
                </c:pt>
                <c:pt idx="10">
                  <c:v>-584.22084998183789</c:v>
                </c:pt>
                <c:pt idx="11">
                  <c:v>2502.1852213996372</c:v>
                </c:pt>
                <c:pt idx="12">
                  <c:v>-5643.166096092551</c:v>
                </c:pt>
                <c:pt idx="13">
                  <c:v>272.40703576909453</c:v>
                </c:pt>
                <c:pt idx="14">
                  <c:v>#N/A</c:v>
                </c:pt>
                <c:pt idx="15">
                  <c:v>-1101.1774288749853</c:v>
                </c:pt>
                <c:pt idx="16">
                  <c:v>-15.55830662097933</c:v>
                </c:pt>
                <c:pt idx="17">
                  <c:v>9004.7269171672015</c:v>
                </c:pt>
                <c:pt idx="18">
                  <c:v>10896.242021803764</c:v>
                </c:pt>
                <c:pt idx="19">
                  <c:v>-225.89756629131858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'Prime-Scatter'!$C$55</c:f>
              <c:strCache>
                <c:ptCount val="1"/>
                <c:pt idx="0">
                  <c:v>Northrop Grumman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'Prime-Scatter'!$D$55:$D$73</c:f>
              <c:numCache>
                <c:formatCode>0%</c:formatCode>
                <c:ptCount val="19"/>
                <c:pt idx="0">
                  <c:v>2.7999999999999997E-2</c:v>
                </c:pt>
                <c:pt idx="1">
                  <c:v>-1E-3</c:v>
                </c:pt>
                <c:pt idx="2">
                  <c:v>-0.17699999999999999</c:v>
                </c:pt>
                <c:pt idx="3">
                  <c:v>-7.8E-2</c:v>
                </c:pt>
                <c:pt idx="4">
                  <c:v>0.2</c:v>
                </c:pt>
                <c:pt idx="5">
                  <c:v>-0.129</c:v>
                </c:pt>
                <c:pt idx="6">
                  <c:v>0.22399999999999998</c:v>
                </c:pt>
                <c:pt idx="7">
                  <c:v>-0.10300000000000001</c:v>
                </c:pt>
                <c:pt idx="8">
                  <c:v>7.0999999999999994E-2</c:v>
                </c:pt>
                <c:pt idx="9">
                  <c:v>0.20899999999999999</c:v>
                </c:pt>
                <c:pt idx="10">
                  <c:v>-0.122</c:v>
                </c:pt>
                <c:pt idx="11">
                  <c:v>0.13800000000000001</c:v>
                </c:pt>
                <c:pt idx="12">
                  <c:v>-9.0000000000000011E-3</c:v>
                </c:pt>
                <c:pt idx="13">
                  <c:v>0.85499999999999998</c:v>
                </c:pt>
                <c:pt idx="14">
                  <c:v>-20</c:v>
                </c:pt>
                <c:pt idx="15">
                  <c:v>2.7370000000000001</c:v>
                </c:pt>
                <c:pt idx="16">
                  <c:v>0.99199999999999999</c:v>
                </c:pt>
                <c:pt idx="17">
                  <c:v>0.114</c:v>
                </c:pt>
                <c:pt idx="18">
                  <c:v>-8.0000000000000002E-3</c:v>
                </c:pt>
              </c:numCache>
            </c:numRef>
          </c:xVal>
          <c:yVal>
            <c:numRef>
              <c:f>'Prime-Scatter'!$E$55:$E$73</c:f>
              <c:numCache>
                <c:formatCode>_(* #,##0.00_);_(* \(#,##0.00\);_(* "-"??_);_(@_)</c:formatCode>
                <c:ptCount val="19"/>
                <c:pt idx="0">
                  <c:v>62.309238406586744</c:v>
                </c:pt>
                <c:pt idx="1">
                  <c:v>-0.55440254803246691</c:v>
                </c:pt>
                <c:pt idx="2">
                  <c:v>-125.29981757699325</c:v>
                </c:pt>
                <c:pt idx="3">
                  <c:v>-108.37197104793874</c:v>
                </c:pt>
                <c:pt idx="4">
                  <c:v>2564.6700933599077</c:v>
                </c:pt>
                <c:pt idx="5">
                  <c:v>-4761.3873456790125</c:v>
                </c:pt>
                <c:pt idx="6">
                  <c:v>6693.0363059569963</c:v>
                </c:pt>
                <c:pt idx="7">
                  <c:v>-104.72421933683873</c:v>
                </c:pt>
                <c:pt idx="8">
                  <c:v>1283.9240165631468</c:v>
                </c:pt>
                <c:pt idx="9">
                  <c:v>377.49982851263286</c:v>
                </c:pt>
                <c:pt idx="10">
                  <c:v>-613.35942028985517</c:v>
                </c:pt>
                <c:pt idx="11">
                  <c:v>55.530053498374073</c:v>
                </c:pt>
                <c:pt idx="12">
                  <c:v>-28.624516414280983</c:v>
                </c:pt>
                <c:pt idx="13">
                  <c:v>10566.637659312046</c:v>
                </c:pt>
                <c:pt idx="14">
                  <c:v>-37276.234567901229</c:v>
                </c:pt>
                <c:pt idx="15">
                  <c:v>18736.101359703338</c:v>
                </c:pt>
                <c:pt idx="16">
                  <c:v>5549.7654320987658</c:v>
                </c:pt>
                <c:pt idx="17">
                  <c:v>99.14905032728835</c:v>
                </c:pt>
                <c:pt idx="18">
                  <c:v>-20.925389631922187</c:v>
                </c:pt>
              </c:numCache>
            </c:numRef>
          </c:yVal>
          <c:smooth val="0"/>
        </c:ser>
        <c:ser>
          <c:idx val="16"/>
          <c:order val="4"/>
          <c:tx>
            <c:strRef>
              <c:f>'Prime-Scatter'!$C$99</c:f>
              <c:strCache>
                <c:ptCount val="1"/>
                <c:pt idx="0">
                  <c:v>#N/A</c:v>
                </c:pt>
              </c:strCache>
            </c:strRef>
          </c:tx>
          <c:spPr>
            <a:ln w="9525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'Prime-Scatter'!$D$99:$D$113</c:f>
              <c:numCache>
                <c:formatCode>0%</c:formatCode>
                <c:ptCount val="15"/>
                <c:pt idx="0">
                  <c:v>7.8E-2</c:v>
                </c:pt>
                <c:pt idx="1">
                  <c:v>0.187</c:v>
                </c:pt>
                <c:pt idx="2">
                  <c:v>0.28300000000000003</c:v>
                </c:pt>
                <c:pt idx="3">
                  <c:v>0.11699999999999999</c:v>
                </c:pt>
                <c:pt idx="4">
                  <c:v>0.11699999999999999</c:v>
                </c:pt>
                <c:pt idx="5">
                  <c:v>3.6000000000000004E-2</c:v>
                </c:pt>
                <c:pt idx="6">
                  <c:v>-1.6E-2</c:v>
                </c:pt>
                <c:pt idx="7">
                  <c:v>0.20100000000000001</c:v>
                </c:pt>
                <c:pt idx="8">
                  <c:v>-0.222</c:v>
                </c:pt>
                <c:pt idx="9">
                  <c:v>-2.6000000000000002E-2</c:v>
                </c:pt>
                <c:pt idx="10">
                  <c:v>8.3000000000000004E-2</c:v>
                </c:pt>
                <c:pt idx="11">
                  <c:v>-6.6000000000000003E-2</c:v>
                </c:pt>
                <c:pt idx="12">
                  <c:v>4.9000000000000002E-2</c:v>
                </c:pt>
                <c:pt idx="13">
                  <c:v>-3.1E-2</c:v>
                </c:pt>
                <c:pt idx="14">
                  <c:v>0.32</c:v>
                </c:pt>
              </c:numCache>
            </c:numRef>
          </c:xVal>
          <c:yVal>
            <c:numRef>
              <c:f>'Prime-Scatter'!$E$99:$E$113</c:f>
              <c:numCache>
                <c:formatCode>_(* #,##0.00_);_(* \(#,##0.00\);_(* "-"??_);_(@_)</c:formatCode>
                <c:ptCount val="15"/>
                <c:pt idx="0">
                  <c:v>144.35524881946967</c:v>
                </c:pt>
                <c:pt idx="1">
                  <c:v>620.06190283945637</c:v>
                </c:pt>
                <c:pt idx="2">
                  <c:v>5173.8097081596197</c:v>
                </c:pt>
                <c:pt idx="3">
                  <c:v>596.32398022249686</c:v>
                </c:pt>
                <c:pt idx="4">
                  <c:v>193.37086814384307</c:v>
                </c:pt>
                <c:pt idx="5">
                  <c:v>51.145764262032699</c:v>
                </c:pt>
                <c:pt idx="6">
                  <c:v>-28.408198304539113</c:v>
                </c:pt>
                <c:pt idx="7">
                  <c:v>122.09850625756965</c:v>
                </c:pt>
                <c:pt idx="8">
                  <c:v>-1484.7376243283411</c:v>
                </c:pt>
                <c:pt idx="9">
                  <c:v>-26.270009440889545</c:v>
                </c:pt>
                <c:pt idx="10">
                  <c:v>464.65636588380715</c:v>
                </c:pt>
                <c:pt idx="11">
                  <c:v>-580.1658474710639</c:v>
                </c:pt>
                <c:pt idx="12">
                  <c:v>91.937082818294201</c:v>
                </c:pt>
                <c:pt idx="13">
                  <c:v>-193.26419549049703</c:v>
                </c:pt>
                <c:pt idx="14">
                  <c:v>1249.4898360655739</c:v>
                </c:pt>
              </c:numCache>
            </c:numRef>
          </c:yVal>
          <c:smooth val="0"/>
        </c:ser>
        <c:ser>
          <c:idx val="14"/>
          <c:order val="5"/>
          <c:tx>
            <c:strRef>
              <c:f>'Prime-Scatter'!$C$74</c:f>
              <c:strCache>
                <c:ptCount val="1"/>
                <c:pt idx="0">
                  <c:v>Other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noFill/>
              <a:ln>
                <a:solidFill>
                  <a:srgbClr val="7030A0"/>
                </a:solidFill>
              </a:ln>
            </c:spPr>
          </c:marker>
          <c:xVal>
            <c:strRef>
              <c:f>'Prime-Scatter'!$D$74:$D$98</c:f>
              <c:strCache>
                <c:ptCount val="25"/>
                <c:pt idx="0">
                  <c:v>-8%</c:v>
                </c:pt>
                <c:pt idx="1">
                  <c:v>2%</c:v>
                </c:pt>
                <c:pt idx="2">
                  <c:v>25%</c:v>
                </c:pt>
                <c:pt idx="4">
                  <c:v>15%</c:v>
                </c:pt>
                <c:pt idx="5">
                  <c:v>284%</c:v>
                </c:pt>
                <c:pt idx="6">
                  <c:v>15%</c:v>
                </c:pt>
                <c:pt idx="7">
                  <c:v>3%</c:v>
                </c:pt>
                <c:pt idx="10">
                  <c:v>6%</c:v>
                </c:pt>
                <c:pt idx="11">
                  <c:v>111%</c:v>
                </c:pt>
                <c:pt idx="12">
                  <c:v>-12%</c:v>
                </c:pt>
                <c:pt idx="13">
                  <c:v>3%</c:v>
                </c:pt>
                <c:pt idx="14">
                  <c:v>-60%</c:v>
                </c:pt>
                <c:pt idx="15">
                  <c:v>7%</c:v>
                </c:pt>
                <c:pt idx="16">
                  <c:v>-1%</c:v>
                </c:pt>
                <c:pt idx="17">
                  <c:v>-27%</c:v>
                </c:pt>
                <c:pt idx="18">
                  <c:v>80%</c:v>
                </c:pt>
                <c:pt idx="19">
                  <c:v>4%</c:v>
                </c:pt>
                <c:pt idx="20">
                  <c:v>18%</c:v>
                </c:pt>
                <c:pt idx="21">
                  <c:v>14%</c:v>
                </c:pt>
                <c:pt idx="22">
                  <c:v>14%</c:v>
                </c:pt>
                <c:pt idx="23">
                  <c:v>13%</c:v>
                </c:pt>
                <c:pt idx="24">
                  <c:v>26%</c:v>
                </c:pt>
              </c:strCache>
            </c:strRef>
          </c:xVal>
          <c:yVal>
            <c:numRef>
              <c:f>'Prime-Scatter'!$E$74:$E$98</c:f>
              <c:numCache>
                <c:formatCode>_(* #,##0.00_);_(* \(#,##0.00\);_(* "-"??_);_(@_)</c:formatCode>
                <c:ptCount val="25"/>
                <c:pt idx="0">
                  <c:v>-272.2123151159131</c:v>
                </c:pt>
                <c:pt idx="1">
                  <c:v>60.930621140573919</c:v>
                </c:pt>
                <c:pt idx="2">
                  <c:v>4004.0268603535706</c:v>
                </c:pt>
                <c:pt idx="3">
                  <c:v>0</c:v>
                </c:pt>
                <c:pt idx="4">
                  <c:v>324.7918634217217</c:v>
                </c:pt>
                <c:pt idx="5">
                  <c:v>7486.4414478353447</c:v>
                </c:pt>
                <c:pt idx="6">
                  <c:v>7366.7066615226322</c:v>
                </c:pt>
                <c:pt idx="7">
                  <c:v>47.082789875096722</c:v>
                </c:pt>
                <c:pt idx="8">
                  <c:v>0</c:v>
                </c:pt>
                <c:pt idx="9">
                  <c:v>0</c:v>
                </c:pt>
                <c:pt idx="10">
                  <c:v>642.84495961397249</c:v>
                </c:pt>
                <c:pt idx="11">
                  <c:v>1114.3462299134733</c:v>
                </c:pt>
                <c:pt idx="12">
                  <c:v>-468.10172765318168</c:v>
                </c:pt>
                <c:pt idx="13">
                  <c:v>518.88726823238574</c:v>
                </c:pt>
                <c:pt idx="14">
                  <c:v>-2163.7236766891506</c:v>
                </c:pt>
                <c:pt idx="15">
                  <c:v>763.89489142977027</c:v>
                </c:pt>
                <c:pt idx="16">
                  <c:v>-402.1410769406653</c:v>
                </c:pt>
                <c:pt idx="17">
                  <c:v>-441.20919713531839</c:v>
                </c:pt>
                <c:pt idx="18">
                  <c:v>13172.59258202568</c:v>
                </c:pt>
                <c:pt idx="19">
                  <c:v>61.226477649479818</c:v>
                </c:pt>
                <c:pt idx="20">
                  <c:v>2930.9376588924506</c:v>
                </c:pt>
                <c:pt idx="21">
                  <c:v>1585.7687631258982</c:v>
                </c:pt>
                <c:pt idx="22">
                  <c:v>945.46644518272444</c:v>
                </c:pt>
                <c:pt idx="23">
                  <c:v>2439.4831370755687</c:v>
                </c:pt>
                <c:pt idx="24">
                  <c:v>6026.9836357914619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'Prime-Scatter'!$H$4</c:f>
              <c:strCache>
                <c:ptCount val="1"/>
                <c:pt idx="0">
                  <c:v>Boeing Average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'Prime-Scatter'!$D$4</c:f>
              <c:numCache>
                <c:formatCode>0%</c:formatCode>
                <c:ptCount val="1"/>
                <c:pt idx="0">
                  <c:v>2.2070453213257442</c:v>
                </c:pt>
              </c:numCache>
            </c:numRef>
          </c:xVal>
          <c:yVal>
            <c:numRef>
              <c:f>'Prime-Scatter'!$G$4</c:f>
              <c:numCache>
                <c:formatCode>_(* #,##0.00_);_(* \(#,##0.00\);_(* "-"??_);_(@_)</c:formatCode>
                <c:ptCount val="1"/>
                <c:pt idx="0">
                  <c:v>19734.212515348463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'Prime-Scatter'!$H$5</c:f>
              <c:strCache>
                <c:ptCount val="1"/>
                <c:pt idx="0">
                  <c:v>General Dynamics Average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'Prime-Scatter'!$D$5</c:f>
              <c:numCache>
                <c:formatCode>0%</c:formatCode>
                <c:ptCount val="1"/>
                <c:pt idx="0">
                  <c:v>-5.2349185219870781E-2</c:v>
                </c:pt>
              </c:numCache>
            </c:numRef>
          </c:xVal>
          <c:yVal>
            <c:numRef>
              <c:f>'Prime-Scatter'!$G$5</c:f>
              <c:numCache>
                <c:formatCode>_(* #,##0.00_);_(* \(#,##0.00\);_(* "-"??_);_(@_)</c:formatCode>
                <c:ptCount val="1"/>
                <c:pt idx="0">
                  <c:v>7893.8455197840085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'Prime-Scatter'!$H$6</c:f>
              <c:strCache>
                <c:ptCount val="1"/>
                <c:pt idx="0">
                  <c:v>Lockheed Martin Average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'Prime-Scatter'!$D$6</c:f>
              <c:numCache>
                <c:formatCode>0%</c:formatCode>
                <c:ptCount val="1"/>
                <c:pt idx="0">
                  <c:v>0.38143353628540089</c:v>
                </c:pt>
              </c:numCache>
            </c:numRef>
          </c:xVal>
          <c:yVal>
            <c:numRef>
              <c:f>'Prime-Scatter'!$G$6</c:f>
              <c:numCache>
                <c:formatCode>_(* #,##0.00_);_(* \(#,##0.00\);_(* "-"??_);_(@_)</c:formatCode>
                <c:ptCount val="1"/>
                <c:pt idx="0">
                  <c:v>21765.335133876401</c:v>
                </c:pt>
              </c:numCache>
            </c:numRef>
          </c:yVal>
          <c:smooth val="0"/>
        </c:ser>
        <c:ser>
          <c:idx val="3"/>
          <c:order val="9"/>
          <c:tx>
            <c:strRef>
              <c:f>'Prime-Scatter'!$H$7</c:f>
              <c:strCache>
                <c:ptCount val="1"/>
                <c:pt idx="0">
                  <c:v>Northrop Grumman 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'Prime-Scatter'!$D$7</c:f>
              <c:numCache>
                <c:formatCode>0%</c:formatCode>
                <c:ptCount val="1"/>
                <c:pt idx="0">
                  <c:v>-0.14451166110762739</c:v>
                </c:pt>
              </c:numCache>
            </c:numRef>
          </c:xVal>
          <c:yVal>
            <c:numRef>
              <c:f>'Prime-Scatter'!$G$7</c:f>
              <c:numCache>
                <c:formatCode>_(* #,##0.00_);_(* \(#,##0.00\);_(* "-"??_);_(@_)</c:formatCode>
                <c:ptCount val="1"/>
                <c:pt idx="0">
                  <c:v>6818.9098274176367</c:v>
                </c:pt>
              </c:numCache>
            </c:numRef>
          </c:yVal>
          <c:smooth val="0"/>
        </c:ser>
        <c:ser>
          <c:idx val="4"/>
          <c:order val="10"/>
          <c:tx>
            <c:strRef>
              <c:f>'Prime-Scatter'!$H$9</c:f>
              <c:strCache>
                <c:ptCount val="1"/>
                <c:pt idx="0">
                  <c:v>Raytheon Average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ysClr val="windowText" lastClr="000000"/>
                </a:solidFill>
              </a:ln>
            </c:spPr>
          </c:marker>
          <c:xVal>
            <c:numRef>
              <c:f>'Prime-Scatter'!$D$9</c:f>
              <c:numCache>
                <c:formatCode>0%</c:formatCode>
                <c:ptCount val="1"/>
                <c:pt idx="0">
                  <c:v>9.5381786657996598E-2</c:v>
                </c:pt>
              </c:numCache>
            </c:numRef>
          </c:xVal>
          <c:yVal>
            <c:numRef>
              <c:f>'Prime-Scatter'!$G$9</c:f>
              <c:numCache>
                <c:formatCode>_(* #,##0.00_);_(* \(#,##0.00\);_(* "-"??_);_(@_)</c:formatCode>
                <c:ptCount val="1"/>
                <c:pt idx="0">
                  <c:v>4665.7768955068377</c:v>
                </c:pt>
              </c:numCache>
            </c:numRef>
          </c:yVal>
          <c:smooth val="0"/>
        </c:ser>
        <c:ser>
          <c:idx val="7"/>
          <c:order val="11"/>
          <c:tx>
            <c:strRef>
              <c:f>'Prime-Scatter'!$H$8</c:f>
              <c:strCache>
                <c:ptCount val="1"/>
                <c:pt idx="0">
                  <c:v>Other Average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25400">
                <a:solidFill>
                  <a:srgbClr val="7030A0"/>
                </a:solidFill>
              </a:ln>
            </c:spPr>
          </c:marker>
          <c:xVal>
            <c:numRef>
              <c:f>'Prime-Scatter'!$D$8</c:f>
              <c:numCache>
                <c:formatCode>0%</c:formatCode>
                <c:ptCount val="1"/>
                <c:pt idx="0">
                  <c:v>0</c:v>
                </c:pt>
              </c:numCache>
            </c:numRef>
          </c:xVal>
          <c:yVal>
            <c:numRef>
              <c:f>'Prime-Scatter'!$G$8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785088"/>
        <c:axId val="431856256"/>
      </c:scatterChart>
      <c:valAx>
        <c:axId val="431785088"/>
        <c:scaling>
          <c:orientation val="minMax"/>
          <c:max val="0.5"/>
          <c:min val="-0.25"/>
        </c:scaling>
        <c:delete val="0"/>
        <c:axPos val="b"/>
        <c:numFmt formatCode="0%" sourceLinked="1"/>
        <c:majorTickMark val="out"/>
        <c:minorTickMark val="none"/>
        <c:tickLblPos val="low"/>
        <c:crossAx val="431856256"/>
        <c:crosses val="autoZero"/>
        <c:crossBetween val="midCat"/>
        <c:majorUnit val="0.25"/>
      </c:valAx>
      <c:valAx>
        <c:axId val="431856256"/>
        <c:scaling>
          <c:orientation val="minMax"/>
          <c:max val="10000"/>
          <c:min val="-2000"/>
        </c:scaling>
        <c:delete val="0"/>
        <c:axPos val="l"/>
        <c:majorGridlines/>
        <c:numFmt formatCode="_(* #,##0_);_(* \(#,##0\);_(* &quot;-&quot;_);_(@_)" sourceLinked="0"/>
        <c:majorTickMark val="out"/>
        <c:minorTickMark val="none"/>
        <c:tickLblPos val="low"/>
        <c:crossAx val="431785088"/>
        <c:crosses val="autoZero"/>
        <c:crossBetween val="midCat"/>
        <c:dispUnits>
          <c:builtInUnit val="thousands"/>
        </c:dispUnits>
      </c:valAx>
      <c:spPr>
        <a:ln w="25400">
          <a:solidFill>
            <a:srgbClr val="4F81BD">
              <a:shade val="50000"/>
            </a:srgbClr>
          </a:solidFill>
          <a:prstDash val="dash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1.0475247621748136E-2"/>
          <c:y val="0.8391403588543207"/>
          <c:w val="0.97904950475650365"/>
          <c:h val="0.14443107017910495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3088886038991"/>
          <c:y val="2.6949606395613352E-2"/>
          <c:w val="0.72037679697360302"/>
          <c:h val="0.73793853893263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'Prime-Bar'!$H$18</c:f>
              <c:strCache>
                <c:ptCount val="1"/>
                <c:pt idx="0">
                  <c:v>Cost Increase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0"/>
              <c:layout>
                <c:manualLayout>
                  <c:x val="-3.3045203501393498E-2"/>
                  <c:y val="-1.38888888888889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7905934212810896E-2"/>
                  <c:y val="-2.777777777777786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040092666345855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8857944266736284E-2"/>
                  <c:y val="-3.47249562554680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18464087084723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7410767966542496E-2"/>
                  <c:y val="1.46721894138232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4.320987654320975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'Prime-Bar'!$G$19:$G$24</c:f>
              <c:strCache>
                <c:ptCount val="6"/>
                <c:pt idx="0">
                  <c:v>Boeing</c:v>
                </c:pt>
                <c:pt idx="1">
                  <c:v>General Dynamics</c:v>
                </c:pt>
                <c:pt idx="2">
                  <c:v>Lockheed Martin</c:v>
                </c:pt>
                <c:pt idx="3">
                  <c:v>Northrop Grumman</c:v>
                </c:pt>
                <c:pt idx="4">
                  <c:v>Raytheon</c:v>
                </c:pt>
                <c:pt idx="5">
                  <c:v>Other</c:v>
                </c:pt>
              </c:strCache>
            </c:strRef>
          </c:cat>
          <c:val>
            <c:numRef>
              <c:f>'Prime-Bar'!$H$19:$H$24</c:f>
              <c:numCache>
                <c:formatCode>_("$"* #,##0.00_);_("$"* \(#,##0.00\);_("$"* "-"??_);_(@_)</c:formatCode>
                <c:ptCount val="6"/>
                <c:pt idx="0">
                  <c:v>708319.26406729885</c:v>
                </c:pt>
                <c:pt idx="1">
                  <c:v>6162.271506658848</c:v>
                </c:pt>
                <c:pt idx="2">
                  <c:v>141830.2752392471</c:v>
                </c:pt>
                <c:pt idx="3">
                  <c:v>28629.80002214275</c:v>
                </c:pt>
                <c:pt idx="4">
                  <c:v>8098.2376487688871</c:v>
                </c:pt>
                <c:pt idx="5">
                  <c:v>8442.6527520829022</c:v>
                </c:pt>
              </c:numCache>
            </c:numRef>
          </c:val>
        </c:ser>
        <c:ser>
          <c:idx val="1"/>
          <c:order val="1"/>
          <c:tx>
            <c:strRef>
              <c:f>'Prime-Bar'!$I$18</c:f>
              <c:strCache>
                <c:ptCount val="1"/>
                <c:pt idx="0">
                  <c:v>Cost Decrease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2.1908886389201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142915467729025E-4"/>
                  <c:y val="-3.8332108486439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1231651599105664E-3"/>
                  <c:y val="-2.5972659667541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3.6111111111111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3120277614843555E-3"/>
                  <c:y val="-3.0599839668825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542162644204183E-3"/>
                  <c:y val="-2.240050515784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4.0123456790123462E-2"/>
                  <c:y val="-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.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'Prime-Bar'!$G$19:$G$24</c:f>
              <c:strCache>
                <c:ptCount val="6"/>
                <c:pt idx="0">
                  <c:v>Boeing</c:v>
                </c:pt>
                <c:pt idx="1">
                  <c:v>General Dynamics</c:v>
                </c:pt>
                <c:pt idx="2">
                  <c:v>Lockheed Martin</c:v>
                </c:pt>
                <c:pt idx="3">
                  <c:v>Northrop Grumman</c:v>
                </c:pt>
                <c:pt idx="4">
                  <c:v>Raytheon</c:v>
                </c:pt>
                <c:pt idx="5">
                  <c:v>Other</c:v>
                </c:pt>
              </c:strCache>
            </c:strRef>
          </c:cat>
          <c:val>
            <c:numRef>
              <c:f>'Prime-Bar'!$I$19:$I$24</c:f>
              <c:numCache>
                <c:formatCode>_("$"* #,##0.00_);_("$"* \(#,##0.00\);_("$"* "-"??_);_(@_)</c:formatCode>
                <c:ptCount val="6"/>
                <c:pt idx="0">
                  <c:v>-11450.441634534533</c:v>
                </c:pt>
                <c:pt idx="1">
                  <c:v>-8641.689793932168</c:v>
                </c:pt>
                <c:pt idx="2">
                  <c:v>-8997.8152624254053</c:v>
                </c:pt>
                <c:pt idx="3">
                  <c:v>-42425.567827588216</c:v>
                </c:pt>
                <c:pt idx="4">
                  <c:v>-2312.8458750353307</c:v>
                </c:pt>
                <c:pt idx="5">
                  <c:v>-272.2123151159131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overlap val="100"/>
        <c:axId val="433380736"/>
        <c:axId val="433477504"/>
      </c:barChart>
      <c:scatterChart>
        <c:scatterStyle val="lineMarker"/>
        <c:varyColors val="0"/>
        <c:ser>
          <c:idx val="3"/>
          <c:order val="2"/>
          <c:tx>
            <c:strRef>
              <c:f>'Prime-Bar'!$K$18</c:f>
              <c:strCache>
                <c:ptCount val="1"/>
                <c:pt idx="0">
                  <c:v>Average Overrun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7.7404602760190464E-3"/>
                  <c:y val="-1.9760498687664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705070680527532E-2"/>
                  <c:y val="-3.47222222222222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4358165545203103E-3"/>
                  <c:y val="6.944444444444451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5704436175239353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1953911552820169E-3"/>
                  <c:y val="1.0416666666666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3011894915167114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'Prime-Bar'!$G$19:$G$24</c:f>
              <c:strCache>
                <c:ptCount val="6"/>
                <c:pt idx="0">
                  <c:v>Boeing</c:v>
                </c:pt>
                <c:pt idx="1">
                  <c:v>General Dynamics</c:v>
                </c:pt>
                <c:pt idx="2">
                  <c:v>Lockheed Martin</c:v>
                </c:pt>
                <c:pt idx="3">
                  <c:v>Northrop Grumman</c:v>
                </c:pt>
                <c:pt idx="4">
                  <c:v>Raytheon</c:v>
                </c:pt>
                <c:pt idx="5">
                  <c:v>Other</c:v>
                </c:pt>
              </c:strCache>
            </c:strRef>
          </c:xVal>
          <c:yVal>
            <c:numRef>
              <c:f>'Prime-Bar'!$K$19:$K$24</c:f>
              <c:numCache>
                <c:formatCode>0%</c:formatCode>
                <c:ptCount val="6"/>
                <c:pt idx="0">
                  <c:v>5.1396249999999988</c:v>
                </c:pt>
                <c:pt idx="1">
                  <c:v>-0.10966666666666668</c:v>
                </c:pt>
                <c:pt idx="2">
                  <c:v>0.15481249999999999</c:v>
                </c:pt>
                <c:pt idx="3">
                  <c:v>-1.1520714285714284</c:v>
                </c:pt>
                <c:pt idx="4">
                  <c:v>7.3000000000000009E-2</c:v>
                </c:pt>
                <c:pt idx="5">
                  <c:v>3.833333333333333E-2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'Prime-Bar'!$J$18</c:f>
              <c:strCache>
                <c:ptCount val="1"/>
                <c:pt idx="0">
                  <c:v>Baseline-Weighted Average Overrun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10"/>
            <c:spPr>
              <a:ln>
                <a:noFill/>
              </a:ln>
            </c:spPr>
          </c:marker>
          <c:dLbls>
            <c:dLbl>
              <c:idx val="0"/>
              <c:layout>
                <c:manualLayout>
                  <c:x val="-7.2436132210396374E-3"/>
                  <c:y val="3.08264982502187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456479072166701E-2"/>
                  <c:y val="8.756835083114622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4358165545203103E-3"/>
                  <c:y val="3.4719488188976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0456479072166701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5704436175239353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3468476452277475E-3"/>
                  <c:y val="4.92809492563429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'Prime-Bar'!$G$19:$G$24</c:f>
              <c:strCache>
                <c:ptCount val="6"/>
                <c:pt idx="0">
                  <c:v>Boeing</c:v>
                </c:pt>
                <c:pt idx="1">
                  <c:v>General Dynamics</c:v>
                </c:pt>
                <c:pt idx="2">
                  <c:v>Lockheed Martin</c:v>
                </c:pt>
                <c:pt idx="3">
                  <c:v>Northrop Grumman</c:v>
                </c:pt>
                <c:pt idx="4">
                  <c:v>Raytheon</c:v>
                </c:pt>
                <c:pt idx="5">
                  <c:v>Other</c:v>
                </c:pt>
              </c:strCache>
            </c:strRef>
          </c:xVal>
          <c:yVal>
            <c:numRef>
              <c:f>'Prime-Bar'!$J$19:$J$24</c:f>
              <c:numCache>
                <c:formatCode>0.0%</c:formatCode>
                <c:ptCount val="6"/>
                <c:pt idx="0">
                  <c:v>2.2070453213257442</c:v>
                </c:pt>
                <c:pt idx="1">
                  <c:v>-5.2349185219870781E-2</c:v>
                </c:pt>
                <c:pt idx="2">
                  <c:v>0.38143353628540089</c:v>
                </c:pt>
                <c:pt idx="3">
                  <c:v>-0.14451166110762739</c:v>
                </c:pt>
                <c:pt idx="4">
                  <c:v>9.5381786657996598E-2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73664"/>
        <c:axId val="433504640"/>
      </c:scatterChart>
      <c:catAx>
        <c:axId val="433380736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1100" b="1"/>
            </a:pPr>
            <a:endParaRPr lang="en-US"/>
          </a:p>
        </c:txPr>
        <c:crossAx val="433477504"/>
        <c:crosses val="autoZero"/>
        <c:auto val="1"/>
        <c:lblAlgn val="ctr"/>
        <c:lblOffset val="100"/>
        <c:noMultiLvlLbl val="0"/>
      </c:catAx>
      <c:valAx>
        <c:axId val="433477504"/>
        <c:scaling>
          <c:orientation val="minMax"/>
          <c:max val="150000"/>
          <c:min val="-3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100" b="0" i="0" baseline="0"/>
                  <a:t>Real cost overruns </a:t>
                </a:r>
                <a:br>
                  <a:rPr lang="en-US" sz="1100" b="0" i="0" baseline="0"/>
                </a:br>
                <a:r>
                  <a:rPr lang="en-US" sz="1100" b="0" i="0" baseline="0"/>
                  <a:t>(in 2010 billions, quantity adjusted)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33380736"/>
        <c:crosses val="autoZero"/>
        <c:crossBetween val="between"/>
        <c:majorUnit val="30000"/>
        <c:dispUnits>
          <c:builtInUnit val="thousands"/>
        </c:dispUnits>
      </c:valAx>
      <c:valAx>
        <c:axId val="433504640"/>
        <c:scaling>
          <c:orientation val="minMax"/>
          <c:max val="0.5"/>
          <c:min val="-0.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100" b="0" i="0" baseline="0"/>
                  <a:t>Real cost overruns </a:t>
                </a:r>
                <a:br>
                  <a:rPr lang="en-US" sz="1100" b="0" i="0" baseline="0"/>
                </a:br>
                <a:r>
                  <a:rPr lang="en-US" sz="1100" b="0" i="0" baseline="0"/>
                  <a:t>(in percent, quantity adjusted)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93213348243227134"/>
              <c:y val="0.17511182195975483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34273664"/>
        <c:crosses val="max"/>
        <c:crossBetween val="midCat"/>
        <c:majorUnit val="0.1"/>
      </c:valAx>
      <c:valAx>
        <c:axId val="4342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3350464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7.7135069654754723E-3"/>
          <c:y val="0.90448928258967665"/>
          <c:w val="0.98670973820580188"/>
          <c:h val="9.2038495188101546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34652399219351"/>
          <c:y val="2.6949606395613352E-2"/>
          <c:w val="0.68444360320344644"/>
          <c:h val="0.70931738255682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'Comp-Bar'!$O$11</c:f>
              <c:strCache>
                <c:ptCount val="1"/>
                <c:pt idx="0">
                  <c:v>Cost Increase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0"/>
              <c:layout>
                <c:manualLayout>
                  <c:x val="-2.8846153846153848E-2"/>
                  <c:y val="3.47222222222222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167137761626002E-2"/>
                  <c:y val="-1.1178094925634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66626287098728E-2"/>
                  <c:y val="-1.1872539370078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5533346793189353E-2"/>
                  <c:y val="-1.1200240594925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115822060703994E-2"/>
                  <c:y val="-1.05282152230971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320075375193404E-2"/>
                  <c:y val="3.2482775590551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332643515714382E-2"/>
                  <c:y val="-0.117383530183727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'Comp-Bar'!$N$12:$N$18</c:f>
              <c:strCache>
                <c:ptCount val="7"/>
                <c:pt idx="0">
                  <c:v>Full comp. (2+ bids)</c:v>
                </c:pt>
                <c:pt idx="1">
                  <c:v>Full comp. (1 bid)</c:v>
                </c:pt>
                <c:pt idx="2">
                  <c:v>Partial comp. 
(2+ bids)</c:v>
                </c:pt>
                <c:pt idx="3">
                  <c:v>Partial comp. 
(1 bidder)</c:v>
                </c:pt>
                <c:pt idx="4">
                  <c:v>Follow on to competed action</c:v>
                </c:pt>
                <c:pt idx="5">
                  <c:v>No comp.</c:v>
                </c:pt>
                <c:pt idx="6">
                  <c:v>Unclear comp.</c:v>
                </c:pt>
              </c:strCache>
            </c:strRef>
          </c:cat>
          <c:val>
            <c:numRef>
              <c:f>'Comp-Bar'!$O$12:$O$18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'Comp-Bar'!$P$11</c:f>
              <c:strCache>
                <c:ptCount val="1"/>
                <c:pt idx="0">
                  <c:v>Cost Decrease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-6.4102564102564361E-3"/>
                  <c:y val="-3.0576607611548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864197530864577E-3"/>
                  <c:y val="-2.4999343832021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5041389057137124E-4"/>
                  <c:y val="-2.94447178477690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3.6111111111111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8424523857594722E-3"/>
                  <c:y val="-2.5671478565179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9600442013117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8552728985799861E-3"/>
                  <c:y val="-3.1966316710411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.0" sourceLinked="0"/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'Comp-Bar'!$N$12:$N$18</c:f>
              <c:strCache>
                <c:ptCount val="7"/>
                <c:pt idx="0">
                  <c:v>Full comp. (2+ bids)</c:v>
                </c:pt>
                <c:pt idx="1">
                  <c:v>Full comp. (1 bid)</c:v>
                </c:pt>
                <c:pt idx="2">
                  <c:v>Partial comp. 
(2+ bids)</c:v>
                </c:pt>
                <c:pt idx="3">
                  <c:v>Partial comp. 
(1 bidder)</c:v>
                </c:pt>
                <c:pt idx="4">
                  <c:v>Follow on to competed action</c:v>
                </c:pt>
                <c:pt idx="5">
                  <c:v>No comp.</c:v>
                </c:pt>
                <c:pt idx="6">
                  <c:v>Unclear comp.</c:v>
                </c:pt>
              </c:strCache>
            </c:strRef>
          </c:cat>
          <c:val>
            <c:numRef>
              <c:f>'Comp-Bar'!$P$12:$P$18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overlap val="100"/>
        <c:axId val="434927872"/>
        <c:axId val="434966912"/>
      </c:barChart>
      <c:scatterChart>
        <c:scatterStyle val="lineMarker"/>
        <c:varyColors val="0"/>
        <c:ser>
          <c:idx val="3"/>
          <c:order val="2"/>
          <c:tx>
            <c:strRef>
              <c:f>'Comp-Bar'!$Q$11</c:f>
              <c:strCache>
                <c:ptCount val="1"/>
                <c:pt idx="0">
                  <c:v>Average Overrun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1.0011104381183121E-2"/>
                  <c:y val="-3.74398512685914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1894138232720534E-3"/>
                  <c:y val="8.49409448818898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3245171276667386E-3"/>
                  <c:y val="-1.44274934383202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0715896089911837E-2"/>
                  <c:y val="-6.944444444444418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5791439531597048E-3"/>
                  <c:y val="-3.47222222222222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1046167306009857E-3"/>
                  <c:y val="3.47222222222222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5791439531597048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'Comp-Bar'!$N$12:$N$18</c:f>
              <c:strCache>
                <c:ptCount val="7"/>
                <c:pt idx="0">
                  <c:v>Full comp. (2+ bids)</c:v>
                </c:pt>
                <c:pt idx="1">
                  <c:v>Full comp. (1 bid)</c:v>
                </c:pt>
                <c:pt idx="2">
                  <c:v>Partial comp. 
(2+ bids)</c:v>
                </c:pt>
                <c:pt idx="3">
                  <c:v>Partial comp. 
(1 bidder)</c:v>
                </c:pt>
                <c:pt idx="4">
                  <c:v>Follow on to competed action</c:v>
                </c:pt>
                <c:pt idx="5">
                  <c:v>No comp.</c:v>
                </c:pt>
                <c:pt idx="6">
                  <c:v>Unclear comp.</c:v>
                </c:pt>
              </c:strCache>
            </c:strRef>
          </c:xVal>
          <c:yVal>
            <c:numRef>
              <c:f>'Comp-Bar'!$Q$12:$Q$18</c:f>
              <c:numCache>
                <c:formatCode>0%</c:formatCode>
                <c:ptCount val="7"/>
                <c:pt idx="0">
                  <c:v>0.46330312321017753</c:v>
                </c:pt>
                <c:pt idx="1">
                  <c:v>0.16514335327154639</c:v>
                </c:pt>
                <c:pt idx="2">
                  <c:v>-0.18369972109524349</c:v>
                </c:pt>
                <c:pt idx="3">
                  <c:v>0.22871279916687859</c:v>
                </c:pt>
                <c:pt idx="4">
                  <c:v>0.27408643650389619</c:v>
                </c:pt>
                <c:pt idx="5">
                  <c:v>0.1693628751553366</c:v>
                </c:pt>
                <c:pt idx="6">
                  <c:v>0.24647535809072757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'Comp-Bar'!$R$11</c:f>
              <c:strCache>
                <c:ptCount val="1"/>
                <c:pt idx="0">
                  <c:v>Baseline-Weighted Average Overrun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10"/>
            <c:spPr>
              <a:ln>
                <a:noFill/>
              </a:ln>
            </c:spPr>
          </c:marker>
          <c:dLbls>
            <c:dLbl>
              <c:idx val="0"/>
              <c:layout>
                <c:manualLayout>
                  <c:x val="-1.2140117100747022E-2"/>
                  <c:y val="3.18104768153980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2645198196379509E-3"/>
                  <c:y val="-1.6443842957130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505013796352381E-3"/>
                  <c:y val="2.4933016185476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9915875900128039E-3"/>
                  <c:y val="-1.80159120734907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852648226663975E-2"/>
                  <c:y val="1.7361111111111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5791439531597048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0715896089911837E-2"/>
                  <c:y val="-1.7361111111111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'Comp-Bar'!$N$12:$N$18</c:f>
              <c:strCache>
                <c:ptCount val="7"/>
                <c:pt idx="0">
                  <c:v>Full comp. (2+ bids)</c:v>
                </c:pt>
                <c:pt idx="1">
                  <c:v>Full comp. (1 bid)</c:v>
                </c:pt>
                <c:pt idx="2">
                  <c:v>Partial comp. 
(2+ bids)</c:v>
                </c:pt>
                <c:pt idx="3">
                  <c:v>Partial comp. 
(1 bidder)</c:v>
                </c:pt>
                <c:pt idx="4">
                  <c:v>Follow on to competed action</c:v>
                </c:pt>
                <c:pt idx="5">
                  <c:v>No comp.</c:v>
                </c:pt>
                <c:pt idx="6">
                  <c:v>Unclear comp.</c:v>
                </c:pt>
              </c:strCache>
            </c:strRef>
          </c:xVal>
          <c:yVal>
            <c:numRef>
              <c:f>'Comp-Bar'!$R$12:$R$18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29120"/>
        <c:axId val="434969600"/>
      </c:scatterChart>
      <c:catAx>
        <c:axId val="43492787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1000" b="1"/>
            </a:pPr>
            <a:endParaRPr lang="en-US"/>
          </a:p>
        </c:txPr>
        <c:crossAx val="434966912"/>
        <c:crosses val="autoZero"/>
        <c:auto val="1"/>
        <c:lblAlgn val="ctr"/>
        <c:lblOffset val="100"/>
        <c:noMultiLvlLbl val="0"/>
      </c:catAx>
      <c:valAx>
        <c:axId val="434966912"/>
        <c:scaling>
          <c:orientation val="minMax"/>
          <c:max val="240000"/>
          <c:min val="-4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100" b="0" i="0" baseline="0"/>
                  <a:t>Nominal cost overruns </a:t>
                </a:r>
                <a:br>
                  <a:rPr lang="en-US" sz="1100" b="0" i="0" baseline="0"/>
                </a:br>
                <a:r>
                  <a:rPr lang="en-US" sz="1100" b="0" i="0" baseline="0"/>
                  <a:t>(in then year billions, quantity adjusted)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5.6374924288310124E-3"/>
              <c:y val="7.5090496500437531E-2"/>
            </c:manualLayout>
          </c:layout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34927872"/>
        <c:crosses val="autoZero"/>
        <c:crossBetween val="between"/>
        <c:majorUnit val="40000"/>
        <c:dispUnits>
          <c:builtInUnit val="thousands"/>
        </c:dispUnits>
      </c:valAx>
      <c:valAx>
        <c:axId val="434969600"/>
        <c:scaling>
          <c:orientation val="minMax"/>
          <c:max val="0.60000000000000064"/>
          <c:min val="-0.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100" b="0" i="0" baseline="0"/>
                  <a:t>Nominal Cost Overruns  </a:t>
                </a:r>
                <a:br>
                  <a:rPr lang="en-US" sz="1100" b="0" i="0" baseline="0"/>
                </a:br>
                <a:r>
                  <a:rPr lang="en-US" sz="1100" b="0" i="0" baseline="0"/>
                  <a:t>(In percent, weighted by percent  of MDAP accounted for in FPDS, quantity adjusted)</a:t>
                </a:r>
                <a:endParaRPr lang="en-US" sz="1100" b="0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35029120"/>
        <c:crosses val="max"/>
        <c:crossBetween val="midCat"/>
        <c:majorUnit val="0.1"/>
      </c:valAx>
      <c:valAx>
        <c:axId val="43502912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one"/>
        <c:crossAx val="43496960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91810102883518263"/>
          <c:w val="1"/>
          <c:h val="8.1898975910315003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833" l="0.70000000000000062" r="0.70000000000000062" t="0.75000000000000833" header="0.30000000000000032" footer="0.30000000000000032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65257120637667"/>
          <c:y val="6.2955419950312924E-2"/>
          <c:w val="0.80443326528628356"/>
          <c:h val="0.748895945196199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'Comp-Detail'!$V$38</c:f>
              <c:strCache>
                <c:ptCount val="1"/>
                <c:pt idx="0">
                  <c:v>Space 1</c:v>
                </c:pt>
              </c:strCache>
            </c:strRef>
          </c:tx>
          <c:spPr>
            <a:noFill/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'Comp-Detail'!$V$39:$V$45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'Comp-Detail'!$W$38</c:f>
              <c:strCache>
                <c:ptCount val="1"/>
                <c:pt idx="0">
                  <c:v>Neg. Economic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'Comp-Detail'!$W$39:$W$45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'Comp-Detail'!$X$38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'Comp-Detail'!$X$39:$X$45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'Comp-Detail'!$Y$38</c:f>
              <c:strCache>
                <c:ptCount val="1"/>
                <c:pt idx="0">
                  <c:v>Space 4</c:v>
                </c:pt>
              </c:strCache>
            </c:strRef>
          </c:tx>
          <c:spPr>
            <a:noFill/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'Comp-Detail'!$Y$39:$Y$45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'Comp-Detail'!$Z$38</c:f>
              <c:strCache>
                <c:ptCount val="1"/>
                <c:pt idx="0">
                  <c:v>Neg. Quantity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'Comp-Detail'!$Z$39:$Z$45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'Comp-Detail'!$AA$38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'Comp-Detail'!$AA$39:$AA$45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'Comp-Detail'!$AB$38</c:f>
              <c:strCache>
                <c:ptCount val="1"/>
                <c:pt idx="0">
                  <c:v>Space 7</c:v>
                </c:pt>
              </c:strCache>
            </c:strRef>
          </c:tx>
          <c:spPr>
            <a:noFill/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'Comp-Detail'!$AB$39:$AB$45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'Comp-Detail'!$AC$38</c:f>
              <c:strCache>
                <c:ptCount val="1"/>
                <c:pt idx="0">
                  <c:v>Neg. Schedule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'Comp-Detail'!$AC$39:$AC$45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'Comp-Detail'!$AD$38</c:f>
              <c:strCache>
                <c:ptCount val="1"/>
                <c:pt idx="0">
                  <c:v>Schedule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'Comp-Detail'!$AD$39:$AD$45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9"/>
          <c:order val="9"/>
          <c:tx>
            <c:strRef>
              <c:f>'Comp-Detail'!$AE$38</c:f>
              <c:strCache>
                <c:ptCount val="1"/>
                <c:pt idx="0">
                  <c:v>Space 10</c:v>
                </c:pt>
              </c:strCache>
            </c:strRef>
          </c:tx>
          <c:spPr>
            <a:noFill/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'Comp-Detail'!$AE$39:$AE$45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'Comp-Detail'!$AF$38</c:f>
              <c:strCache>
                <c:ptCount val="1"/>
                <c:pt idx="0">
                  <c:v>Neg. Engineering</c:v>
                </c:pt>
              </c:strCache>
            </c:strRef>
          </c:tx>
          <c:spPr>
            <a:solidFill>
              <a:srgbClr val="8064A2">
                <a:lumMod val="60000"/>
                <a:lumOff val="40000"/>
              </a:srgb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'Comp-Detail'!$AF$39:$AF$45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'Comp-Detail'!$AG$38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'Comp-Detail'!$AG$39:$AG$45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'Comp-Detail'!$AH$38</c:f>
              <c:strCache>
                <c:ptCount val="1"/>
                <c:pt idx="0">
                  <c:v>Space 13</c:v>
                </c:pt>
              </c:strCache>
            </c:strRef>
          </c:tx>
          <c:spPr>
            <a:noFill/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'Comp-Detail'!$AH$39:$AH$45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'Comp-Detail'!$AI$38</c:f>
              <c:strCache>
                <c:ptCount val="1"/>
                <c:pt idx="0">
                  <c:v>Neg. Estimating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'Comp-Detail'!$AI$39:$AI$45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'Comp-Detail'!$AJ$38</c:f>
              <c:strCache>
                <c:ptCount val="1"/>
                <c:pt idx="0">
                  <c:v>Estimating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'Comp-Detail'!$AJ$39:$AJ$45</c:f>
              <c:numCache>
                <c:formatCode>0%</c:formatCode>
                <c:ptCount val="7"/>
                <c:pt idx="0" formatCode="0.0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'Comp-Detail'!$AK$38</c:f>
              <c:strCache>
                <c:ptCount val="1"/>
                <c:pt idx="0">
                  <c:v>Space 16</c:v>
                </c:pt>
              </c:strCache>
            </c:strRef>
          </c:tx>
          <c:spPr>
            <a:noFill/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'Comp-Detail'!$AK$39:$AK$45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9"/>
          <c:order val="16"/>
          <c:tx>
            <c:strRef>
              <c:f>'Comp-Detail'!$AL$38</c:f>
              <c:strCache>
                <c:ptCount val="1"/>
                <c:pt idx="0">
                  <c:v>Neg. Support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'Comp-Detail'!$AL$39:$AL$45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0"/>
          <c:order val="17"/>
          <c:tx>
            <c:strRef>
              <c:f>'Comp-Detail'!$AM$38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'Comp-Detail'!$AM$39:$AM$45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'Comp-Detail'!$AN$38</c:f>
              <c:strCache>
                <c:ptCount val="1"/>
                <c:pt idx="0">
                  <c:v>Space 19</c:v>
                </c:pt>
              </c:strCache>
            </c:strRef>
          </c:tx>
          <c:spPr>
            <a:noFill/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'Comp-Detail'!$AN$39:$AN$45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6"/>
          <c:order val="19"/>
          <c:tx>
            <c:strRef>
              <c:f>'Comp-Detail'!$AO$38</c:f>
              <c:strCache>
                <c:ptCount val="1"/>
                <c:pt idx="0">
                  <c:v>Neg. Other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'Comp-Detail'!$AO$39:$AO$45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7"/>
          <c:order val="20"/>
          <c:tx>
            <c:strRef>
              <c:f>'Comp-Detail'!$AP$38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'Comp-Detail'!$AP$39:$AP$45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'Comp-Detail'!$AQ$38</c:f>
              <c:strCache>
                <c:ptCount val="1"/>
                <c:pt idx="0">
                  <c:v>Space 13</c:v>
                </c:pt>
              </c:strCache>
            </c:strRef>
          </c:tx>
          <c:spPr>
            <a:noFill/>
          </c:spPr>
          <c:invertIfNegative val="0"/>
          <c:cat>
            <c:strRef>
              <c:f>'Comp-Detail'!$U$39:$U$45</c:f>
              <c:strCache>
                <c:ptCount val="7"/>
                <c:pt idx="0">
                  <c:v>Full and Open -Multiple Bidders</c:v>
                </c:pt>
                <c:pt idx="1">
                  <c:v>Full and Open -Single Bidder</c:v>
                </c:pt>
                <c:pt idx="2">
                  <c:v>Partial -Multiple Bidders</c:v>
                </c:pt>
                <c:pt idx="3">
                  <c:v>Partial -Single Bidder</c:v>
                </c:pt>
                <c:pt idx="4">
                  <c:v>Follow-On</c:v>
                </c:pt>
                <c:pt idx="5">
                  <c:v>None</c:v>
                </c:pt>
                <c:pt idx="6">
                  <c:v>Unclear Competition</c:v>
                </c:pt>
              </c:strCache>
            </c:strRef>
          </c:cat>
          <c:val>
            <c:numRef>
              <c:f>'Comp-Detail'!$AQ$39:$AQ$45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837760"/>
        <c:axId val="436896896"/>
      </c:barChart>
      <c:barChart>
        <c:barDir val="col"/>
        <c:grouping val="stacked"/>
        <c:varyColors val="0"/>
        <c:ser>
          <c:idx val="44"/>
          <c:order val="22"/>
          <c:tx>
            <c:v>Second Axis</c:v>
          </c:tx>
          <c:spPr>
            <a:solidFill>
              <a:schemeClr val="tx1"/>
            </a:solidFill>
          </c:spPr>
          <c:invertIfNegative val="0"/>
          <c:cat>
            <c:strRef>
              <c:f>'Comp-Detail'!$V$55:$BV$55</c:f>
              <c:strCache>
                <c:ptCount val="53"/>
                <c:pt idx="0">
                  <c:v>#NAME?</c:v>
                </c:pt>
                <c:pt idx="2">
                  <c:v>#NAME?</c:v>
                </c:pt>
                <c:pt idx="3">
                  <c:v>#NAME?</c:v>
                </c:pt>
                <c:pt idx="4">
                  <c:v>#NAME?</c:v>
                </c:pt>
                <c:pt idx="5">
                  <c:v>#NAME?</c:v>
                </c:pt>
                <c:pt idx="6">
                  <c:v>#NAME?</c:v>
                </c:pt>
                <c:pt idx="7">
                  <c:v>#NAME?</c:v>
                </c:pt>
                <c:pt idx="8">
                  <c:v>#NAME?</c:v>
                </c:pt>
                <c:pt idx="9">
                  <c:v>#NAME?</c:v>
                </c:pt>
                <c:pt idx="10">
                  <c:v>#NAME?</c:v>
                </c:pt>
                <c:pt idx="11">
                  <c:v>#NAME?</c:v>
                </c:pt>
                <c:pt idx="12">
                  <c:v>#NAME?</c:v>
                </c:pt>
                <c:pt idx="13">
                  <c:v>#NAME?</c:v>
                </c:pt>
                <c:pt idx="14">
                  <c:v>#NAME?</c:v>
                </c:pt>
                <c:pt idx="15">
                  <c:v>#NAME?</c:v>
                </c:pt>
                <c:pt idx="16">
                  <c:v>#NAME?</c:v>
                </c:pt>
                <c:pt idx="17">
                  <c:v>#NAME?</c:v>
                </c:pt>
                <c:pt idx="18">
                  <c:v>#NAME?</c:v>
                </c:pt>
                <c:pt idx="19">
                  <c:v>#NAME?</c:v>
                </c:pt>
                <c:pt idx="20">
                  <c:v>#NAME?</c:v>
                </c:pt>
                <c:pt idx="21">
                  <c:v>#NAME?</c:v>
                </c:pt>
                <c:pt idx="22">
                  <c:v>#NAME?</c:v>
                </c:pt>
                <c:pt idx="23">
                  <c:v>#NAME?</c:v>
                </c:pt>
                <c:pt idx="24">
                  <c:v>#NAME?</c:v>
                </c:pt>
                <c:pt idx="25">
                  <c:v>#NAME?</c:v>
                </c:pt>
                <c:pt idx="26">
                  <c:v>#NAME?</c:v>
                </c:pt>
                <c:pt idx="27">
                  <c:v>#NAME?</c:v>
                </c:pt>
                <c:pt idx="28">
                  <c:v>#NAME?</c:v>
                </c:pt>
                <c:pt idx="29">
                  <c:v>#NAME?</c:v>
                </c:pt>
                <c:pt idx="30">
                  <c:v>#NAME?</c:v>
                </c:pt>
                <c:pt idx="31">
                  <c:v>#NAME?</c:v>
                </c:pt>
                <c:pt idx="32">
                  <c:v>#NAME?</c:v>
                </c:pt>
                <c:pt idx="33">
                  <c:v>#NAME?</c:v>
                </c:pt>
                <c:pt idx="34">
                  <c:v>#NAME?</c:v>
                </c:pt>
                <c:pt idx="35">
                  <c:v>#NAME?</c:v>
                </c:pt>
                <c:pt idx="36">
                  <c:v>#NAME?</c:v>
                </c:pt>
                <c:pt idx="37">
                  <c:v>#NAME?</c:v>
                </c:pt>
                <c:pt idx="38">
                  <c:v>#NAME?</c:v>
                </c:pt>
                <c:pt idx="39">
                  <c:v>#NAME?</c:v>
                </c:pt>
                <c:pt idx="40">
                  <c:v>#NAME?</c:v>
                </c:pt>
                <c:pt idx="41">
                  <c:v>#NAME?</c:v>
                </c:pt>
                <c:pt idx="42">
                  <c:v>#NAME?</c:v>
                </c:pt>
                <c:pt idx="43">
                  <c:v>#NAME?</c:v>
                </c:pt>
                <c:pt idx="44">
                  <c:v>#NAME?</c:v>
                </c:pt>
                <c:pt idx="45">
                  <c:v>#NAME?</c:v>
                </c:pt>
                <c:pt idx="46">
                  <c:v>#NAME?</c:v>
                </c:pt>
                <c:pt idx="47">
                  <c:v>#NAME?</c:v>
                </c:pt>
                <c:pt idx="48">
                  <c:v>#NAME?</c:v>
                </c:pt>
                <c:pt idx="49">
                  <c:v>#NAME?</c:v>
                </c:pt>
                <c:pt idx="50">
                  <c:v>#NAME?</c:v>
                </c:pt>
                <c:pt idx="51">
                  <c:v>#NAME?</c:v>
                </c:pt>
                <c:pt idx="52">
                  <c:v>#NAME?</c:v>
                </c:pt>
              </c:strCache>
            </c:strRef>
          </c:cat>
          <c:val>
            <c:numRef>
              <c:f>'Comp-Detail'!$V$54:$BV$54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437298304"/>
        <c:axId val="436898432"/>
      </c:barChart>
      <c:catAx>
        <c:axId val="436837760"/>
        <c:scaling>
          <c:orientation val="minMax"/>
        </c:scaling>
        <c:delete val="0"/>
        <c:axPos val="l"/>
        <c:majorTickMark val="out"/>
        <c:minorTickMark val="none"/>
        <c:tickLblPos val="nextTo"/>
        <c:crossAx val="436896896"/>
        <c:crosses val="autoZero"/>
        <c:auto val="1"/>
        <c:lblAlgn val="ctr"/>
        <c:lblOffset val="100"/>
        <c:noMultiLvlLbl val="0"/>
      </c:catAx>
      <c:valAx>
        <c:axId val="436896896"/>
        <c:scaling>
          <c:orientation val="minMax"/>
          <c:max val="2.6"/>
        </c:scaling>
        <c:delete val="1"/>
        <c:axPos val="b"/>
        <c:majorGridlines/>
        <c:numFmt formatCode="0%" sourceLinked="1"/>
        <c:majorTickMark val="cross"/>
        <c:minorTickMark val="out"/>
        <c:tickLblPos val="none"/>
        <c:crossAx val="436837760"/>
        <c:crosses val="autoZero"/>
        <c:crossBetween val="between"/>
        <c:majorUnit val="0.1"/>
        <c:minorUnit val="0.05"/>
      </c:valAx>
      <c:valAx>
        <c:axId val="436898432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one"/>
        <c:crossAx val="437298304"/>
        <c:crosses val="max"/>
        <c:crossBetween val="midCat"/>
      </c:valAx>
      <c:catAx>
        <c:axId val="437298304"/>
        <c:scaling>
          <c:orientation val="minMax"/>
        </c:scaling>
        <c:delete val="0"/>
        <c:axPos val="t"/>
        <c:numFmt formatCode="0%" sourceLinked="1"/>
        <c:majorTickMark val="none"/>
        <c:minorTickMark val="none"/>
        <c:tickLblPos val="low"/>
        <c:txPr>
          <a:bodyPr rot="-2700000" vert="horz"/>
          <a:lstStyle/>
          <a:p>
            <a:pPr>
              <a:defRPr sz="1000"/>
            </a:pPr>
            <a:endParaRPr lang="en-US"/>
          </a:p>
        </c:txPr>
        <c:crossAx val="436898432"/>
        <c:crosses val="max"/>
        <c:auto val="0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488" l="0.70000000000000062" r="0.70000000000000062" t="0.75000000000000488" header="0.30000000000000032" footer="0.30000000000000032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11863601308058"/>
          <c:y val="2.8350146566204482E-2"/>
          <c:w val="0.70433018961557203"/>
          <c:h val="0.74555278918664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'Funding-Bar'!$N$19</c:f>
              <c:strCache>
                <c:ptCount val="1"/>
                <c:pt idx="0">
                  <c:v>Cost Increase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0"/>
              <c:layout>
                <c:manualLayout>
                  <c:x val="-4.3357463120356231E-2"/>
                  <c:y val="-3.870668887300786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0316723329907373E-2"/>
                  <c:y val="-7.307978892801582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85144322637866E-2"/>
                  <c:y val="-1.2633843743952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5826800449155184E-2"/>
                  <c:y val="-3.05524106730624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3693040723053397E-2"/>
                  <c:y val="-2.1741084829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3.4192757817248884E-2"/>
                  <c:y val="-1.9600442013117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3.0776174378659402E-2"/>
                  <c:y val="-2.80006314473108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'Funding-Bar'!$M$20:$M$24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Cost-plus 
award/incentive</c:v>
                </c:pt>
                <c:pt idx="3">
                  <c:v>Cost (all other*)</c:v>
                </c:pt>
                <c:pt idx="4">
                  <c:v>Unspecified</c:v>
                </c:pt>
              </c:strCache>
            </c:strRef>
          </c:cat>
          <c:val>
            <c:numRef>
              <c:f>'Funding-Bar'!$N$20:$N$24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'Funding-Bar'!$O$19</c:f>
              <c:strCache>
                <c:ptCount val="1"/>
                <c:pt idx="0">
                  <c:v>Cost Decrease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3.05769100178766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864770929372597E-3"/>
                  <c:y val="-2.8869259404299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1231651599105664E-3"/>
                  <c:y val="-2.5972659667541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3.6111111111111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0167434371994493E-2"/>
                  <c:y val="-2.219965023463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1.9600442013117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3.3906635169515545E-2"/>
                  <c:y val="-1.1133227445381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.0" sourceLinked="0"/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'Funding-Bar'!$M$20:$M$24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Cost-plus 
award/incentive</c:v>
                </c:pt>
                <c:pt idx="3">
                  <c:v>Cost (all other*)</c:v>
                </c:pt>
                <c:pt idx="4">
                  <c:v>Unspecified</c:v>
                </c:pt>
              </c:strCache>
            </c:strRef>
          </c:cat>
          <c:val>
            <c:numRef>
              <c:f>'Funding-Bar'!$O$20:$O$24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overlap val="100"/>
        <c:axId val="439492992"/>
        <c:axId val="439495680"/>
      </c:barChart>
      <c:scatterChart>
        <c:scatterStyle val="lineMarker"/>
        <c:varyColors val="0"/>
        <c:ser>
          <c:idx val="3"/>
          <c:order val="2"/>
          <c:tx>
            <c:strRef>
              <c:f>'Funding-Bar'!$P$19</c:f>
              <c:strCache>
                <c:ptCount val="1"/>
                <c:pt idx="0">
                  <c:v>Average Overrun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1.1228543745511353E-2"/>
                  <c:y val="4.4605794270337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9101811260117224E-3"/>
                  <c:y val="5.1382979988500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3278631673538074E-3"/>
                  <c:y val="1.536565036593228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283007906743983E-3"/>
                  <c:y val="3.870364134219354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2830079067439084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'Funding-Bar'!$M$20:$M$24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Cost-plus 
award/incentive</c:v>
                </c:pt>
                <c:pt idx="3">
                  <c:v>Cost (all other*)</c:v>
                </c:pt>
                <c:pt idx="4">
                  <c:v>Unspecified</c:v>
                </c:pt>
              </c:strCache>
            </c:strRef>
          </c:xVal>
          <c:yVal>
            <c:numRef>
              <c:f>'Funding-Bar'!$P$20:$P$24</c:f>
              <c:numCache>
                <c:formatCode>0%</c:formatCode>
                <c:ptCount val="5"/>
                <c:pt idx="0">
                  <c:v>8.2761787877234427E-2</c:v>
                </c:pt>
                <c:pt idx="1">
                  <c:v>0.77864599248763511</c:v>
                </c:pt>
                <c:pt idx="2">
                  <c:v>0.27321796146561889</c:v>
                </c:pt>
                <c:pt idx="3">
                  <c:v>0.43235662177672296</c:v>
                </c:pt>
                <c:pt idx="4">
                  <c:v>0.25541767499214546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'Funding-Bar'!$Q$19</c:f>
              <c:strCache>
                <c:ptCount val="1"/>
                <c:pt idx="0">
                  <c:v>Baseline-Weighted Average Overrun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10"/>
            <c:spPr>
              <a:ln>
                <a:noFill/>
              </a:ln>
            </c:spPr>
          </c:marker>
          <c:dLbls>
            <c:dLbl>
              <c:idx val="0"/>
              <c:layout>
                <c:manualLayout>
                  <c:x val="-1.0072851303304745E-2"/>
                  <c:y val="-2.03559820744238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990632296401753E-3"/>
                  <c:y val="-3.61674521214349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3168927087271839E-3"/>
                  <c:y val="1.025798872108845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4399099346535201E-3"/>
                  <c:y val="7.740728268438708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8241543235198999E-3"/>
                  <c:y val="3.48332772079742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'Funding-Bar'!$M$20:$M$24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Cost-plus 
award/incentive</c:v>
                </c:pt>
                <c:pt idx="3">
                  <c:v>Cost (all other*)</c:v>
                </c:pt>
                <c:pt idx="4">
                  <c:v>Unspecified</c:v>
                </c:pt>
              </c:strCache>
            </c:strRef>
          </c:xVal>
          <c:yVal>
            <c:numRef>
              <c:f>'Funding-Bar'!$Q$20:$Q$24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33568"/>
        <c:axId val="439506432"/>
      </c:scatterChart>
      <c:catAx>
        <c:axId val="439492992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900" b="1"/>
            </a:pPr>
            <a:endParaRPr lang="en-US"/>
          </a:p>
        </c:txPr>
        <c:crossAx val="439495680"/>
        <c:crosses val="autoZero"/>
        <c:auto val="1"/>
        <c:lblAlgn val="ctr"/>
        <c:lblOffset val="100"/>
        <c:noMultiLvlLbl val="0"/>
      </c:catAx>
      <c:valAx>
        <c:axId val="439495680"/>
        <c:scaling>
          <c:orientation val="minMax"/>
          <c:max val="225000"/>
          <c:min val="-2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0" i="0" baseline="0"/>
                  <a:t>Nominal cost overruns </a:t>
                </a:r>
                <a:br>
                  <a:rPr lang="en-US" sz="1100" b="0" i="0" baseline="0"/>
                </a:br>
                <a:r>
                  <a:rPr lang="en-US" sz="1100" b="0" i="0" baseline="0"/>
                  <a:t>(in then year billions, quantity adjusted)</a:t>
                </a:r>
                <a:endParaRPr lang="en-US" sz="1100" b="1" i="0" baseline="0"/>
              </a:p>
            </c:rich>
          </c:tx>
          <c:layout>
            <c:manualLayout>
              <c:xMode val="edge"/>
              <c:yMode val="edge"/>
              <c:x val="0"/>
              <c:y val="4.7650887060031802E-2"/>
            </c:manualLayout>
          </c:layout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39492992"/>
        <c:crosses val="autoZero"/>
        <c:crossBetween val="between"/>
        <c:majorUnit val="25000"/>
        <c:dispUnits>
          <c:builtInUnit val="thousands"/>
        </c:dispUnits>
      </c:valAx>
      <c:valAx>
        <c:axId val="439506432"/>
        <c:scaling>
          <c:orientation val="minMax"/>
          <c:max val="0.45"/>
          <c:min val="-0.05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/>
                  <a:t>Nominal Cost Overruns  </a:t>
                </a:r>
                <a:br>
                  <a:rPr lang="en-US" sz="1000" b="0" i="0" baseline="0"/>
                </a:br>
                <a:r>
                  <a:rPr lang="en-US" sz="1000" b="0" i="0" baseline="0"/>
                  <a:t>(In percent, weighted by percent of MDAP accounted for in FPDS, quantity adjusted)</a:t>
                </a:r>
                <a:endParaRPr lang="en-US" sz="1000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39533568"/>
        <c:crosses val="max"/>
        <c:crossBetween val="midCat"/>
        <c:majorUnit val="0.05"/>
      </c:valAx>
      <c:valAx>
        <c:axId val="439533568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one"/>
        <c:crossAx val="43950643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3.4784585121476579E-3"/>
          <c:y val="0.9022197703592878"/>
          <c:w val="0.99652154148785166"/>
          <c:h val="9.775776492796221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20892876452375"/>
          <c:y val="6.2955419950312924E-2"/>
          <c:w val="0.78023342031249454"/>
          <c:h val="0.7488959451962001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'Funding-Detail'!$W$42</c:f>
              <c:strCache>
                <c:ptCount val="1"/>
                <c:pt idx="0">
                  <c:v>Space 2</c:v>
                </c:pt>
              </c:strCache>
            </c:strRef>
          </c:tx>
          <c:spPr>
            <a:noFill/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'Funding-Detail'!$W$43:$W$47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'Funding-Detail'!$X$42</c:f>
              <c:strCache>
                <c:ptCount val="1"/>
                <c:pt idx="0">
                  <c:v>Neg. Economic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'Funding-Detail'!$X$43:$X$47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'Funding-Detail'!$Y$42</c:f>
              <c:strCache>
                <c:ptCount val="1"/>
                <c:pt idx="0">
                  <c:v>Economic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'Funding-Detail'!$Y$43:$Y$47</c:f>
              <c:numCache>
                <c:formatCode>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'Funding-Detail'!$Z$42</c:f>
              <c:strCache>
                <c:ptCount val="1"/>
                <c:pt idx="0">
                  <c:v>Space 5</c:v>
                </c:pt>
              </c:strCache>
            </c:strRef>
          </c:tx>
          <c:spPr>
            <a:noFill/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'Funding-Detail'!$Z$43:$Z$47</c:f>
              <c:numCache>
                <c:formatCode>0.00%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'Funding-Detail'!$AA$42</c:f>
              <c:strCache>
                <c:ptCount val="1"/>
                <c:pt idx="0">
                  <c:v>Neg. Quantity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'Funding-Detail'!$AA$43:$AA$47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'Funding-Detail'!$AB$42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'Funding-Detail'!$AB$43:$AB$47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'Funding-Detail'!$AC$42</c:f>
              <c:strCache>
                <c:ptCount val="1"/>
                <c:pt idx="0">
                  <c:v>Space 8</c:v>
                </c:pt>
              </c:strCache>
            </c:strRef>
          </c:tx>
          <c:spPr>
            <a:noFill/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'Funding-Detail'!$AC$43:$AC$47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'Funding-Detail'!$AD$42</c:f>
              <c:strCache>
                <c:ptCount val="1"/>
                <c:pt idx="0">
                  <c:v>Neg. Schedule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'Funding-Detail'!$AD$43:$AD$47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'Funding-Detail'!$AE$42</c:f>
              <c:strCache>
                <c:ptCount val="1"/>
                <c:pt idx="0">
                  <c:v>Schedule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'Funding-Detail'!$AE$43:$AE$47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'Funding-Detail'!$AF$42</c:f>
              <c:strCache>
                <c:ptCount val="1"/>
                <c:pt idx="0">
                  <c:v>Space 11</c:v>
                </c:pt>
              </c:strCache>
            </c:strRef>
          </c:tx>
          <c:spPr>
            <a:noFill/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'Funding-Detail'!$AF$43:$AF$47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'Funding-Detail'!$AG$42</c:f>
              <c:strCache>
                <c:ptCount val="1"/>
                <c:pt idx="0">
                  <c:v>Neg. Engineering</c:v>
                </c:pt>
              </c:strCache>
            </c:strRef>
          </c:tx>
          <c:spPr>
            <a:solidFill>
              <a:srgbClr val="8064A2">
                <a:lumMod val="60000"/>
                <a:lumOff val="40000"/>
              </a:srgb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'Funding-Detail'!$AG$43:$AG$47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'Funding-Detail'!$AH$42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'Funding-Detail'!$AH$43:$AH$47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'Funding-Detail'!$AI$42</c:f>
              <c:strCache>
                <c:ptCount val="1"/>
                <c:pt idx="0">
                  <c:v>Space 14</c:v>
                </c:pt>
              </c:strCache>
            </c:strRef>
          </c:tx>
          <c:spPr>
            <a:noFill/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'Funding-Detail'!$AI$43:$AI$47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'Funding-Detail'!$AJ$42</c:f>
              <c:strCache>
                <c:ptCount val="1"/>
                <c:pt idx="0">
                  <c:v>Neg. Estimating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'Funding-Detail'!$AJ$43:$AJ$47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'Funding-Detail'!$AK$42</c:f>
              <c:strCache>
                <c:ptCount val="1"/>
                <c:pt idx="0">
                  <c:v>Estimating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'Funding-Detail'!$AK$43:$AK$47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'Funding-Detail'!$AL$42</c:f>
              <c:strCache>
                <c:ptCount val="1"/>
                <c:pt idx="0">
                  <c:v>Space 17</c:v>
                </c:pt>
              </c:strCache>
            </c:strRef>
          </c:tx>
          <c:spPr>
            <a:noFill/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'Funding-Detail'!$AL$43:$AL$47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6"/>
          <c:tx>
            <c:strRef>
              <c:f>'Funding-Detail'!$AM$42</c:f>
              <c:strCache>
                <c:ptCount val="1"/>
                <c:pt idx="0">
                  <c:v>Neg. Support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'Funding-Detail'!$AM$43:$AM$47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17"/>
          <c:tx>
            <c:strRef>
              <c:f>'Funding-Detail'!$AN$42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'Funding-Detail'!$AN$43:$AN$47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'Funding-Detail'!$AO$42</c:f>
              <c:strCache>
                <c:ptCount val="1"/>
                <c:pt idx="0">
                  <c:v>Space 20</c:v>
                </c:pt>
              </c:strCache>
            </c:strRef>
          </c:tx>
          <c:spPr>
            <a:noFill/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'Funding-Detail'!$AO$43:$AO$47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9"/>
          <c:tx>
            <c:strRef>
              <c:f>'Funding-Detail'!$AP$42</c:f>
              <c:strCache>
                <c:ptCount val="1"/>
                <c:pt idx="0">
                  <c:v>Neg. Other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'Funding-Detail'!$AP$43:$AP$47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20"/>
          <c:tx>
            <c:strRef>
              <c:f>'Funding-Detail'!$AQ$42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'Funding-Detail'!$AQ$43:$AQ$47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'Funding-Detail'!$AR$42</c:f>
              <c:strCache>
                <c:ptCount val="1"/>
                <c:pt idx="0">
                  <c:v>Space 14</c:v>
                </c:pt>
              </c:strCache>
            </c:strRef>
          </c:tx>
          <c:spPr>
            <a:noFill/>
          </c:spPr>
          <c:invertIfNegative val="0"/>
          <c:cat>
            <c:strRef>
              <c:f>'Funding-Detail'!$V$43:$V$47</c:f>
              <c:strCache>
                <c:ptCount val="5"/>
                <c:pt idx="0">
                  <c:v>Fixed Price</c:v>
                </c:pt>
                <c:pt idx="1">
                  <c:v>Combination</c:v>
                </c:pt>
                <c:pt idx="2">
                  <c:v>Cost Plus Award/Incentive</c:v>
                </c:pt>
                <c:pt idx="3">
                  <c:v>Cost (All Other; Including Time and Materials and Labor)</c:v>
                </c:pt>
                <c:pt idx="4">
                  <c:v>Unclear Type</c:v>
                </c:pt>
              </c:strCache>
            </c:strRef>
          </c:cat>
          <c:val>
            <c:numRef>
              <c:f>'Funding-Detail'!$AR$43:$AR$47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464647296"/>
        <c:axId val="464649600"/>
      </c:barChart>
      <c:barChart>
        <c:barDir val="col"/>
        <c:grouping val="stacked"/>
        <c:varyColors val="0"/>
        <c:ser>
          <c:idx val="22"/>
          <c:order val="22"/>
          <c:tx>
            <c:v>Second Axis</c:v>
          </c:tx>
          <c:spPr>
            <a:solidFill>
              <a:schemeClr val="tx1"/>
            </a:solidFill>
          </c:spPr>
          <c:invertIfNegative val="0"/>
          <c:cat>
            <c:strRef>
              <c:f>'Funding-Detail'!$W$61:$BS$61</c:f>
              <c:strCache>
                <c:ptCount val="49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strCache>
            </c:strRef>
          </c:cat>
          <c:val>
            <c:numRef>
              <c:f>'Funding-Detail'!$W$60:$BS$60</c:f>
              <c:numCache>
                <c:formatCode>General</c:formatCode>
                <c:ptCount val="49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overlap val="100"/>
        <c:axId val="466774656"/>
        <c:axId val="466773120"/>
      </c:barChart>
      <c:catAx>
        <c:axId val="464647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4649600"/>
        <c:crosses val="autoZero"/>
        <c:auto val="1"/>
        <c:lblAlgn val="ctr"/>
        <c:lblOffset val="100"/>
        <c:noMultiLvlLbl val="0"/>
      </c:catAx>
      <c:valAx>
        <c:axId val="464649600"/>
        <c:scaling>
          <c:orientation val="minMax"/>
          <c:max val="2.4"/>
        </c:scaling>
        <c:delete val="1"/>
        <c:axPos val="b"/>
        <c:majorGridlines/>
        <c:numFmt formatCode="0%" sourceLinked="1"/>
        <c:majorTickMark val="out"/>
        <c:minorTickMark val="out"/>
        <c:tickLblPos val="none"/>
        <c:crossAx val="464647296"/>
        <c:crosses val="autoZero"/>
        <c:crossBetween val="between"/>
        <c:majorUnit val="0.1"/>
        <c:minorUnit val="0.05"/>
      </c:valAx>
      <c:valAx>
        <c:axId val="466773120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one"/>
        <c:crossAx val="466774656"/>
        <c:crosses val="max"/>
        <c:crossBetween val="midCat"/>
      </c:valAx>
      <c:catAx>
        <c:axId val="466774656"/>
        <c:scaling>
          <c:orientation val="minMax"/>
        </c:scaling>
        <c:delete val="0"/>
        <c:axPos val="b"/>
        <c:majorTickMark val="out"/>
        <c:minorTickMark val="none"/>
        <c:tickLblPos val="low"/>
        <c:crossAx val="4667731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84722222222404E-2"/>
          <c:y val="3.4236001749781281E-2"/>
          <c:w val="0.85881069553806211"/>
          <c:h val="0.80997681539808286"/>
        </c:manualLayout>
      </c:layout>
      <c:scatterChart>
        <c:scatterStyle val="lineMarker"/>
        <c:varyColors val="0"/>
        <c:ser>
          <c:idx val="0"/>
          <c:order val="0"/>
          <c:tx>
            <c:v>Program Size vs. Cost Growth (Quant adjusted base year $s)</c:v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strRef>
              <c:f>'Overall Scatter'!$B$4:$B$88</c:f>
              <c:strCache>
                <c:ptCount val="85"/>
                <c:pt idx="0">
                  <c:v>42%</c:v>
                </c:pt>
                <c:pt idx="1">
                  <c:v>-15%</c:v>
                </c:pt>
                <c:pt idx="2">
                  <c:v>34%</c:v>
                </c:pt>
                <c:pt idx="3">
                  <c:v>8%</c:v>
                </c:pt>
                <c:pt idx="4">
                  <c:v>19%</c:v>
                </c:pt>
                <c:pt idx="5">
                  <c:v>-19%</c:v>
                </c:pt>
                <c:pt idx="6">
                  <c:v>28%</c:v>
                </c:pt>
                <c:pt idx="7">
                  <c:v>-60%</c:v>
                </c:pt>
                <c:pt idx="8">
                  <c:v>3%</c:v>
                </c:pt>
                <c:pt idx="9">
                  <c:v>0%</c:v>
                </c:pt>
                <c:pt idx="10">
                  <c:v>2%</c:v>
                </c:pt>
                <c:pt idx="11">
                  <c:v>-18%</c:v>
                </c:pt>
                <c:pt idx="12">
                  <c:v>-8%</c:v>
                </c:pt>
                <c:pt idx="13">
                  <c:v>20%</c:v>
                </c:pt>
                <c:pt idx="14">
                  <c:v>-10%</c:v>
                </c:pt>
                <c:pt idx="15">
                  <c:v>32%</c:v>
                </c:pt>
                <c:pt idx="16">
                  <c:v>47%</c:v>
                </c:pt>
                <c:pt idx="17">
                  <c:v>-2%</c:v>
                </c:pt>
                <c:pt idx="18">
                  <c:v>#N/A</c:v>
                </c:pt>
                <c:pt idx="19">
                  <c:v>12%</c:v>
                </c:pt>
                <c:pt idx="20">
                  <c:v>13%</c:v>
                </c:pt>
                <c:pt idx="21">
                  <c:v>18%</c:v>
                </c:pt>
                <c:pt idx="22">
                  <c:v>284%</c:v>
                </c:pt>
                <c:pt idx="23">
                  <c:v>80%</c:v>
                </c:pt>
                <c:pt idx="24">
                  <c:v>12%</c:v>
                </c:pt>
                <c:pt idx="25">
                  <c:v>15%</c:v>
                </c:pt>
                <c:pt idx="26">
                  <c:v>-13%</c:v>
                </c:pt>
                <c:pt idx="27">
                  <c:v>8%</c:v>
                </c:pt>
                <c:pt idx="28">
                  <c:v>22%</c:v>
                </c:pt>
                <c:pt idx="29">
                  <c:v>-10%</c:v>
                </c:pt>
                <c:pt idx="30">
                  <c:v>7%</c:v>
                </c:pt>
                <c:pt idx="31">
                  <c:v>3%</c:v>
                </c:pt>
                <c:pt idx="32">
                  <c:v>63%</c:v>
                </c:pt>
                <c:pt idx="33">
                  <c:v>-18%</c:v>
                </c:pt>
                <c:pt idx="35">
                  <c:v>4%</c:v>
                </c:pt>
                <c:pt idx="36">
                  <c:v>-2%</c:v>
                </c:pt>
                <c:pt idx="37">
                  <c:v>5%</c:v>
                </c:pt>
                <c:pt idx="38">
                  <c:v>#N/A</c:v>
                </c:pt>
                <c:pt idx="39">
                  <c:v>53%</c:v>
                </c:pt>
                <c:pt idx="40">
                  <c:v>32%</c:v>
                </c:pt>
                <c:pt idx="41">
                  <c:v>21%</c:v>
                </c:pt>
                <c:pt idx="42">
                  <c:v>45%</c:v>
                </c:pt>
                <c:pt idx="43">
                  <c:v>25%</c:v>
                </c:pt>
                <c:pt idx="44">
                  <c:v>20%</c:v>
                </c:pt>
                <c:pt idx="45">
                  <c:v>26%</c:v>
                </c:pt>
                <c:pt idx="46">
                  <c:v>-3%</c:v>
                </c:pt>
                <c:pt idx="47">
                  <c:v>7%</c:v>
                </c:pt>
                <c:pt idx="48">
                  <c:v>-13%</c:v>
                </c:pt>
                <c:pt idx="49">
                  <c:v>-12%</c:v>
                </c:pt>
                <c:pt idx="51">
                  <c:v>45%</c:v>
                </c:pt>
                <c:pt idx="52">
                  <c:v>-12%</c:v>
                </c:pt>
                <c:pt idx="53">
                  <c:v>-71%</c:v>
                </c:pt>
                <c:pt idx="54">
                  <c:v>27%</c:v>
                </c:pt>
                <c:pt idx="55">
                  <c:v>-8%</c:v>
                </c:pt>
                <c:pt idx="56">
                  <c:v>-22%</c:v>
                </c:pt>
                <c:pt idx="57">
                  <c:v>26%</c:v>
                </c:pt>
                <c:pt idx="58">
                  <c:v>-3%</c:v>
                </c:pt>
                <c:pt idx="59">
                  <c:v>8%</c:v>
                </c:pt>
                <c:pt idx="60">
                  <c:v>-27%</c:v>
                </c:pt>
                <c:pt idx="61">
                  <c:v>-7%</c:v>
                </c:pt>
                <c:pt idx="62">
                  <c:v>-54%</c:v>
                </c:pt>
                <c:pt idx="63">
                  <c:v>-28%</c:v>
                </c:pt>
                <c:pt idx="64">
                  <c:v>111%</c:v>
                </c:pt>
                <c:pt idx="65">
                  <c:v>14%</c:v>
                </c:pt>
                <c:pt idx="66">
                  <c:v>-90%</c:v>
                </c:pt>
                <c:pt idx="67">
                  <c:v>-1%</c:v>
                </c:pt>
                <c:pt idx="68">
                  <c:v>#N/A</c:v>
                </c:pt>
                <c:pt idx="69">
                  <c:v>86%</c:v>
                </c:pt>
                <c:pt idx="70">
                  <c:v>3%</c:v>
                </c:pt>
                <c:pt idx="71">
                  <c:v>14%</c:v>
                </c:pt>
                <c:pt idx="72">
                  <c:v>14%</c:v>
                </c:pt>
                <c:pt idx="73">
                  <c:v>15%</c:v>
                </c:pt>
                <c:pt idx="74">
                  <c:v>-2000%</c:v>
                </c:pt>
                <c:pt idx="75">
                  <c:v>4%</c:v>
                </c:pt>
                <c:pt idx="76">
                  <c:v>4%</c:v>
                </c:pt>
                <c:pt idx="77">
                  <c:v>24%</c:v>
                </c:pt>
                <c:pt idx="78">
                  <c:v>5%</c:v>
                </c:pt>
                <c:pt idx="79">
                  <c:v>274%</c:v>
                </c:pt>
                <c:pt idx="80">
                  <c:v>-2%</c:v>
                </c:pt>
                <c:pt idx="81">
                  <c:v>#N/A</c:v>
                </c:pt>
                <c:pt idx="82">
                  <c:v>-4%</c:v>
                </c:pt>
                <c:pt idx="83">
                  <c:v>#N/A</c:v>
                </c:pt>
                <c:pt idx="84">
                  <c:v>#N/A</c:v>
                </c:pt>
              </c:strCache>
            </c:strRef>
          </c:xVal>
          <c:yVal>
            <c:numRef>
              <c:f>'Overall Scatter'!$D$4:$D$88</c:f>
              <c:numCache>
                <c:formatCode>_(* #,##0_);_(* \(#,##0\);_(* "-"??_);_(@_)</c:formatCode>
                <c:ptCount val="85"/>
                <c:pt idx="0">
                  <c:v>3071.1528683541505</c:v>
                </c:pt>
                <c:pt idx="1">
                  <c:v>-695.83847923477413</c:v>
                </c:pt>
                <c:pt idx="2">
                  <c:v>2409.1906056860321</c:v>
                </c:pt>
                <c:pt idx="3">
                  <c:v>144.35524881946967</c:v>
                </c:pt>
                <c:pt idx="4">
                  <c:v>620.06190283945637</c:v>
                </c:pt>
                <c:pt idx="5">
                  <c:v>-1554.4871499003461</c:v>
                </c:pt>
                <c:pt idx="6">
                  <c:v>5173.8097081596197</c:v>
                </c:pt>
                <c:pt idx="7">
                  <c:v>-2163.7236766891506</c:v>
                </c:pt>
                <c:pt idx="8">
                  <c:v>62.309238406586744</c:v>
                </c:pt>
                <c:pt idx="9">
                  <c:v>-0.55440254803246691</c:v>
                </c:pt>
                <c:pt idx="10">
                  <c:v>60.930621140573919</c:v>
                </c:pt>
                <c:pt idx="11">
                  <c:v>-125.29981757699325</c:v>
                </c:pt>
                <c:pt idx="12">
                  <c:v>-108.37197104793874</c:v>
                </c:pt>
                <c:pt idx="13">
                  <c:v>2564.6700933599077</c:v>
                </c:pt>
                <c:pt idx="14">
                  <c:v>-597.10222952840854</c:v>
                </c:pt>
                <c:pt idx="15">
                  <c:v>318.43579553241062</c:v>
                </c:pt>
                <c:pt idx="16">
                  <c:v>26569.717692202274</c:v>
                </c:pt>
                <c:pt idx="17">
                  <c:v>-142.43721808454842</c:v>
                </c:pt>
                <c:pt idx="18">
                  <c:v>#N/A</c:v>
                </c:pt>
                <c:pt idx="19">
                  <c:v>596.32398022249686</c:v>
                </c:pt>
                <c:pt idx="20">
                  <c:v>1589.7322510575052</c:v>
                </c:pt>
                <c:pt idx="21">
                  <c:v>2930.9376588924506</c:v>
                </c:pt>
                <c:pt idx="22">
                  <c:v>7486.4414478353447</c:v>
                </c:pt>
                <c:pt idx="23">
                  <c:v>13172.59258202568</c:v>
                </c:pt>
                <c:pt idx="24">
                  <c:v>193.37086814384307</c:v>
                </c:pt>
                <c:pt idx="25">
                  <c:v>7366.7066615226322</c:v>
                </c:pt>
                <c:pt idx="26">
                  <c:v>-4761.3873456790125</c:v>
                </c:pt>
                <c:pt idx="27">
                  <c:v>2993.5700240082319</c:v>
                </c:pt>
                <c:pt idx="28">
                  <c:v>6693.0363059569963</c:v>
                </c:pt>
                <c:pt idx="29">
                  <c:v>-104.72421933683873</c:v>
                </c:pt>
                <c:pt idx="30">
                  <c:v>1283.9240165631468</c:v>
                </c:pt>
                <c:pt idx="31">
                  <c:v>248.92267736985008</c:v>
                </c:pt>
                <c:pt idx="32">
                  <c:v>5778.1830668526682</c:v>
                </c:pt>
                <c:pt idx="33">
                  <c:v>-592.16942361039764</c:v>
                </c:pt>
                <c:pt idx="34">
                  <c:v>0</c:v>
                </c:pt>
                <c:pt idx="35">
                  <c:v>51.145764262032699</c:v>
                </c:pt>
                <c:pt idx="36">
                  <c:v>-28.408198304539113</c:v>
                </c:pt>
                <c:pt idx="37">
                  <c:v>2550.3082561728388</c:v>
                </c:pt>
                <c:pt idx="38">
                  <c:v>#N/A</c:v>
                </c:pt>
                <c:pt idx="39">
                  <c:v>115585.66131025959</c:v>
                </c:pt>
                <c:pt idx="40">
                  <c:v>1054.960321384425</c:v>
                </c:pt>
                <c:pt idx="41">
                  <c:v>377.49982851263286</c:v>
                </c:pt>
                <c:pt idx="42">
                  <c:v>41919.118537353184</c:v>
                </c:pt>
                <c:pt idx="43">
                  <c:v>4004.0268603535706</c:v>
                </c:pt>
                <c:pt idx="44">
                  <c:v>122.09850625756965</c:v>
                </c:pt>
                <c:pt idx="45">
                  <c:v>3055.202324736651</c:v>
                </c:pt>
                <c:pt idx="46">
                  <c:v>-136.20959621904859</c:v>
                </c:pt>
                <c:pt idx="47">
                  <c:v>763.89489142977027</c:v>
                </c:pt>
                <c:pt idx="48">
                  <c:v>-584.22084998183789</c:v>
                </c:pt>
                <c:pt idx="49">
                  <c:v>-613.35942028985517</c:v>
                </c:pt>
                <c:pt idx="50">
                  <c:v>0</c:v>
                </c:pt>
                <c:pt idx="51">
                  <c:v>2502.1852213996372</c:v>
                </c:pt>
                <c:pt idx="52">
                  <c:v>-468.10172765318168</c:v>
                </c:pt>
                <c:pt idx="53">
                  <c:v>-5643.166096092551</c:v>
                </c:pt>
                <c:pt idx="54">
                  <c:v>873.97904735298243</c:v>
                </c:pt>
                <c:pt idx="55">
                  <c:v>-272.2123151159131</c:v>
                </c:pt>
                <c:pt idx="56">
                  <c:v>-1484.7376243283411</c:v>
                </c:pt>
                <c:pt idx="57">
                  <c:v>6026.9836357914619</c:v>
                </c:pt>
                <c:pt idx="58">
                  <c:v>-26.270009440889545</c:v>
                </c:pt>
                <c:pt idx="59">
                  <c:v>464.65636588380715</c:v>
                </c:pt>
                <c:pt idx="60">
                  <c:v>-441.20919713531839</c:v>
                </c:pt>
                <c:pt idx="61">
                  <c:v>-580.1658474710639</c:v>
                </c:pt>
                <c:pt idx="62">
                  <c:v>-9636.6971569839297</c:v>
                </c:pt>
                <c:pt idx="63">
                  <c:v>-2767.3316435161723</c:v>
                </c:pt>
                <c:pt idx="64">
                  <c:v>1114.3462299134733</c:v>
                </c:pt>
                <c:pt idx="65">
                  <c:v>55.530053498374073</c:v>
                </c:pt>
                <c:pt idx="66">
                  <c:v>-2683.3224361302823</c:v>
                </c:pt>
                <c:pt idx="67">
                  <c:v>-28.624516414280983</c:v>
                </c:pt>
                <c:pt idx="68">
                  <c:v>#N/A</c:v>
                </c:pt>
                <c:pt idx="69">
                  <c:v>10566.637659312046</c:v>
                </c:pt>
                <c:pt idx="70">
                  <c:v>47.082789875096722</c:v>
                </c:pt>
                <c:pt idx="71">
                  <c:v>1585.7687631258982</c:v>
                </c:pt>
                <c:pt idx="72">
                  <c:v>945.46644518272444</c:v>
                </c:pt>
                <c:pt idx="73">
                  <c:v>324.7918634217217</c:v>
                </c:pt>
                <c:pt idx="74">
                  <c:v>-37276.234567901229</c:v>
                </c:pt>
                <c:pt idx="75">
                  <c:v>272.40703576909453</c:v>
                </c:pt>
                <c:pt idx="76">
                  <c:v>61.226477649479818</c:v>
                </c:pt>
                <c:pt idx="77">
                  <c:v>1779.3070987654319</c:v>
                </c:pt>
                <c:pt idx="78">
                  <c:v>91.937082818294201</c:v>
                </c:pt>
                <c:pt idx="79">
                  <c:v>18736.101359703338</c:v>
                </c:pt>
                <c:pt idx="80">
                  <c:v>-531.73163464502215</c:v>
                </c:pt>
                <c:pt idx="81">
                  <c:v>#N/A</c:v>
                </c:pt>
                <c:pt idx="82">
                  <c:v>-1101.1774288749853</c:v>
                </c:pt>
                <c:pt idx="83">
                  <c:v>#N/A</c:v>
                </c:pt>
                <c:pt idx="84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59328"/>
        <c:axId val="74671232"/>
      </c:scatterChart>
      <c:valAx>
        <c:axId val="74659328"/>
        <c:scaling>
          <c:orientation val="minMax"/>
          <c:max val="0.5"/>
          <c:min val="-0.25"/>
        </c:scaling>
        <c:delete val="0"/>
        <c:axPos val="b"/>
        <c:numFmt formatCode="0%" sourceLinked="1"/>
        <c:majorTickMark val="out"/>
        <c:minorTickMark val="none"/>
        <c:tickLblPos val="low"/>
        <c:crossAx val="74671232"/>
        <c:crossesAt val="0"/>
        <c:crossBetween val="midCat"/>
        <c:majorUnit val="0.25"/>
      </c:valAx>
      <c:valAx>
        <c:axId val="74671232"/>
        <c:scaling>
          <c:orientation val="minMax"/>
          <c:max val="10000"/>
          <c:min val="-2000"/>
        </c:scaling>
        <c:delete val="0"/>
        <c:axPos val="l"/>
        <c:majorGridlines/>
        <c:numFmt formatCode="_(* #,##0_);_(* \(#,##0\);_(* &quot;-&quot;_);_(@_)" sourceLinked="0"/>
        <c:majorTickMark val="out"/>
        <c:minorTickMark val="none"/>
        <c:tickLblPos val="low"/>
        <c:crossAx val="74659328"/>
        <c:crosses val="autoZero"/>
        <c:crossBetween val="midCat"/>
        <c:dispUnits>
          <c:builtInUnit val="thousands"/>
        </c:dispUnits>
      </c:valAx>
      <c:spPr>
        <a:ln w="25400">
          <a:solidFill>
            <a:schemeClr val="accent1">
              <a:shade val="50000"/>
            </a:schemeClr>
          </a:solidFill>
          <a:prstDash val="dash"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/>
      </a:pPr>
      <a:endParaRPr lang="en-US"/>
    </a:p>
  </c:txPr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52601117168049"/>
          <c:y val="2.6949606395613352E-2"/>
          <c:w val="0.72248166094622757"/>
          <c:h val="0.784092805706978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'Reason-Bar'!$S$4</c:f>
              <c:strCache>
                <c:ptCount val="1"/>
                <c:pt idx="0">
                  <c:v>Cost Increase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3.6443569553805816E-2"/>
                  <c:y val="-2.4108915472104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849989905108015E-2"/>
                  <c:y val="5.610025910222767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6206003095766881E-2"/>
                  <c:y val="6.67735042735043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1073087017968912E-2"/>
                  <c:y val="-1.2054457736052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7189750319671602E-2"/>
                  <c:y val="-2.0290207113533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1457029409785356E-2"/>
                  <c:y val="-2.3370726495726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4.320987654320975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'Reason-Bar'!$R$5:$R$11</c:f>
              <c:strCache>
                <c:ptCount val="6"/>
                <c:pt idx="0">
                  <c:v>Quantity</c:v>
                </c:pt>
                <c:pt idx="1">
                  <c:v>Schedule</c:v>
                </c:pt>
                <c:pt idx="2">
                  <c:v>Engineering</c:v>
                </c:pt>
                <c:pt idx="3">
                  <c:v>Estimating</c:v>
                </c:pt>
                <c:pt idx="4">
                  <c:v>Support</c:v>
                </c:pt>
                <c:pt idx="5">
                  <c:v>Other</c:v>
                </c:pt>
              </c:strCache>
            </c:strRef>
          </c:cat>
          <c:val>
            <c:numRef>
              <c:f>'Reason-Bar'!$S$5:$S$10</c:f>
              <c:numCache>
                <c:formatCode>_("$"* #,##0.00_);_("$"* \(#,##0.00\);_("$"* "-"??_);_(@_)</c:formatCode>
                <c:ptCount val="6"/>
                <c:pt idx="0" formatCode="_(&quot;$&quot;* #,##0_);_(&quot;$&quot;* \(#,##0\);_(&quot;$&quot;* &quot;-&quot;??_);_(@_)">
                  <c:v>139708.88395888326</c:v>
                </c:pt>
                <c:pt idx="1">
                  <c:v>47431.262026843338</c:v>
                </c:pt>
                <c:pt idx="2">
                  <c:v>63708.581425895027</c:v>
                </c:pt>
                <c:pt idx="3">
                  <c:v>210859.43209074863</c:v>
                </c:pt>
                <c:pt idx="4">
                  <c:v>60365.246317250254</c:v>
                </c:pt>
                <c:pt idx="5">
                  <c:v>3047.6660263311628</c:v>
                </c:pt>
              </c:numCache>
            </c:numRef>
          </c:val>
        </c:ser>
        <c:ser>
          <c:idx val="1"/>
          <c:order val="1"/>
          <c:tx>
            <c:strRef>
              <c:f>'Reason-Bar'!$T$4</c:f>
              <c:strCache>
                <c:ptCount val="1"/>
                <c:pt idx="0">
                  <c:v>Cost Decrease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1.0802469135802491E-2"/>
                  <c:y val="-0.13085044646289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864197530864517E-3"/>
                  <c:y val="-2.4999343832021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4041886317659311E-4"/>
                  <c:y val="-2.5972385923556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2735042735042739E-3"/>
                  <c:y val="-5.2803908826300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1.3597819503331321E-3"/>
                  <c:y val="-3.6984371845346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9578370011440886E-2"/>
                  <c:y val="4.0688986893465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4.0123456790123462E-2"/>
                  <c:y val="-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'Reason-Bar'!$R$5:$R$11</c:f>
              <c:strCache>
                <c:ptCount val="6"/>
                <c:pt idx="0">
                  <c:v>Quantity</c:v>
                </c:pt>
                <c:pt idx="1">
                  <c:v>Schedule</c:v>
                </c:pt>
                <c:pt idx="2">
                  <c:v>Engineering</c:v>
                </c:pt>
                <c:pt idx="3">
                  <c:v>Estimating</c:v>
                </c:pt>
                <c:pt idx="4">
                  <c:v>Support</c:v>
                </c:pt>
                <c:pt idx="5">
                  <c:v>Other</c:v>
                </c:pt>
              </c:strCache>
            </c:strRef>
          </c:cat>
          <c:val>
            <c:numRef>
              <c:f>'Reason-Bar'!$T$5:$T$10</c:f>
              <c:numCache>
                <c:formatCode>_("$"* #,##0.00_);_("$"* \(#,##0.00\);_("$"* "-"??_);_(@_)</c:formatCode>
                <c:ptCount val="6"/>
                <c:pt idx="0">
                  <c:v>-126618.78765674977</c:v>
                </c:pt>
                <c:pt idx="1">
                  <c:v>-2455.5150457910318</c:v>
                </c:pt>
                <c:pt idx="2">
                  <c:v>-4772.27693746979</c:v>
                </c:pt>
                <c:pt idx="3">
                  <c:v>-35519.388107383471</c:v>
                </c:pt>
                <c:pt idx="4">
                  <c:v>-8462.1996477945941</c:v>
                </c:pt>
                <c:pt idx="5">
                  <c:v>-3869.9259250619643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overlap val="100"/>
        <c:axId val="75305344"/>
        <c:axId val="95633792"/>
      </c:barChart>
      <c:scatterChart>
        <c:scatterStyle val="lineMarker"/>
        <c:varyColors val="0"/>
        <c:ser>
          <c:idx val="3"/>
          <c:order val="2"/>
          <c:tx>
            <c:strRef>
              <c:f>'Reason-Bar'!$V$4</c:f>
              <c:strCache>
                <c:ptCount val="1"/>
                <c:pt idx="0">
                  <c:v>Average Increase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7.8745204926307395E-3"/>
                  <c:y val="-3.83264141261188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4871794871794878E-3"/>
                  <c:y val="3.33867521367521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0185746012517679E-3"/>
                  <c:y val="2.54091585907531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9.4017094017094201E-4"/>
                  <c:y val="3.338675213675213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9885927720573477E-3"/>
                  <c:y val="-6.36740569688404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9.5655831482603319E-3"/>
                  <c:y val="4.71073928258968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'Reason-Bar'!$R$5:$R$11</c:f>
              <c:strCache>
                <c:ptCount val="6"/>
                <c:pt idx="0">
                  <c:v>Quantity</c:v>
                </c:pt>
                <c:pt idx="1">
                  <c:v>Schedule</c:v>
                </c:pt>
                <c:pt idx="2">
                  <c:v>Engineering</c:v>
                </c:pt>
                <c:pt idx="3">
                  <c:v>Estimating</c:v>
                </c:pt>
                <c:pt idx="4">
                  <c:v>Support</c:v>
                </c:pt>
                <c:pt idx="5">
                  <c:v>Other</c:v>
                </c:pt>
              </c:strCache>
            </c:strRef>
          </c:xVal>
          <c:yVal>
            <c:numRef>
              <c:f>'Reason-Bar'!$V$5:$V$10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'Reason-Bar'!$U$4</c:f>
              <c:strCache>
                <c:ptCount val="1"/>
                <c:pt idx="0">
                  <c:v>Baseline-Weighted Average Increase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10"/>
            <c:spPr>
              <a:ln>
                <a:noFill/>
              </a:ln>
            </c:spPr>
          </c:marker>
          <c:dLbls>
            <c:dLbl>
              <c:idx val="0"/>
              <c:layout>
                <c:manualLayout>
                  <c:x val="-5.5454606635709034E-3"/>
                  <c:y val="4.008250471094964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9020458981088571E-3"/>
                  <c:y val="-1.39914151356080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1553267380039084E-3"/>
                  <c:y val="-1.9842509169526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610875563630717E-3"/>
                  <c:y val="-5.89447052291539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25344908809476E-3"/>
                  <c:y val="-5.1236834578370009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6.4790699239518339E-3"/>
                  <c:y val="-3.17142598761693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%" sourceLinked="0"/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'Reason-Bar'!$R$5:$R$11</c:f>
              <c:strCache>
                <c:ptCount val="6"/>
                <c:pt idx="0">
                  <c:v>Quantity</c:v>
                </c:pt>
                <c:pt idx="1">
                  <c:v>Schedule</c:v>
                </c:pt>
                <c:pt idx="2">
                  <c:v>Engineering</c:v>
                </c:pt>
                <c:pt idx="3">
                  <c:v>Estimating</c:v>
                </c:pt>
                <c:pt idx="4">
                  <c:v>Support</c:v>
                </c:pt>
                <c:pt idx="5">
                  <c:v>Other</c:v>
                </c:pt>
              </c:strCache>
            </c:strRef>
          </c:xVal>
          <c:yVal>
            <c:numRef>
              <c:f>'Reason-Bar'!$U$5:$U$10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1136"/>
        <c:axId val="97626368"/>
      </c:scatterChart>
      <c:catAx>
        <c:axId val="7530534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1100" b="0"/>
            </a:pPr>
            <a:endParaRPr lang="en-US"/>
          </a:p>
        </c:txPr>
        <c:crossAx val="95633792"/>
        <c:crosses val="autoZero"/>
        <c:auto val="1"/>
        <c:lblAlgn val="ctr"/>
        <c:lblOffset val="100"/>
        <c:noMultiLvlLbl val="0"/>
      </c:catAx>
      <c:valAx>
        <c:axId val="95633792"/>
        <c:scaling>
          <c:orientation val="minMax"/>
          <c:max val="240000"/>
          <c:min val="-12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0" i="0" baseline="0"/>
                  <a:t>Real cost overruns (in 2010 billions)</a:t>
                </a:r>
                <a:endParaRPr lang="en-US" sz="1100" b="0"/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75305344"/>
        <c:crosses val="autoZero"/>
        <c:crossBetween val="between"/>
        <c:majorUnit val="60000"/>
        <c:dispUnits>
          <c:builtInUnit val="thousands"/>
        </c:dispUnits>
      </c:valAx>
      <c:valAx>
        <c:axId val="97626368"/>
        <c:scaling>
          <c:orientation val="minMax"/>
          <c:max val="0.30000000000000032"/>
          <c:min val="-0.1500000000000002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 i="0" baseline="0"/>
                  <a:t>Real cost overruns (in percent)</a:t>
                </a:r>
                <a:endParaRPr lang="en-US" sz="1100" b="0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99291136"/>
        <c:crosses val="max"/>
        <c:crossBetween val="midCat"/>
        <c:majorUnit val="0.15000000000000024"/>
      </c:valAx>
      <c:valAx>
        <c:axId val="992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9762636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90234140301939891"/>
          <c:w val="0.99446607368523288"/>
          <c:h val="9.765859698060235E-2"/>
        </c:manualLayout>
      </c:layout>
      <c:overlay val="0"/>
      <c:txPr>
        <a:bodyPr/>
        <a:lstStyle/>
        <a:p>
          <a:pPr>
            <a:defRPr sz="11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'Time-Cost-Scatter'!$C$3</c:f>
              <c:strCache>
                <c:ptCount val="1"/>
                <c:pt idx="0">
                  <c:v>% Change To Date Adjusted  for Qty
 (Constant $)</c:v>
                </c:pt>
              </c:strCache>
            </c:strRef>
          </c:tx>
          <c:spPr>
            <a:ln w="28575">
              <a:noFill/>
            </a:ln>
          </c:spPr>
          <c:invertIfNegative val="0"/>
          <c:dLbls>
            <c:dLbl>
              <c:idx val="14"/>
              <c:layout/>
              <c:tx>
                <c:strRef>
                  <c:f>'Time-Cost-Scatter'!$A$18</c:f>
                  <c:strCache>
                    <c:ptCount val="1"/>
                    <c:pt idx="0">
                      <c:v>C-130AMP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'Time-Cost-Scatter'!$B$4:$B$95</c:f>
              <c:strCache>
                <c:ptCount val="92"/>
                <c:pt idx="0">
                  <c:v>2006</c:v>
                </c:pt>
                <c:pt idx="1">
                  <c:v>2003</c:v>
                </c:pt>
                <c:pt idx="2">
                  <c:v>2002</c:v>
                </c:pt>
                <c:pt idx="3">
                  <c:v>2003</c:v>
                </c:pt>
                <c:pt idx="4">
                  <c:v>1997</c:v>
                </c:pt>
                <c:pt idx="5">
                  <c:v>2008</c:v>
                </c:pt>
                <c:pt idx="6">
                  <c:v>1992</c:v>
                </c:pt>
                <c:pt idx="7">
                  <c:v>2005</c:v>
                </c:pt>
                <c:pt idx="8">
                  <c:v>2003</c:v>
                </c:pt>
                <c:pt idx="9">
                  <c:v>2010</c:v>
                </c:pt>
                <c:pt idx="10">
                  <c:v>2003</c:v>
                </c:pt>
                <c:pt idx="11">
                  <c:v>2007</c:v>
                </c:pt>
                <c:pt idx="12">
                  <c:v>2008</c:v>
                </c:pt>
                <c:pt idx="13">
                  <c:v>2008</c:v>
                </c:pt>
                <c:pt idx="14">
                  <c:v>2010</c:v>
                </c:pt>
                <c:pt idx="15">
                  <c:v>1996</c:v>
                </c:pt>
                <c:pt idx="16">
                  <c:v>1996</c:v>
                </c:pt>
                <c:pt idx="17">
                  <c:v>2008</c:v>
                </c:pt>
                <c:pt idx="18">
                  <c:v>#N/A</c:v>
                </c:pt>
                <c:pt idx="19">
                  <c:v>2002</c:v>
                </c:pt>
                <c:pt idx="20">
                  <c:v>2005</c:v>
                </c:pt>
                <c:pt idx="21">
                  <c:v>2006</c:v>
                </c:pt>
                <c:pt idx="22">
                  <c:v>2011</c:v>
                </c:pt>
                <c:pt idx="23">
                  <c:v>1994</c:v>
                </c:pt>
                <c:pt idx="24">
                  <c:v>2003</c:v>
                </c:pt>
                <c:pt idx="25">
                  <c:v>2000</c:v>
                </c:pt>
                <c:pt idx="26">
                  <c:v>2000</c:v>
                </c:pt>
                <c:pt idx="27">
                  <c:v>2005</c:v>
                </c:pt>
                <c:pt idx="28">
                  <c:v>1987</c:v>
                </c:pt>
                <c:pt idx="29">
                  <c:v>2007</c:v>
                </c:pt>
                <c:pt idx="30">
                  <c:v>2009</c:v>
                </c:pt>
                <c:pt idx="31">
                  <c:v>2004</c:v>
                </c:pt>
                <c:pt idx="32">
                  <c:v>2007</c:v>
                </c:pt>
                <c:pt idx="33">
                  <c:v>2010</c:v>
                </c:pt>
                <c:pt idx="35">
                  <c:v>2005</c:v>
                </c:pt>
                <c:pt idx="36">
                  <c:v>2007</c:v>
                </c:pt>
                <c:pt idx="37">
                  <c:v>2000</c:v>
                </c:pt>
                <c:pt idx="38">
                  <c:v>2005</c:v>
                </c:pt>
                <c:pt idx="39">
                  <c:v>2002</c:v>
                </c:pt>
                <c:pt idx="40">
                  <c:v>2002</c:v>
                </c:pt>
                <c:pt idx="41">
                  <c:v>2005</c:v>
                </c:pt>
                <c:pt idx="42">
                  <c:v>2003</c:v>
                </c:pt>
                <c:pt idx="43">
                  <c:v>1996</c:v>
                </c:pt>
                <c:pt idx="44">
                  <c:v>1997</c:v>
                </c:pt>
                <c:pt idx="45">
                  <c:v>2003</c:v>
                </c:pt>
                <c:pt idx="46">
                  <c:v>2010</c:v>
                </c:pt>
                <c:pt idx="47">
                  <c:v>2008</c:v>
                </c:pt>
                <c:pt idx="48">
                  <c:v>2003</c:v>
                </c:pt>
                <c:pt idx="49">
                  <c:v>2009</c:v>
                </c:pt>
                <c:pt idx="51">
                  <c:v>1995</c:v>
                </c:pt>
                <c:pt idx="52">
                  <c:v>2007</c:v>
                </c:pt>
                <c:pt idx="53">
                  <c:v>2004</c:v>
                </c:pt>
                <c:pt idx="54">
                  <c:v>1995</c:v>
                </c:pt>
                <c:pt idx="55">
                  <c:v>2008</c:v>
                </c:pt>
                <c:pt idx="56">
                  <c:v>2005</c:v>
                </c:pt>
                <c:pt idx="57">
                  <c:v>2008</c:v>
                </c:pt>
                <c:pt idx="58">
                  <c:v>2008</c:v>
                </c:pt>
                <c:pt idx="59">
                  <c:v>2002</c:v>
                </c:pt>
                <c:pt idx="60">
                  <c:v>2001</c:v>
                </c:pt>
                <c:pt idx="61">
                  <c:v>1990</c:v>
                </c:pt>
                <c:pt idx="62">
                  <c:v>2002</c:v>
                </c:pt>
                <c:pt idx="63">
                  <c:v>2011</c:v>
                </c:pt>
                <c:pt idx="64">
                  <c:v>2002</c:v>
                </c:pt>
                <c:pt idx="65">
                  <c:v>2008</c:v>
                </c:pt>
                <c:pt idx="66">
                  <c:v>2003</c:v>
                </c:pt>
                <c:pt idx="67">
                  <c:v>2006</c:v>
                </c:pt>
                <c:pt idx="68">
                  <c:v>1996</c:v>
                </c:pt>
                <c:pt idx="69">
                  <c:v>1996</c:v>
                </c:pt>
                <c:pt idx="70">
                  <c:v>2006</c:v>
                </c:pt>
                <c:pt idx="71">
                  <c:v>2006</c:v>
                </c:pt>
                <c:pt idx="72">
                  <c:v>1998</c:v>
                </c:pt>
                <c:pt idx="73">
                  <c:v>2003</c:v>
                </c:pt>
                <c:pt idx="74">
                  <c:v>2000</c:v>
                </c:pt>
                <c:pt idx="75">
                  <c:v>2004</c:v>
                </c:pt>
                <c:pt idx="76">
                  <c:v>2005</c:v>
                </c:pt>
                <c:pt idx="77">
                  <c:v>2000</c:v>
                </c:pt>
                <c:pt idx="78">
                  <c:v>2002</c:v>
                </c:pt>
                <c:pt idx="79">
                  <c:v>2002</c:v>
                </c:pt>
                <c:pt idx="80">
                  <c:v>2010</c:v>
                </c:pt>
                <c:pt idx="81">
                  <c:v>#N/A</c:v>
                </c:pt>
                <c:pt idx="82">
                  <c:v>2004</c:v>
                </c:pt>
                <c:pt idx="84">
                  <c:v>2008</c:v>
                </c:pt>
                <c:pt idx="85">
                  <c:v>2006</c:v>
                </c:pt>
                <c:pt idx="86">
                  <c:v>2000</c:v>
                </c:pt>
                <c:pt idx="87">
                  <c:v>1995</c:v>
                </c:pt>
                <c:pt idx="88">
                  <c:v>2007</c:v>
                </c:pt>
                <c:pt idx="89">
                  <c:v>2004</c:v>
                </c:pt>
                <c:pt idx="90">
                  <c:v>1995</c:v>
                </c:pt>
                <c:pt idx="91">
                  <c:v>2004</c:v>
                </c:pt>
              </c:strCache>
            </c:strRef>
          </c:cat>
          <c:val>
            <c:numRef>
              <c:f>'Time-Cost-Scatter'!$D$4:$D$95</c:f>
              <c:numCache>
                <c:formatCode>0.0%</c:formatCode>
                <c:ptCount val="92"/>
                <c:pt idx="0">
                  <c:v>9.2389450339989132E-2</c:v>
                </c:pt>
                <c:pt idx="1">
                  <c:v>-5.2360430656423151E-2</c:v>
                </c:pt>
                <c:pt idx="2">
                  <c:v>2.9391661147386561E-2</c:v>
                </c:pt>
                <c:pt idx="3">
                  <c:v>8.3801935941125727E-3</c:v>
                </c:pt>
                <c:pt idx="4">
                  <c:v>1.2320213006425051E-2</c:v>
                </c:pt>
                <c:pt idx="5">
                  <c:v>-5.1609641091415193E-2</c:v>
                </c:pt>
                <c:pt idx="6">
                  <c:v>1.2538004174882156E-2</c:v>
                </c:pt>
                <c:pt idx="7">
                  <c:v>-0.2052267820980942</c:v>
                </c:pt>
                <c:pt idx="8">
                  <c:v>9.2475524977846391E-3</c:v>
                </c:pt>
                <c:pt idx="9">
                  <c:v>-1.0000000000000009E-3</c:v>
                </c:pt>
                <c:pt idx="10">
                  <c:v>2.9777443873004739E-3</c:v>
                </c:pt>
                <c:pt idx="11">
                  <c:v>-3.8210642760597602E-2</c:v>
                </c:pt>
                <c:pt idx="12">
                  <c:v>-2.6706909359656805E-2</c:v>
                </c:pt>
                <c:pt idx="13">
                  <c:v>4.6635139392105618E-2</c:v>
                </c:pt>
                <c:pt idx="14">
                  <c:v>-5.0263194353298735E-2</c:v>
                </c:pt>
                <c:pt idx="15">
                  <c:v>1.7406980759904656E-2</c:v>
                </c:pt>
                <c:pt idx="16">
                  <c:v>2.7900880784120563E-2</c:v>
                </c:pt>
                <c:pt idx="17">
                  <c:v>-4.7842238222152167E-3</c:v>
                </c:pt>
                <c:pt idx="18">
                  <c:v>#N/A</c:v>
                </c:pt>
                <c:pt idx="19">
                  <c:v>1.1126091664452664E-2</c:v>
                </c:pt>
                <c:pt idx="20">
                  <c:v>1.7741572821694529E-2</c:v>
                </c:pt>
                <c:pt idx="21">
                  <c:v>2.7533706654055301E-2</c:v>
                </c:pt>
                <c:pt idx="22">
                  <c:v>2.8439999999999999</c:v>
                </c:pt>
                <c:pt idx="23">
                  <c:v>3.3257578331690851E-2</c:v>
                </c:pt>
                <c:pt idx="24">
                  <c:v>1.2369940365308585E-2</c:v>
                </c:pt>
                <c:pt idx="25">
                  <c:v>3.5783124290653889E-2</c:v>
                </c:pt>
                <c:pt idx="26">
                  <c:v>-1.5228773807717588E-2</c:v>
                </c:pt>
                <c:pt idx="27">
                  <c:v>1.1455830874759876E-2</c:v>
                </c:pt>
                <c:pt idx="28">
                  <c:v>8.1177389718314341E-3</c:v>
                </c:pt>
                <c:pt idx="29">
                  <c:v>-0.10299999999999998</c:v>
                </c:pt>
                <c:pt idx="30">
                  <c:v>2.3127654683995136E-2</c:v>
                </c:pt>
                <c:pt idx="31">
                  <c:v>3.4578605328483558E-3</c:v>
                </c:pt>
                <c:pt idx="32">
                  <c:v>0.13061049636998479</c:v>
                </c:pt>
                <c:pt idx="33">
                  <c:v>-0.18300000000000005</c:v>
                </c:pt>
                <c:pt idx="34">
                  <c:v>0</c:v>
                </c:pt>
                <c:pt idx="35">
                  <c:v>1.1858812655120232E-2</c:v>
                </c:pt>
                <c:pt idx="36">
                  <c:v>-3.220678837133395E-3</c:v>
                </c:pt>
                <c:pt idx="37">
                  <c:v>4.1537774426925189E-3</c:v>
                </c:pt>
                <c:pt idx="38">
                  <c:v>1.1024955209885778E-2</c:v>
                </c:pt>
                <c:pt idx="39">
                  <c:v>4.8233778704347197E-2</c:v>
                </c:pt>
                <c:pt idx="40">
                  <c:v>2.8385594380325507E-2</c:v>
                </c:pt>
                <c:pt idx="41">
                  <c:v>3.2137879125313296E-2</c:v>
                </c:pt>
                <c:pt idx="42">
                  <c:v>6.3272645810104944E-2</c:v>
                </c:pt>
                <c:pt idx="43">
                  <c:v>1.4145506128465213E-2</c:v>
                </c:pt>
                <c:pt idx="44">
                  <c:v>1.2285152958482648E-2</c:v>
                </c:pt>
                <c:pt idx="45">
                  <c:v>2.5830545874739208E-2</c:v>
                </c:pt>
                <c:pt idx="46">
                  <c:v>-1.613008990009257E-2</c:v>
                </c:pt>
                <c:pt idx="47">
                  <c:v>1.586828478278357E-2</c:v>
                </c:pt>
                <c:pt idx="48">
                  <c:v>-1.53544625547688E-2</c:v>
                </c:pt>
                <c:pt idx="49">
                  <c:v>-4.2442551967853404E-2</c:v>
                </c:pt>
                <c:pt idx="50">
                  <c:v>0</c:v>
                </c:pt>
                <c:pt idx="51">
                  <c:v>2.4891487961109071E-2</c:v>
                </c:pt>
                <c:pt idx="52">
                  <c:v>-3.145307188309876E-2</c:v>
                </c:pt>
                <c:pt idx="53">
                  <c:v>-0.70599999999999996</c:v>
                </c:pt>
                <c:pt idx="54">
                  <c:v>1.4252999329189553E-2</c:v>
                </c:pt>
                <c:pt idx="55">
                  <c:v>-1.9301675802610885E-2</c:v>
                </c:pt>
                <c:pt idx="56">
                  <c:v>-3.5225854052385874E-2</c:v>
                </c:pt>
                <c:pt idx="57">
                  <c:v>8.0367958754792523E-2</c:v>
                </c:pt>
                <c:pt idx="58">
                  <c:v>-6.5643537108072136E-3</c:v>
                </c:pt>
                <c:pt idx="59">
                  <c:v>8.0053697842330518E-3</c:v>
                </c:pt>
                <c:pt idx="60">
                  <c:v>-0.1479436638343683</c:v>
                </c:pt>
                <c:pt idx="61">
                  <c:v>-4.0083474407349717E-3</c:v>
                </c:pt>
                <c:pt idx="62">
                  <c:v>-7.4714443101084882E-2</c:v>
                </c:pt>
                <c:pt idx="63">
                  <c:v>-0.27600000000000002</c:v>
                </c:pt>
                <c:pt idx="64">
                  <c:v>7.7476130572713853E-2</c:v>
                </c:pt>
                <c:pt idx="65">
                  <c:v>4.4032666339381299E-2</c:v>
                </c:pt>
                <c:pt idx="66">
                  <c:v>-0.44336846325725188</c:v>
                </c:pt>
                <c:pt idx="67">
                  <c:v>-1.505656136097322E-3</c:v>
                </c:pt>
                <c:pt idx="68">
                  <c:v>0.34105321171014724</c:v>
                </c:pt>
                <c:pt idx="69">
                  <c:v>3.937315255275875E-2</c:v>
                </c:pt>
                <c:pt idx="70">
                  <c:v>4.2871213152586574E-3</c:v>
                </c:pt>
                <c:pt idx="71">
                  <c:v>2.1329736828713974E-2</c:v>
                </c:pt>
                <c:pt idx="72">
                  <c:v>9.0862206963793213E-3</c:v>
                </c:pt>
                <c:pt idx="73">
                  <c:v>1.5355574555524276E-2</c:v>
                </c:pt>
                <c:pt idx="74">
                  <c:v>0</c:v>
                </c:pt>
                <c:pt idx="75">
                  <c:v>4.914626497678487E-3</c:v>
                </c:pt>
                <c:pt idx="76">
                  <c:v>5.4804935614793937E-3</c:v>
                </c:pt>
                <c:pt idx="77">
                  <c:v>3.0969473870239295E-2</c:v>
                </c:pt>
                <c:pt idx="78">
                  <c:v>4.7951932589223034E-3</c:v>
                </c:pt>
                <c:pt idx="79">
                  <c:v>0.14091242495941247</c:v>
                </c:pt>
                <c:pt idx="80">
                  <c:v>-8.0322585890204579E-3</c:v>
                </c:pt>
                <c:pt idx="81">
                  <c:v>#N/A</c:v>
                </c:pt>
                <c:pt idx="82">
                  <c:v>-1.3857818725293791E-2</c:v>
                </c:pt>
                <c:pt idx="83">
                  <c:v>0</c:v>
                </c:pt>
                <c:pt idx="84">
                  <c:v>1.3955153346532301E-2</c:v>
                </c:pt>
                <c:pt idx="85">
                  <c:v>-1.8417930403104021E-3</c:v>
                </c:pt>
                <c:pt idx="86">
                  <c:v>5.9109290885405397E-2</c:v>
                </c:pt>
                <c:pt idx="87">
                  <c:v>6.1357449081755222E-2</c:v>
                </c:pt>
                <c:pt idx="88">
                  <c:v>2.735679496302601E-2</c:v>
                </c:pt>
                <c:pt idx="89">
                  <c:v>-3.9285961815587189E-3</c:v>
                </c:pt>
                <c:pt idx="90">
                  <c:v>-2.0327220852797145E-3</c:v>
                </c:pt>
                <c:pt idx="91">
                  <c:v>2.4783945667874452E-3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89760"/>
        <c:axId val="101592064"/>
      </c:barChart>
      <c:catAx>
        <c:axId val="10158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of last baseline estimate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01592064"/>
        <c:crosses val="autoZero"/>
        <c:auto val="1"/>
        <c:lblAlgn val="ctr"/>
        <c:lblOffset val="100"/>
        <c:noMultiLvlLbl val="1"/>
      </c:catAx>
      <c:valAx>
        <c:axId val="1015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Real</a:t>
                </a:r>
                <a:r>
                  <a:rPr lang="en-US" baseline="0"/>
                  <a:t> c</a:t>
                </a:r>
                <a:r>
                  <a:rPr lang="en-US"/>
                  <a:t>ompound annual cost growth rate</a:t>
                </a:r>
                <a:br>
                  <a:rPr lang="en-US"/>
                </a:br>
                <a:r>
                  <a:rPr lang="en-US"/>
                  <a:t>(in percent,</a:t>
                </a:r>
                <a:r>
                  <a:rPr lang="en-US" baseline="0"/>
                  <a:t> </a:t>
                </a:r>
                <a:r>
                  <a:rPr lang="en-US"/>
                  <a:t>adjusted for quantity changes)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0.0%" sourceLinked="1"/>
        <c:majorTickMark val="out"/>
        <c:minorTickMark val="none"/>
        <c:tickLblPos val="nextTo"/>
        <c:crossAx val="101589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833" l="0.70000000000000062" r="0.70000000000000062" t="0.750000000000008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'Time-Cost-Scatter'!$F$3</c:f>
              <c:strCache>
                <c:ptCount val="1"/>
                <c:pt idx="0">
                  <c:v>% Change To Date Adjusted  for Qty
 (Then-Year  $)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dLbls>
            <c:dLbl>
              <c:idx val="22"/>
              <c:layout/>
              <c:tx>
                <c:strRef>
                  <c:f>'Time-Cost-Scatter'!$A$26</c:f>
                  <c:strCache>
                    <c:ptCount val="1"/>
                    <c:pt idx="0">
                      <c:v>CHEM DEMIL-ACWA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trendline>
            <c:trendlineType val="linear"/>
            <c:dispRSqr val="0"/>
            <c:dispEq val="0"/>
          </c:trendline>
          <c:xVal>
            <c:strRef>
              <c:f>'Time-Cost-Scatter'!$B$4:$B$95</c:f>
              <c:strCache>
                <c:ptCount val="92"/>
                <c:pt idx="0">
                  <c:v>2006</c:v>
                </c:pt>
                <c:pt idx="1">
                  <c:v>2003</c:v>
                </c:pt>
                <c:pt idx="2">
                  <c:v>2002</c:v>
                </c:pt>
                <c:pt idx="3">
                  <c:v>2003</c:v>
                </c:pt>
                <c:pt idx="4">
                  <c:v>1997</c:v>
                </c:pt>
                <c:pt idx="5">
                  <c:v>2008</c:v>
                </c:pt>
                <c:pt idx="6">
                  <c:v>1992</c:v>
                </c:pt>
                <c:pt idx="7">
                  <c:v>2005</c:v>
                </c:pt>
                <c:pt idx="8">
                  <c:v>2003</c:v>
                </c:pt>
                <c:pt idx="9">
                  <c:v>2010</c:v>
                </c:pt>
                <c:pt idx="10">
                  <c:v>2003</c:v>
                </c:pt>
                <c:pt idx="11">
                  <c:v>2007</c:v>
                </c:pt>
                <c:pt idx="12">
                  <c:v>2008</c:v>
                </c:pt>
                <c:pt idx="13">
                  <c:v>2008</c:v>
                </c:pt>
                <c:pt idx="14">
                  <c:v>2010</c:v>
                </c:pt>
                <c:pt idx="15">
                  <c:v>1996</c:v>
                </c:pt>
                <c:pt idx="16">
                  <c:v>1996</c:v>
                </c:pt>
                <c:pt idx="17">
                  <c:v>2008</c:v>
                </c:pt>
                <c:pt idx="18">
                  <c:v>#N/A</c:v>
                </c:pt>
                <c:pt idx="19">
                  <c:v>2002</c:v>
                </c:pt>
                <c:pt idx="20">
                  <c:v>2005</c:v>
                </c:pt>
                <c:pt idx="21">
                  <c:v>2006</c:v>
                </c:pt>
                <c:pt idx="22">
                  <c:v>2011</c:v>
                </c:pt>
                <c:pt idx="23">
                  <c:v>1994</c:v>
                </c:pt>
                <c:pt idx="24">
                  <c:v>2003</c:v>
                </c:pt>
                <c:pt idx="25">
                  <c:v>2000</c:v>
                </c:pt>
                <c:pt idx="26">
                  <c:v>2000</c:v>
                </c:pt>
                <c:pt idx="27">
                  <c:v>2005</c:v>
                </c:pt>
                <c:pt idx="28">
                  <c:v>1987</c:v>
                </c:pt>
                <c:pt idx="29">
                  <c:v>2007</c:v>
                </c:pt>
                <c:pt idx="30">
                  <c:v>2009</c:v>
                </c:pt>
                <c:pt idx="31">
                  <c:v>2004</c:v>
                </c:pt>
                <c:pt idx="32">
                  <c:v>2007</c:v>
                </c:pt>
                <c:pt idx="33">
                  <c:v>2010</c:v>
                </c:pt>
                <c:pt idx="35">
                  <c:v>2005</c:v>
                </c:pt>
                <c:pt idx="36">
                  <c:v>2007</c:v>
                </c:pt>
                <c:pt idx="37">
                  <c:v>2000</c:v>
                </c:pt>
                <c:pt idx="38">
                  <c:v>2005</c:v>
                </c:pt>
                <c:pt idx="39">
                  <c:v>2002</c:v>
                </c:pt>
                <c:pt idx="40">
                  <c:v>2002</c:v>
                </c:pt>
                <c:pt idx="41">
                  <c:v>2005</c:v>
                </c:pt>
                <c:pt idx="42">
                  <c:v>2003</c:v>
                </c:pt>
                <c:pt idx="43">
                  <c:v>1996</c:v>
                </c:pt>
                <c:pt idx="44">
                  <c:v>1997</c:v>
                </c:pt>
                <c:pt idx="45">
                  <c:v>2003</c:v>
                </c:pt>
                <c:pt idx="46">
                  <c:v>2010</c:v>
                </c:pt>
                <c:pt idx="47">
                  <c:v>2008</c:v>
                </c:pt>
                <c:pt idx="48">
                  <c:v>2003</c:v>
                </c:pt>
                <c:pt idx="49">
                  <c:v>2009</c:v>
                </c:pt>
                <c:pt idx="51">
                  <c:v>1995</c:v>
                </c:pt>
                <c:pt idx="52">
                  <c:v>2007</c:v>
                </c:pt>
                <c:pt idx="53">
                  <c:v>2004</c:v>
                </c:pt>
                <c:pt idx="54">
                  <c:v>1995</c:v>
                </c:pt>
                <c:pt idx="55">
                  <c:v>2008</c:v>
                </c:pt>
                <c:pt idx="56">
                  <c:v>2005</c:v>
                </c:pt>
                <c:pt idx="57">
                  <c:v>2008</c:v>
                </c:pt>
                <c:pt idx="58">
                  <c:v>2008</c:v>
                </c:pt>
                <c:pt idx="59">
                  <c:v>2002</c:v>
                </c:pt>
                <c:pt idx="60">
                  <c:v>2001</c:v>
                </c:pt>
                <c:pt idx="61">
                  <c:v>1990</c:v>
                </c:pt>
                <c:pt idx="62">
                  <c:v>2002</c:v>
                </c:pt>
                <c:pt idx="63">
                  <c:v>2011</c:v>
                </c:pt>
                <c:pt idx="64">
                  <c:v>2002</c:v>
                </c:pt>
                <c:pt idx="65">
                  <c:v>2008</c:v>
                </c:pt>
                <c:pt idx="66">
                  <c:v>2003</c:v>
                </c:pt>
                <c:pt idx="67">
                  <c:v>2006</c:v>
                </c:pt>
                <c:pt idx="68">
                  <c:v>1996</c:v>
                </c:pt>
                <c:pt idx="69">
                  <c:v>1996</c:v>
                </c:pt>
                <c:pt idx="70">
                  <c:v>2006</c:v>
                </c:pt>
                <c:pt idx="71">
                  <c:v>2006</c:v>
                </c:pt>
                <c:pt idx="72">
                  <c:v>1998</c:v>
                </c:pt>
                <c:pt idx="73">
                  <c:v>2003</c:v>
                </c:pt>
                <c:pt idx="74">
                  <c:v>2000</c:v>
                </c:pt>
                <c:pt idx="75">
                  <c:v>2004</c:v>
                </c:pt>
                <c:pt idx="76">
                  <c:v>2005</c:v>
                </c:pt>
                <c:pt idx="77">
                  <c:v>2000</c:v>
                </c:pt>
                <c:pt idx="78">
                  <c:v>2002</c:v>
                </c:pt>
                <c:pt idx="79">
                  <c:v>2002</c:v>
                </c:pt>
                <c:pt idx="80">
                  <c:v>2010</c:v>
                </c:pt>
                <c:pt idx="81">
                  <c:v>#N/A</c:v>
                </c:pt>
                <c:pt idx="82">
                  <c:v>2004</c:v>
                </c:pt>
                <c:pt idx="84">
                  <c:v>2008</c:v>
                </c:pt>
                <c:pt idx="85">
                  <c:v>2006</c:v>
                </c:pt>
                <c:pt idx="86">
                  <c:v>2000</c:v>
                </c:pt>
                <c:pt idx="87">
                  <c:v>1995</c:v>
                </c:pt>
                <c:pt idx="88">
                  <c:v>2007</c:v>
                </c:pt>
                <c:pt idx="89">
                  <c:v>2004</c:v>
                </c:pt>
                <c:pt idx="90">
                  <c:v>1995</c:v>
                </c:pt>
                <c:pt idx="91">
                  <c:v>2004</c:v>
                </c:pt>
              </c:strCache>
            </c:strRef>
          </c:xVal>
          <c:yVal>
            <c:numRef>
              <c:f>'Time-Cost-Scatter'!$F$4:$F$107</c:f>
              <c:numCache>
                <c:formatCode>0.0%</c:formatCode>
                <c:ptCount val="104"/>
                <c:pt idx="0">
                  <c:v>0.377</c:v>
                </c:pt>
                <c:pt idx="1">
                  <c:v>1.2E-2</c:v>
                </c:pt>
                <c:pt idx="2">
                  <c:v>0.39600000000000002</c:v>
                </c:pt>
                <c:pt idx="3">
                  <c:v>7.8E-2</c:v>
                </c:pt>
                <c:pt idx="4">
                  <c:v>0.154</c:v>
                </c:pt>
                <c:pt idx="5">
                  <c:v>-0.183</c:v>
                </c:pt>
                <c:pt idx="6">
                  <c:v>0.46100000000000002</c:v>
                </c:pt>
                <c:pt idx="7">
                  <c:v>-0.56899999999999995</c:v>
                </c:pt>
                <c:pt idx="8">
                  <c:v>0.1</c:v>
                </c:pt>
                <c:pt idx="9">
                  <c:v>0</c:v>
                </c:pt>
                <c:pt idx="10">
                  <c:v>-4.4999999999999998E-2</c:v>
                </c:pt>
                <c:pt idx="11">
                  <c:v>-0.18</c:v>
                </c:pt>
                <c:pt idx="12">
                  <c:v>-9.0999999999999998E-2</c:v>
                </c:pt>
                <c:pt idx="13">
                  <c:v>-1.9</c:v>
                </c:pt>
                <c:pt idx="14">
                  <c:v>-8.5000000000000006E-2</c:v>
                </c:pt>
                <c:pt idx="15">
                  <c:v>0.312</c:v>
                </c:pt>
                <c:pt idx="16">
                  <c:v>0.56399999999999995</c:v>
                </c:pt>
                <c:pt idx="17">
                  <c:v>-3.4000000000000002E-2</c:v>
                </c:pt>
                <c:pt idx="18">
                  <c:v>#N/A</c:v>
                </c:pt>
                <c:pt idx="19">
                  <c:v>0.17399999999999999</c:v>
                </c:pt>
                <c:pt idx="20">
                  <c:v>0.127</c:v>
                </c:pt>
                <c:pt idx="21">
                  <c:v>0.217</c:v>
                </c:pt>
                <c:pt idx="22">
                  <c:v>3.3680000000000003</c:v>
                </c:pt>
                <c:pt idx="23">
                  <c:v>0.93</c:v>
                </c:pt>
                <c:pt idx="24">
                  <c:v>0.17100000000000001</c:v>
                </c:pt>
                <c:pt idx="25">
                  <c:v>0.11</c:v>
                </c:pt>
                <c:pt idx="26">
                  <c:v>-2.7000000000000003E-2</c:v>
                </c:pt>
                <c:pt idx="27">
                  <c:v>0.222</c:v>
                </c:pt>
                <c:pt idx="28">
                  <c:v>0.23600000000000002</c:v>
                </c:pt>
                <c:pt idx="29">
                  <c:v>-0.11199999999999999</c:v>
                </c:pt>
                <c:pt idx="30">
                  <c:v>0.09</c:v>
                </c:pt>
                <c:pt idx="31">
                  <c:v>2.7000000000000003E-2</c:v>
                </c:pt>
                <c:pt idx="32">
                  <c:v>3.395</c:v>
                </c:pt>
                <c:pt idx="33">
                  <c:v>-0.19500000000000001</c:v>
                </c:pt>
                <c:pt idx="34">
                  <c:v>0</c:v>
                </c:pt>
                <c:pt idx="35">
                  <c:v>2.8999999999999998E-2</c:v>
                </c:pt>
                <c:pt idx="36">
                  <c:v>-1.1000000000000001E-2</c:v>
                </c:pt>
                <c:pt idx="37">
                  <c:v>0.05</c:v>
                </c:pt>
                <c:pt idx="38">
                  <c:v>8.3000000000000004E-2</c:v>
                </c:pt>
                <c:pt idx="39">
                  <c:v>0.628</c:v>
                </c:pt>
                <c:pt idx="40">
                  <c:v>0.39899999999999997</c:v>
                </c:pt>
                <c:pt idx="41">
                  <c:v>0.20899999999999999</c:v>
                </c:pt>
                <c:pt idx="42">
                  <c:v>0.72799999999999998</c:v>
                </c:pt>
                <c:pt idx="43">
                  <c:v>-0.06</c:v>
                </c:pt>
                <c:pt idx="44">
                  <c:v>0.218</c:v>
                </c:pt>
                <c:pt idx="45">
                  <c:v>1.054</c:v>
                </c:pt>
                <c:pt idx="46">
                  <c:v>-2.4E-2</c:v>
                </c:pt>
                <c:pt idx="47">
                  <c:v>5.4000000000000006E-2</c:v>
                </c:pt>
                <c:pt idx="48">
                  <c:v>-3.2000000000000001E-2</c:v>
                </c:pt>
                <c:pt idx="49">
                  <c:v>-0.14800000000000002</c:v>
                </c:pt>
                <c:pt idx="50">
                  <c:v>0</c:v>
                </c:pt>
                <c:pt idx="51">
                  <c:v>0.64</c:v>
                </c:pt>
                <c:pt idx="52">
                  <c:v>-0.158</c:v>
                </c:pt>
                <c:pt idx="53">
                  <c:v>-0.71099999999999997</c:v>
                </c:pt>
                <c:pt idx="54">
                  <c:v>0.28000000000000003</c:v>
                </c:pt>
                <c:pt idx="55">
                  <c:v>-4.4000000000000004E-2</c:v>
                </c:pt>
                <c:pt idx="56">
                  <c:v>-0.223</c:v>
                </c:pt>
                <c:pt idx="57">
                  <c:v>0.27399999999999997</c:v>
                </c:pt>
                <c:pt idx="58">
                  <c:v>-3.6000000000000004E-2</c:v>
                </c:pt>
                <c:pt idx="59">
                  <c:v>9.4E-2</c:v>
                </c:pt>
                <c:pt idx="60">
                  <c:v>-0.29299999999999998</c:v>
                </c:pt>
                <c:pt idx="61">
                  <c:v>-1.2E-2</c:v>
                </c:pt>
                <c:pt idx="62">
                  <c:v>-0.252</c:v>
                </c:pt>
                <c:pt idx="63">
                  <c:v>-0.25800000000000001</c:v>
                </c:pt>
                <c:pt idx="64">
                  <c:v>1.179</c:v>
                </c:pt>
                <c:pt idx="65">
                  <c:v>0.129</c:v>
                </c:pt>
                <c:pt idx="66">
                  <c:v>-0.92900000000000005</c:v>
                </c:pt>
                <c:pt idx="67">
                  <c:v>3.9E-2</c:v>
                </c:pt>
                <c:pt idx="68">
                  <c:v>69.7</c:v>
                </c:pt>
                <c:pt idx="69">
                  <c:v>1.0270000000000001</c:v>
                </c:pt>
                <c:pt idx="70">
                  <c:v>-9.0000000000000011E-3</c:v>
                </c:pt>
                <c:pt idx="71">
                  <c:v>0.14000000000000001</c:v>
                </c:pt>
                <c:pt idx="72">
                  <c:v>0.161</c:v>
                </c:pt>
                <c:pt idx="73">
                  <c:v>0.17499999999999999</c:v>
                </c:pt>
                <c:pt idx="74">
                  <c:v>-16.899999999999999</c:v>
                </c:pt>
                <c:pt idx="75">
                  <c:v>3.3000000000000002E-2</c:v>
                </c:pt>
                <c:pt idx="76">
                  <c:v>4.4999999999999998E-2</c:v>
                </c:pt>
                <c:pt idx="77">
                  <c:v>0.28899999999999998</c:v>
                </c:pt>
                <c:pt idx="78">
                  <c:v>7.0000000000000007E-2</c:v>
                </c:pt>
                <c:pt idx="79">
                  <c:v>-54.151000000000003</c:v>
                </c:pt>
                <c:pt idx="80">
                  <c:v>-2E-3</c:v>
                </c:pt>
                <c:pt idx="81">
                  <c:v>#N/A</c:v>
                </c:pt>
                <c:pt idx="82">
                  <c:v>9.0000000000000011E-3</c:v>
                </c:pt>
                <c:pt idx="83">
                  <c:v>0</c:v>
                </c:pt>
                <c:pt idx="84">
                  <c:v>8.6999999999999994E-2</c:v>
                </c:pt>
                <c:pt idx="85">
                  <c:v>0</c:v>
                </c:pt>
                <c:pt idx="86">
                  <c:v>0.95700000000000007</c:v>
                </c:pt>
                <c:pt idx="87">
                  <c:v>1.944</c:v>
                </c:pt>
                <c:pt idx="88">
                  <c:v>0.111</c:v>
                </c:pt>
                <c:pt idx="89">
                  <c:v>-0.02</c:v>
                </c:pt>
                <c:pt idx="90">
                  <c:v>1E-3</c:v>
                </c:pt>
                <c:pt idx="91">
                  <c:v>3.1E-2</c:v>
                </c:pt>
                <c:pt idx="92">
                  <c:v>0.379</c:v>
                </c:pt>
                <c:pt idx="93">
                  <c:v>0.16399999999999998</c:v>
                </c:pt>
                <c:pt idx="94">
                  <c:v>0.41</c:v>
                </c:pt>
                <c:pt idx="95">
                  <c:v>7.0999999999999994E-2</c:v>
                </c:pt>
                <c:pt idx="96">
                  <c:v>0.153</c:v>
                </c:pt>
                <c:pt idx="97">
                  <c:v>3.0000000000000001E-3</c:v>
                </c:pt>
                <c:pt idx="98">
                  <c:v>-2.2000000000000002E-2</c:v>
                </c:pt>
                <c:pt idx="99">
                  <c:v>0.03</c:v>
                </c:pt>
                <c:pt idx="100">
                  <c:v>-0.02</c:v>
                </c:pt>
                <c:pt idx="101">
                  <c:v>2.5000000000000001E-2</c:v>
                </c:pt>
                <c:pt idx="102">
                  <c:v>0.08</c:v>
                </c:pt>
                <c:pt idx="103">
                  <c:v>-0.183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8432"/>
        <c:axId val="111035904"/>
      </c:scatterChart>
      <c:valAx>
        <c:axId val="102098432"/>
        <c:scaling>
          <c:orientation val="minMax"/>
          <c:max val="20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 of last baseline estimate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11035904"/>
        <c:crosses val="autoZero"/>
        <c:crossBetween val="midCat"/>
      </c:valAx>
      <c:valAx>
        <c:axId val="11103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Real</a:t>
                </a:r>
                <a:r>
                  <a:rPr lang="en-US" baseline="0"/>
                  <a:t> </a:t>
                </a:r>
                <a:r>
                  <a:rPr lang="en-US"/>
                  <a:t> cost growth rate</a:t>
                </a:r>
                <a:br>
                  <a:rPr lang="en-US"/>
                </a:br>
                <a:r>
                  <a:rPr lang="en-US"/>
                  <a:t>(in percent,</a:t>
                </a:r>
                <a:r>
                  <a:rPr lang="en-US" baseline="0"/>
                  <a:t> </a:t>
                </a:r>
                <a:r>
                  <a:rPr lang="en-US"/>
                  <a:t>adjusted for quantity changes)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0.0%" sourceLinked="1"/>
        <c:majorTickMark val="out"/>
        <c:minorTickMark val="none"/>
        <c:tickLblPos val="nextTo"/>
        <c:crossAx val="102098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49868766404223"/>
          <c:y val="3.4236001749781281E-2"/>
          <c:w val="0.6869022622172225"/>
          <c:h val="0.69331014873140306"/>
        </c:manualLayout>
      </c:layout>
      <c:scatterChart>
        <c:scatterStyle val="smoothMarker"/>
        <c:varyColors val="0"/>
        <c:ser>
          <c:idx val="3"/>
          <c:order val="7"/>
          <c:tx>
            <c:strRef>
              <c:f>'Service-Scatter'!$G$7</c:f>
              <c:strCache>
                <c:ptCount val="1"/>
                <c:pt idx="0">
                  <c:v>DoD-wide Average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10"/>
            <c:spPr>
              <a:solidFill>
                <a:srgbClr val="7030A0"/>
              </a:solidFill>
            </c:spPr>
          </c:marker>
          <c:xVal>
            <c:numRef>
              <c:f>'Service-Scatter'!$C$7</c:f>
              <c:numCache>
                <c:formatCode>0%</c:formatCode>
                <c:ptCount val="1"/>
                <c:pt idx="0">
                  <c:v>0.44020694529750731</c:v>
                </c:pt>
              </c:numCache>
            </c:numRef>
          </c:xVal>
          <c:yVal>
            <c:numRef>
              <c:f>'Service-Scatter'!$D$7</c:f>
              <c:numCache>
                <c:formatCode>_(* #,##0.00_);_(* \(#,##0.00\);_(* "-"??_);_(@_)</c:formatCode>
                <c:ptCount val="1"/>
                <c:pt idx="0">
                  <c:v>12317.938406658319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7216"/>
        <c:axId val="120139136"/>
      </c:scatterChart>
      <c:scatterChart>
        <c:scatterStyle val="lineMarker"/>
        <c:varyColors val="0"/>
        <c:ser>
          <c:idx val="4"/>
          <c:order val="0"/>
          <c:tx>
            <c:strRef>
              <c:f>'Service-Scatter'!$B$8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strRef>
              <c:f>'Service-Scatter'!$C$8:$C$34</c:f>
              <c:strCache>
                <c:ptCount val="27"/>
                <c:pt idx="0">
                  <c:v>34%</c:v>
                </c:pt>
                <c:pt idx="1">
                  <c:v>28%</c:v>
                </c:pt>
                <c:pt idx="2">
                  <c:v>0%</c:v>
                </c:pt>
                <c:pt idx="3">
                  <c:v>-18%</c:v>
                </c:pt>
                <c:pt idx="4">
                  <c:v>-8%</c:v>
                </c:pt>
                <c:pt idx="5">
                  <c:v>-10%</c:v>
                </c:pt>
                <c:pt idx="6">
                  <c:v>32%</c:v>
                </c:pt>
                <c:pt idx="7">
                  <c:v>47%</c:v>
                </c:pt>
                <c:pt idx="8">
                  <c:v>-2%</c:v>
                </c:pt>
                <c:pt idx="9">
                  <c:v>20%</c:v>
                </c:pt>
                <c:pt idx="10">
                  <c:v>7%</c:v>
                </c:pt>
                <c:pt idx="11">
                  <c:v>32%</c:v>
                </c:pt>
                <c:pt idx="12">
                  <c:v>20%</c:v>
                </c:pt>
                <c:pt idx="13">
                  <c:v>-3%</c:v>
                </c:pt>
                <c:pt idx="14">
                  <c:v>45%</c:v>
                </c:pt>
                <c:pt idx="15">
                  <c:v>27%</c:v>
                </c:pt>
                <c:pt idx="16">
                  <c:v>8%</c:v>
                </c:pt>
                <c:pt idx="17">
                  <c:v>14%</c:v>
                </c:pt>
                <c:pt idx="18">
                  <c:v>-2000%</c:v>
                </c:pt>
                <c:pt idx="19">
                  <c:v>4%</c:v>
                </c:pt>
                <c:pt idx="20">
                  <c:v>24%</c:v>
                </c:pt>
                <c:pt idx="21">
                  <c:v>274%</c:v>
                </c:pt>
                <c:pt idx="23">
                  <c:v>6%</c:v>
                </c:pt>
                <c:pt idx="24">
                  <c:v>99%</c:v>
                </c:pt>
                <c:pt idx="25">
                  <c:v>3%</c:v>
                </c:pt>
                <c:pt idx="26">
                  <c:v>-3%</c:v>
                </c:pt>
              </c:strCache>
            </c:strRef>
          </c:xVal>
          <c:yVal>
            <c:numRef>
              <c:f>'Service-Scatter'!$D$8:$D$34</c:f>
              <c:numCache>
                <c:formatCode>_(* #,##0.00_);_(* \(#,##0.00\);_(* "-"??_);_(@_)</c:formatCode>
                <c:ptCount val="27"/>
                <c:pt idx="0">
                  <c:v>2409.1906056860321</c:v>
                </c:pt>
                <c:pt idx="1">
                  <c:v>5173.8097081596197</c:v>
                </c:pt>
                <c:pt idx="2">
                  <c:v>-0.55440254803246691</c:v>
                </c:pt>
                <c:pt idx="3">
                  <c:v>-125.29981757699325</c:v>
                </c:pt>
                <c:pt idx="4">
                  <c:v>-108.37197104793874</c:v>
                </c:pt>
                <c:pt idx="5">
                  <c:v>-597.10222952840854</c:v>
                </c:pt>
                <c:pt idx="6">
                  <c:v>318.43579553241062</c:v>
                </c:pt>
                <c:pt idx="7">
                  <c:v>26569.717692202274</c:v>
                </c:pt>
                <c:pt idx="8">
                  <c:v>-142.43721808454842</c:v>
                </c:pt>
                <c:pt idx="9">
                  <c:v>195.4146125787554</c:v>
                </c:pt>
                <c:pt idx="10">
                  <c:v>4997.319766777181</c:v>
                </c:pt>
                <c:pt idx="11">
                  <c:v>1054.960321384425</c:v>
                </c:pt>
                <c:pt idx="12">
                  <c:v>122.09850625756965</c:v>
                </c:pt>
                <c:pt idx="13">
                  <c:v>-136.20959621904859</c:v>
                </c:pt>
                <c:pt idx="14">
                  <c:v>2502.1852213996372</c:v>
                </c:pt>
                <c:pt idx="15">
                  <c:v>873.97904735298243</c:v>
                </c:pt>
                <c:pt idx="16">
                  <c:v>464.65636588380715</c:v>
                </c:pt>
                <c:pt idx="17">
                  <c:v>55.530053498374073</c:v>
                </c:pt>
                <c:pt idx="18">
                  <c:v>-37276.234567901229</c:v>
                </c:pt>
                <c:pt idx="19">
                  <c:v>61.226477649479818</c:v>
                </c:pt>
                <c:pt idx="20">
                  <c:v>1779.3070987654319</c:v>
                </c:pt>
                <c:pt idx="21">
                  <c:v>18736.101359703338</c:v>
                </c:pt>
                <c:pt idx="22">
                  <c:v>0</c:v>
                </c:pt>
                <c:pt idx="23">
                  <c:v>642.84495961397249</c:v>
                </c:pt>
                <c:pt idx="24">
                  <c:v>5549.7654320987658</c:v>
                </c:pt>
                <c:pt idx="25">
                  <c:v>518.88726823238574</c:v>
                </c:pt>
                <c:pt idx="26">
                  <c:v>-92.741189766772834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'Service-Scatter'!$B$35</c:f>
              <c:strCache>
                <c:ptCount val="1"/>
                <c:pt idx="0">
                  <c:v>Army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strRef>
              <c:f>'Service-Scatter'!$C$35:$C$63</c:f>
              <c:strCache>
                <c:ptCount val="29"/>
                <c:pt idx="0">
                  <c:v>42%</c:v>
                </c:pt>
                <c:pt idx="1">
                  <c:v>-15%</c:v>
                </c:pt>
                <c:pt idx="2">
                  <c:v>-60%</c:v>
                </c:pt>
                <c:pt idx="3">
                  <c:v>3%</c:v>
                </c:pt>
                <c:pt idx="4">
                  <c:v>2%</c:v>
                </c:pt>
                <c:pt idx="5">
                  <c:v>13%</c:v>
                </c:pt>
                <c:pt idx="6">
                  <c:v>15%</c:v>
                </c:pt>
                <c:pt idx="7">
                  <c:v>-18%</c:v>
                </c:pt>
                <c:pt idx="9">
                  <c:v>-2%</c:v>
                </c:pt>
                <c:pt idx="10">
                  <c:v>21%</c:v>
                </c:pt>
                <c:pt idx="11">
                  <c:v>45%</c:v>
                </c:pt>
                <c:pt idx="12">
                  <c:v>25%</c:v>
                </c:pt>
                <c:pt idx="13">
                  <c:v>26%</c:v>
                </c:pt>
                <c:pt idx="14">
                  <c:v>-13%</c:v>
                </c:pt>
                <c:pt idx="15">
                  <c:v>-12%</c:v>
                </c:pt>
                <c:pt idx="16">
                  <c:v>-12%</c:v>
                </c:pt>
                <c:pt idx="17">
                  <c:v>-71%</c:v>
                </c:pt>
                <c:pt idx="18">
                  <c:v>-22%</c:v>
                </c:pt>
                <c:pt idx="19">
                  <c:v>-90%</c:v>
                </c:pt>
                <c:pt idx="20">
                  <c:v>8060%</c:v>
                </c:pt>
                <c:pt idx="21">
                  <c:v>3%</c:v>
                </c:pt>
                <c:pt idx="22">
                  <c:v>#N/A</c:v>
                </c:pt>
                <c:pt idx="23">
                  <c:v>-4%</c:v>
                </c:pt>
                <c:pt idx="24">
                  <c:v>2%</c:v>
                </c:pt>
                <c:pt idx="25">
                  <c:v>13%</c:v>
                </c:pt>
                <c:pt idx="26">
                  <c:v>2%</c:v>
                </c:pt>
                <c:pt idx="27">
                  <c:v>6%</c:v>
                </c:pt>
                <c:pt idx="28">
                  <c:v>-20%</c:v>
                </c:pt>
              </c:strCache>
            </c:strRef>
          </c:xVal>
          <c:yVal>
            <c:numRef>
              <c:f>'Service-Scatter'!$D$35:$D$63</c:f>
              <c:numCache>
                <c:formatCode>_(* #,##0.00_);_(* \(#,##0.00\);_(* "-"??_);_(@_)</c:formatCode>
                <c:ptCount val="29"/>
                <c:pt idx="0">
                  <c:v>3071.1528683541505</c:v>
                </c:pt>
                <c:pt idx="1">
                  <c:v>-695.83847923477413</c:v>
                </c:pt>
                <c:pt idx="2">
                  <c:v>-2163.7236766891506</c:v>
                </c:pt>
                <c:pt idx="3">
                  <c:v>62.309238406586744</c:v>
                </c:pt>
                <c:pt idx="4">
                  <c:v>60.930621140573919</c:v>
                </c:pt>
                <c:pt idx="5">
                  <c:v>1589.7322510575052</c:v>
                </c:pt>
                <c:pt idx="6">
                  <c:v>7366.7066615226322</c:v>
                </c:pt>
                <c:pt idx="7">
                  <c:v>-592.16942361039764</c:v>
                </c:pt>
                <c:pt idx="8">
                  <c:v>0</c:v>
                </c:pt>
                <c:pt idx="9">
                  <c:v>-28.408198304539113</c:v>
                </c:pt>
                <c:pt idx="10">
                  <c:v>377.49982851263286</c:v>
                </c:pt>
                <c:pt idx="11">
                  <c:v>41919.118537353184</c:v>
                </c:pt>
                <c:pt idx="12">
                  <c:v>4004.0268603535706</c:v>
                </c:pt>
                <c:pt idx="13">
                  <c:v>3055.202324736651</c:v>
                </c:pt>
                <c:pt idx="14">
                  <c:v>-584.22084998183789</c:v>
                </c:pt>
                <c:pt idx="15">
                  <c:v>-613.35942028985517</c:v>
                </c:pt>
                <c:pt idx="16">
                  <c:v>-468.10172765318168</c:v>
                </c:pt>
                <c:pt idx="17">
                  <c:v>-5643.166096092551</c:v>
                </c:pt>
                <c:pt idx="18">
                  <c:v>-1484.7376243283411</c:v>
                </c:pt>
                <c:pt idx="19">
                  <c:v>-2683.3224361302823</c:v>
                </c:pt>
                <c:pt idx="20">
                  <c:v>628562.91626695904</c:v>
                </c:pt>
                <c:pt idx="21">
                  <c:v>47.082789875096722</c:v>
                </c:pt>
                <c:pt idx="22">
                  <c:v>#N/A</c:v>
                </c:pt>
                <c:pt idx="23">
                  <c:v>-1101.1774288749853</c:v>
                </c:pt>
                <c:pt idx="24">
                  <c:v>195.41730610317555</c:v>
                </c:pt>
                <c:pt idx="25">
                  <c:v>2439.4831370755687</c:v>
                </c:pt>
                <c:pt idx="26">
                  <c:v>85.586436312909129</c:v>
                </c:pt>
                <c:pt idx="27">
                  <c:v>298.50200349327031</c:v>
                </c:pt>
                <c:pt idx="28">
                  <c:v>-3191.0357142857142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'Service-Scatter'!$B$74</c:f>
              <c:strCache>
                <c:ptCount val="1"/>
                <c:pt idx="0">
                  <c:v>Navy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'Service-Scatter'!$C$74:$C$111</c:f>
              <c:strCache>
                <c:ptCount val="38"/>
                <c:pt idx="0">
                  <c:v>8%</c:v>
                </c:pt>
                <c:pt idx="1">
                  <c:v>19%</c:v>
                </c:pt>
                <c:pt idx="2">
                  <c:v>20%</c:v>
                </c:pt>
                <c:pt idx="3">
                  <c:v>12%</c:v>
                </c:pt>
                <c:pt idx="4">
                  <c:v>18%</c:v>
                </c:pt>
                <c:pt idx="5">
                  <c:v>12%</c:v>
                </c:pt>
                <c:pt idx="6">
                  <c:v>-13%</c:v>
                </c:pt>
                <c:pt idx="7">
                  <c:v>8%</c:v>
                </c:pt>
                <c:pt idx="8">
                  <c:v>22%</c:v>
                </c:pt>
                <c:pt idx="9">
                  <c:v>7%</c:v>
                </c:pt>
                <c:pt idx="10">
                  <c:v>3%</c:v>
                </c:pt>
                <c:pt idx="11">
                  <c:v>63%</c:v>
                </c:pt>
                <c:pt idx="12">
                  <c:v>4%</c:v>
                </c:pt>
                <c:pt idx="13">
                  <c:v>5%</c:v>
                </c:pt>
                <c:pt idx="14">
                  <c:v>7%</c:v>
                </c:pt>
                <c:pt idx="16">
                  <c:v>-8%</c:v>
                </c:pt>
                <c:pt idx="17">
                  <c:v>26%</c:v>
                </c:pt>
                <c:pt idx="18">
                  <c:v>-3%</c:v>
                </c:pt>
                <c:pt idx="19">
                  <c:v>-7%</c:v>
                </c:pt>
                <c:pt idx="20">
                  <c:v>-1%</c:v>
                </c:pt>
                <c:pt idx="21">
                  <c:v>86%</c:v>
                </c:pt>
                <c:pt idx="22">
                  <c:v>14%</c:v>
                </c:pt>
                <c:pt idx="23">
                  <c:v>14%</c:v>
                </c:pt>
                <c:pt idx="24">
                  <c:v>4%</c:v>
                </c:pt>
                <c:pt idx="25">
                  <c:v>5%</c:v>
                </c:pt>
                <c:pt idx="26">
                  <c:v>-2%</c:v>
                </c:pt>
                <c:pt idx="27">
                  <c:v>-1%</c:v>
                </c:pt>
                <c:pt idx="28">
                  <c:v>175%</c:v>
                </c:pt>
                <c:pt idx="29">
                  <c:v>11%</c:v>
                </c:pt>
                <c:pt idx="30">
                  <c:v>-3%</c:v>
                </c:pt>
                <c:pt idx="31">
                  <c:v>-3%</c:v>
                </c:pt>
                <c:pt idx="32">
                  <c:v>32%</c:v>
                </c:pt>
                <c:pt idx="33">
                  <c:v>8%</c:v>
                </c:pt>
                <c:pt idx="34">
                  <c:v>21%</c:v>
                </c:pt>
                <c:pt idx="35">
                  <c:v>-1%</c:v>
                </c:pt>
                <c:pt idx="36">
                  <c:v>-3%</c:v>
                </c:pt>
                <c:pt idx="37">
                  <c:v>-1%</c:v>
                </c:pt>
              </c:strCache>
            </c:strRef>
          </c:xVal>
          <c:yVal>
            <c:numRef>
              <c:f>'Service-Scatter'!$D$74:$D$111</c:f>
              <c:numCache>
                <c:formatCode>_(* #,##0.00_);_(* \(#,##0.00\);_(* "-"??_);_(@_)</c:formatCode>
                <c:ptCount val="38"/>
                <c:pt idx="0">
                  <c:v>144.35524881946967</c:v>
                </c:pt>
                <c:pt idx="1">
                  <c:v>620.06190283945637</c:v>
                </c:pt>
                <c:pt idx="2">
                  <c:v>2564.6700933599077</c:v>
                </c:pt>
                <c:pt idx="3">
                  <c:v>596.32398022249686</c:v>
                </c:pt>
                <c:pt idx="4">
                  <c:v>2930.9376588924506</c:v>
                </c:pt>
                <c:pt idx="5">
                  <c:v>193.37086814384307</c:v>
                </c:pt>
                <c:pt idx="6">
                  <c:v>-4761.3873456790125</c:v>
                </c:pt>
                <c:pt idx="7">
                  <c:v>2993.5700240082319</c:v>
                </c:pt>
                <c:pt idx="8">
                  <c:v>6693.0363059569963</c:v>
                </c:pt>
                <c:pt idx="9">
                  <c:v>1283.9240165631468</c:v>
                </c:pt>
                <c:pt idx="10">
                  <c:v>248.92267736985008</c:v>
                </c:pt>
                <c:pt idx="11">
                  <c:v>5778.1830668526682</c:v>
                </c:pt>
                <c:pt idx="12">
                  <c:v>51.145764262032699</c:v>
                </c:pt>
                <c:pt idx="13">
                  <c:v>2550.3082561728388</c:v>
                </c:pt>
                <c:pt idx="14">
                  <c:v>763.89489142977027</c:v>
                </c:pt>
                <c:pt idx="15">
                  <c:v>0</c:v>
                </c:pt>
                <c:pt idx="16">
                  <c:v>-272.2123151159131</c:v>
                </c:pt>
                <c:pt idx="17">
                  <c:v>6026.9836357914619</c:v>
                </c:pt>
                <c:pt idx="18">
                  <c:v>-26.270009440889545</c:v>
                </c:pt>
                <c:pt idx="19">
                  <c:v>-580.1658474710639</c:v>
                </c:pt>
                <c:pt idx="20">
                  <c:v>-28.624516414280983</c:v>
                </c:pt>
                <c:pt idx="21">
                  <c:v>10566.637659312046</c:v>
                </c:pt>
                <c:pt idx="22">
                  <c:v>1585.7687631258982</c:v>
                </c:pt>
                <c:pt idx="23">
                  <c:v>945.46644518272444</c:v>
                </c:pt>
                <c:pt idx="24">
                  <c:v>272.40703576909453</c:v>
                </c:pt>
                <c:pt idx="25">
                  <c:v>91.937082818294201</c:v>
                </c:pt>
                <c:pt idx="26">
                  <c:v>-531.73163464502215</c:v>
                </c:pt>
                <c:pt idx="27">
                  <c:v>-15.55830662097933</c:v>
                </c:pt>
                <c:pt idx="28">
                  <c:v>9004.7269171672015</c:v>
                </c:pt>
                <c:pt idx="29">
                  <c:v>99.14905032728835</c:v>
                </c:pt>
                <c:pt idx="30">
                  <c:v>-193.26419549049703</c:v>
                </c:pt>
                <c:pt idx="31">
                  <c:v>-3056.3240676072078</c:v>
                </c:pt>
                <c:pt idx="32">
                  <c:v>1249.4898360655739</c:v>
                </c:pt>
                <c:pt idx="33">
                  <c:v>438.53909465020575</c:v>
                </c:pt>
                <c:pt idx="34">
                  <c:v>10896.242021803764</c:v>
                </c:pt>
                <c:pt idx="35">
                  <c:v>-402.1410769406653</c:v>
                </c:pt>
                <c:pt idx="36">
                  <c:v>-225.89756629131858</c:v>
                </c:pt>
                <c:pt idx="37">
                  <c:v>-20.925389631922187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'Service-Scatter'!$B$64</c:f>
              <c:strCache>
                <c:ptCount val="1"/>
                <c:pt idx="0">
                  <c:v>DoD-wide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'Service-Scatter'!$C$64:$C$73</c:f>
              <c:numCache>
                <c:formatCode>0%</c:formatCode>
                <c:ptCount val="10"/>
                <c:pt idx="0">
                  <c:v>-0.191</c:v>
                </c:pt>
                <c:pt idx="1">
                  <c:v>2.8439999999999999</c:v>
                </c:pt>
                <c:pt idx="2">
                  <c:v>0.80200000000000005</c:v>
                </c:pt>
                <c:pt idx="3">
                  <c:v>-0.10300000000000001</c:v>
                </c:pt>
                <c:pt idx="4">
                  <c:v>0.52800000000000002</c:v>
                </c:pt>
                <c:pt idx="5">
                  <c:v>-0.27399999999999997</c:v>
                </c:pt>
                <c:pt idx="6">
                  <c:v>-0.54</c:v>
                </c:pt>
                <c:pt idx="7">
                  <c:v>-0.27600000000000002</c:v>
                </c:pt>
                <c:pt idx="8">
                  <c:v>1.109</c:v>
                </c:pt>
                <c:pt idx="9">
                  <c:v>0.14699999999999999</c:v>
                </c:pt>
              </c:numCache>
            </c:numRef>
          </c:xVal>
          <c:yVal>
            <c:numRef>
              <c:f>'Service-Scatter'!$D$64:$D$73</c:f>
              <c:numCache>
                <c:formatCode>_(* #,##0.00_);_(* \(#,##0.00\);_(* "-"??_);_(@_)</c:formatCode>
                <c:ptCount val="10"/>
                <c:pt idx="0">
                  <c:v>-1554.4871499003461</c:v>
                </c:pt>
                <c:pt idx="1">
                  <c:v>7486.4414478353447</c:v>
                </c:pt>
                <c:pt idx="2">
                  <c:v>13172.59258202568</c:v>
                </c:pt>
                <c:pt idx="3">
                  <c:v>-104.72421933683873</c:v>
                </c:pt>
                <c:pt idx="4">
                  <c:v>115585.66131025959</c:v>
                </c:pt>
                <c:pt idx="5">
                  <c:v>-441.20919713531839</c:v>
                </c:pt>
                <c:pt idx="6">
                  <c:v>-9636.6971569839297</c:v>
                </c:pt>
                <c:pt idx="7">
                  <c:v>-2767.3316435161723</c:v>
                </c:pt>
                <c:pt idx="8">
                  <c:v>1114.3462299134733</c:v>
                </c:pt>
                <c:pt idx="9">
                  <c:v>324.7918634217217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'Service-Scatter'!$G$6</c:f>
              <c:strCache>
                <c:ptCount val="1"/>
                <c:pt idx="0">
                  <c:v>Air Force Average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'Service-Scatter'!$C$6</c:f>
              <c:numCache>
                <c:formatCode>0%</c:formatCode>
                <c:ptCount val="1"/>
                <c:pt idx="0">
                  <c:v>0</c:v>
                </c:pt>
              </c:numCache>
            </c:numRef>
          </c:xVal>
          <c:yVal>
            <c:numRef>
              <c:f>'Service-Scatter'!$D$6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'Service-Scatter'!$G$4</c:f>
              <c:strCache>
                <c:ptCount val="1"/>
                <c:pt idx="0">
                  <c:v>Army 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9BBB59">
                  <a:lumMod val="75000"/>
                </a:srgbClr>
              </a:solidFill>
              <a:ln>
                <a:noFill/>
              </a:ln>
            </c:spPr>
          </c:marker>
          <c:xVal>
            <c:numRef>
              <c:f>'Service-Scatter'!$C$4</c:f>
              <c:numCache>
                <c:formatCode>0%</c:formatCode>
                <c:ptCount val="1"/>
                <c:pt idx="0">
                  <c:v>0</c:v>
                </c:pt>
              </c:numCache>
            </c:numRef>
          </c:xVal>
          <c:yVal>
            <c:numRef>
              <c:f>'Service-Scatter'!$D$4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6"/>
          <c:tx>
            <c:strRef>
              <c:f>'Service-Scatter'!$G$5</c:f>
              <c:strCache>
                <c:ptCount val="1"/>
                <c:pt idx="0">
                  <c:v>Navy Average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'Service-Scatter'!$C$5</c:f>
              <c:numCache>
                <c:formatCode>0%</c:formatCode>
                <c:ptCount val="1"/>
                <c:pt idx="0">
                  <c:v>0</c:v>
                </c:pt>
              </c:numCache>
            </c:numRef>
          </c:xVal>
          <c:yVal>
            <c:numRef>
              <c:f>'Service-Scatter'!$D$5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v>Highlight Box</c:v>
          </c:tx>
          <c:spPr>
            <a:ln w="22225">
              <a:solidFill>
                <a:srgbClr val="4F81BD"/>
              </a:solidFill>
              <a:prstDash val="dash"/>
            </a:ln>
          </c:spPr>
          <c:marker>
            <c:symbol val="none"/>
          </c:marker>
          <c:xVal>
            <c:numRef>
              <c:f>'Service-Scatter'!$H$32:$H$36</c:f>
              <c:numCache>
                <c:formatCode>0%</c:formatCode>
                <c:ptCount val="5"/>
                <c:pt idx="0">
                  <c:v>-0.25</c:v>
                </c:pt>
                <c:pt idx="1">
                  <c:v>0.5</c:v>
                </c:pt>
                <c:pt idx="2">
                  <c:v>0.5</c:v>
                </c:pt>
                <c:pt idx="3">
                  <c:v>-0.25</c:v>
                </c:pt>
                <c:pt idx="4">
                  <c:v>-0.25</c:v>
                </c:pt>
              </c:numCache>
            </c:numRef>
          </c:xVal>
          <c:yVal>
            <c:numRef>
              <c:f>'Service-Scatter'!$I$32:$I$36</c:f>
              <c:numCache>
                <c:formatCode>General</c:formatCode>
                <c:ptCount val="5"/>
                <c:pt idx="0">
                  <c:v>-2000</c:v>
                </c:pt>
                <c:pt idx="1">
                  <c:v>-2000</c:v>
                </c:pt>
                <c:pt idx="2">
                  <c:v>10000</c:v>
                </c:pt>
                <c:pt idx="3">
                  <c:v>10000</c:v>
                </c:pt>
                <c:pt idx="4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7216"/>
        <c:axId val="120139136"/>
      </c:scatterChart>
      <c:valAx>
        <c:axId val="12013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/>
                  <a:t>Real cost overruns </a:t>
                </a:r>
                <a:br>
                  <a:rPr lang="en-US" sz="1100" b="0" i="0" baseline="0"/>
                </a:br>
                <a:r>
                  <a:rPr lang="en-US" sz="1100" b="0" i="0" baseline="0"/>
                  <a:t>(in percent, quantity adjusted, 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/>
                  <a:t>service averages are unweighted)</a:t>
                </a:r>
                <a:endParaRPr lang="en-US" sz="1100" b="0"/>
              </a:p>
            </c:rich>
          </c:tx>
          <c:layout>
            <c:manualLayout>
              <c:xMode val="edge"/>
              <c:yMode val="edge"/>
              <c:x val="0.22344894388201508"/>
              <c:y val="0.82868875765529393"/>
            </c:manualLayout>
          </c:layout>
          <c:overlay val="0"/>
        </c:title>
        <c:numFmt formatCode="0%" sourceLinked="1"/>
        <c:majorTickMark val="out"/>
        <c:minorTickMark val="out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20139136"/>
        <c:crosses val="autoZero"/>
        <c:crossBetween val="midCat"/>
        <c:minorUnit val="0.5"/>
      </c:valAx>
      <c:valAx>
        <c:axId val="12013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0" i="0" baseline="0"/>
                  <a:t>Real cost overruns </a:t>
                </a:r>
                <a:br>
                  <a:rPr lang="en-US" sz="1100" b="0" i="0" baseline="0"/>
                </a:br>
                <a:r>
                  <a:rPr lang="en-US" sz="1100" b="0" i="0" baseline="0"/>
                  <a:t>(in 2010 billions, quantity adjusted)</a:t>
                </a:r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out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120137216"/>
        <c:crosses val="autoZero"/>
        <c:crossBetween val="midCat"/>
        <c:minorUnit val="5000"/>
        <c:dispUnits>
          <c:builtInUnit val="thousands"/>
        </c:dispUnits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788" l="0.70000000000000062" r="0.70000000000000062" t="0.75000000000000788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2340332458472"/>
          <c:y val="3.4236001749781281E-2"/>
          <c:w val="0.80916404199475056"/>
          <c:h val="0.7024768153980809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'Service-Scatter'!$B$8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strRef>
              <c:f>'Service-Scatter'!$C$8:$C$34</c:f>
              <c:strCache>
                <c:ptCount val="27"/>
                <c:pt idx="0">
                  <c:v>34%</c:v>
                </c:pt>
                <c:pt idx="1">
                  <c:v>28%</c:v>
                </c:pt>
                <c:pt idx="2">
                  <c:v>0%</c:v>
                </c:pt>
                <c:pt idx="3">
                  <c:v>-18%</c:v>
                </c:pt>
                <c:pt idx="4">
                  <c:v>-8%</c:v>
                </c:pt>
                <c:pt idx="5">
                  <c:v>-10%</c:v>
                </c:pt>
                <c:pt idx="6">
                  <c:v>32%</c:v>
                </c:pt>
                <c:pt idx="7">
                  <c:v>47%</c:v>
                </c:pt>
                <c:pt idx="8">
                  <c:v>-2%</c:v>
                </c:pt>
                <c:pt idx="9">
                  <c:v>20%</c:v>
                </c:pt>
                <c:pt idx="10">
                  <c:v>7%</c:v>
                </c:pt>
                <c:pt idx="11">
                  <c:v>32%</c:v>
                </c:pt>
                <c:pt idx="12">
                  <c:v>20%</c:v>
                </c:pt>
                <c:pt idx="13">
                  <c:v>-3%</c:v>
                </c:pt>
                <c:pt idx="14">
                  <c:v>45%</c:v>
                </c:pt>
                <c:pt idx="15">
                  <c:v>27%</c:v>
                </c:pt>
                <c:pt idx="16">
                  <c:v>8%</c:v>
                </c:pt>
                <c:pt idx="17">
                  <c:v>14%</c:v>
                </c:pt>
                <c:pt idx="18">
                  <c:v>-2000%</c:v>
                </c:pt>
                <c:pt idx="19">
                  <c:v>4%</c:v>
                </c:pt>
                <c:pt idx="20">
                  <c:v>24%</c:v>
                </c:pt>
                <c:pt idx="21">
                  <c:v>274%</c:v>
                </c:pt>
                <c:pt idx="23">
                  <c:v>6%</c:v>
                </c:pt>
                <c:pt idx="24">
                  <c:v>99%</c:v>
                </c:pt>
                <c:pt idx="25">
                  <c:v>3%</c:v>
                </c:pt>
                <c:pt idx="26">
                  <c:v>-3%</c:v>
                </c:pt>
              </c:strCache>
            </c:strRef>
          </c:xVal>
          <c:yVal>
            <c:numRef>
              <c:f>'Service-Scatter'!$D$8:$D$34</c:f>
              <c:numCache>
                <c:formatCode>_(* #,##0.00_);_(* \(#,##0.00\);_(* "-"??_);_(@_)</c:formatCode>
                <c:ptCount val="27"/>
                <c:pt idx="0">
                  <c:v>2409.1906056860321</c:v>
                </c:pt>
                <c:pt idx="1">
                  <c:v>5173.8097081596197</c:v>
                </c:pt>
                <c:pt idx="2">
                  <c:v>-0.55440254803246691</c:v>
                </c:pt>
                <c:pt idx="3">
                  <c:v>-125.29981757699325</c:v>
                </c:pt>
                <c:pt idx="4">
                  <c:v>-108.37197104793874</c:v>
                </c:pt>
                <c:pt idx="5">
                  <c:v>-597.10222952840854</c:v>
                </c:pt>
                <c:pt idx="6">
                  <c:v>318.43579553241062</c:v>
                </c:pt>
                <c:pt idx="7">
                  <c:v>26569.717692202274</c:v>
                </c:pt>
                <c:pt idx="8">
                  <c:v>-142.43721808454842</c:v>
                </c:pt>
                <c:pt idx="9">
                  <c:v>195.4146125787554</c:v>
                </c:pt>
                <c:pt idx="10">
                  <c:v>4997.319766777181</c:v>
                </c:pt>
                <c:pt idx="11">
                  <c:v>1054.960321384425</c:v>
                </c:pt>
                <c:pt idx="12">
                  <c:v>122.09850625756965</c:v>
                </c:pt>
                <c:pt idx="13">
                  <c:v>-136.20959621904859</c:v>
                </c:pt>
                <c:pt idx="14">
                  <c:v>2502.1852213996372</c:v>
                </c:pt>
                <c:pt idx="15">
                  <c:v>873.97904735298243</c:v>
                </c:pt>
                <c:pt idx="16">
                  <c:v>464.65636588380715</c:v>
                </c:pt>
                <c:pt idx="17">
                  <c:v>55.530053498374073</c:v>
                </c:pt>
                <c:pt idx="18">
                  <c:v>-37276.234567901229</c:v>
                </c:pt>
                <c:pt idx="19">
                  <c:v>61.226477649479818</c:v>
                </c:pt>
                <c:pt idx="20">
                  <c:v>1779.3070987654319</c:v>
                </c:pt>
                <c:pt idx="21">
                  <c:v>18736.101359703338</c:v>
                </c:pt>
                <c:pt idx="22">
                  <c:v>0</c:v>
                </c:pt>
                <c:pt idx="23">
                  <c:v>642.84495961397249</c:v>
                </c:pt>
                <c:pt idx="24">
                  <c:v>5549.7654320987658</c:v>
                </c:pt>
                <c:pt idx="25">
                  <c:v>518.88726823238574</c:v>
                </c:pt>
                <c:pt idx="26">
                  <c:v>-92.741189766772834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'Service-Scatter'!$B$35</c:f>
              <c:strCache>
                <c:ptCount val="1"/>
                <c:pt idx="0">
                  <c:v>Army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strRef>
              <c:f>'Service-Scatter'!$C$35:$C$63</c:f>
              <c:strCache>
                <c:ptCount val="29"/>
                <c:pt idx="0">
                  <c:v>42%</c:v>
                </c:pt>
                <c:pt idx="1">
                  <c:v>-15%</c:v>
                </c:pt>
                <c:pt idx="2">
                  <c:v>-60%</c:v>
                </c:pt>
                <c:pt idx="3">
                  <c:v>3%</c:v>
                </c:pt>
                <c:pt idx="4">
                  <c:v>2%</c:v>
                </c:pt>
                <c:pt idx="5">
                  <c:v>13%</c:v>
                </c:pt>
                <c:pt idx="6">
                  <c:v>15%</c:v>
                </c:pt>
                <c:pt idx="7">
                  <c:v>-18%</c:v>
                </c:pt>
                <c:pt idx="9">
                  <c:v>-2%</c:v>
                </c:pt>
                <c:pt idx="10">
                  <c:v>21%</c:v>
                </c:pt>
                <c:pt idx="11">
                  <c:v>45%</c:v>
                </c:pt>
                <c:pt idx="12">
                  <c:v>25%</c:v>
                </c:pt>
                <c:pt idx="13">
                  <c:v>26%</c:v>
                </c:pt>
                <c:pt idx="14">
                  <c:v>-13%</c:v>
                </c:pt>
                <c:pt idx="15">
                  <c:v>-12%</c:v>
                </c:pt>
                <c:pt idx="16">
                  <c:v>-12%</c:v>
                </c:pt>
                <c:pt idx="17">
                  <c:v>-71%</c:v>
                </c:pt>
                <c:pt idx="18">
                  <c:v>-22%</c:v>
                </c:pt>
                <c:pt idx="19">
                  <c:v>-90%</c:v>
                </c:pt>
                <c:pt idx="20">
                  <c:v>8060%</c:v>
                </c:pt>
                <c:pt idx="21">
                  <c:v>3%</c:v>
                </c:pt>
                <c:pt idx="22">
                  <c:v>#N/A</c:v>
                </c:pt>
                <c:pt idx="23">
                  <c:v>-4%</c:v>
                </c:pt>
                <c:pt idx="24">
                  <c:v>2%</c:v>
                </c:pt>
                <c:pt idx="25">
                  <c:v>13%</c:v>
                </c:pt>
                <c:pt idx="26">
                  <c:v>2%</c:v>
                </c:pt>
                <c:pt idx="27">
                  <c:v>6%</c:v>
                </c:pt>
                <c:pt idx="28">
                  <c:v>-20%</c:v>
                </c:pt>
              </c:strCache>
            </c:strRef>
          </c:xVal>
          <c:yVal>
            <c:numRef>
              <c:f>'Service-Scatter'!$D$35:$D$63</c:f>
              <c:numCache>
                <c:formatCode>_(* #,##0.00_);_(* \(#,##0.00\);_(* "-"??_);_(@_)</c:formatCode>
                <c:ptCount val="29"/>
                <c:pt idx="0">
                  <c:v>3071.1528683541505</c:v>
                </c:pt>
                <c:pt idx="1">
                  <c:v>-695.83847923477413</c:v>
                </c:pt>
                <c:pt idx="2">
                  <c:v>-2163.7236766891506</c:v>
                </c:pt>
                <c:pt idx="3">
                  <c:v>62.309238406586744</c:v>
                </c:pt>
                <c:pt idx="4">
                  <c:v>60.930621140573919</c:v>
                </c:pt>
                <c:pt idx="5">
                  <c:v>1589.7322510575052</c:v>
                </c:pt>
                <c:pt idx="6">
                  <c:v>7366.7066615226322</c:v>
                </c:pt>
                <c:pt idx="7">
                  <c:v>-592.16942361039764</c:v>
                </c:pt>
                <c:pt idx="8">
                  <c:v>0</c:v>
                </c:pt>
                <c:pt idx="9">
                  <c:v>-28.408198304539113</c:v>
                </c:pt>
                <c:pt idx="10">
                  <c:v>377.49982851263286</c:v>
                </c:pt>
                <c:pt idx="11">
                  <c:v>41919.118537353184</c:v>
                </c:pt>
                <c:pt idx="12">
                  <c:v>4004.0268603535706</c:v>
                </c:pt>
                <c:pt idx="13">
                  <c:v>3055.202324736651</c:v>
                </c:pt>
                <c:pt idx="14">
                  <c:v>-584.22084998183789</c:v>
                </c:pt>
                <c:pt idx="15">
                  <c:v>-613.35942028985517</c:v>
                </c:pt>
                <c:pt idx="16">
                  <c:v>-468.10172765318168</c:v>
                </c:pt>
                <c:pt idx="17">
                  <c:v>-5643.166096092551</c:v>
                </c:pt>
                <c:pt idx="18">
                  <c:v>-1484.7376243283411</c:v>
                </c:pt>
                <c:pt idx="19">
                  <c:v>-2683.3224361302823</c:v>
                </c:pt>
                <c:pt idx="20">
                  <c:v>628562.91626695904</c:v>
                </c:pt>
                <c:pt idx="21">
                  <c:v>47.082789875096722</c:v>
                </c:pt>
                <c:pt idx="22">
                  <c:v>#N/A</c:v>
                </c:pt>
                <c:pt idx="23">
                  <c:v>-1101.1774288749853</c:v>
                </c:pt>
                <c:pt idx="24">
                  <c:v>195.41730610317555</c:v>
                </c:pt>
                <c:pt idx="25">
                  <c:v>2439.4831370755687</c:v>
                </c:pt>
                <c:pt idx="26">
                  <c:v>85.586436312909129</c:v>
                </c:pt>
                <c:pt idx="27">
                  <c:v>298.50200349327031</c:v>
                </c:pt>
                <c:pt idx="28">
                  <c:v>-3191.0357142857142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'Service-Scatter'!$B$74</c:f>
              <c:strCache>
                <c:ptCount val="1"/>
                <c:pt idx="0">
                  <c:v>Navy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  <c:spPr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strRef>
              <c:f>'Service-Scatter'!$C$74:$C$111</c:f>
              <c:strCache>
                <c:ptCount val="38"/>
                <c:pt idx="0">
                  <c:v>8%</c:v>
                </c:pt>
                <c:pt idx="1">
                  <c:v>19%</c:v>
                </c:pt>
                <c:pt idx="2">
                  <c:v>20%</c:v>
                </c:pt>
                <c:pt idx="3">
                  <c:v>12%</c:v>
                </c:pt>
                <c:pt idx="4">
                  <c:v>18%</c:v>
                </c:pt>
                <c:pt idx="5">
                  <c:v>12%</c:v>
                </c:pt>
                <c:pt idx="6">
                  <c:v>-13%</c:v>
                </c:pt>
                <c:pt idx="7">
                  <c:v>8%</c:v>
                </c:pt>
                <c:pt idx="8">
                  <c:v>22%</c:v>
                </c:pt>
                <c:pt idx="9">
                  <c:v>7%</c:v>
                </c:pt>
                <c:pt idx="10">
                  <c:v>3%</c:v>
                </c:pt>
                <c:pt idx="11">
                  <c:v>63%</c:v>
                </c:pt>
                <c:pt idx="12">
                  <c:v>4%</c:v>
                </c:pt>
                <c:pt idx="13">
                  <c:v>5%</c:v>
                </c:pt>
                <c:pt idx="14">
                  <c:v>7%</c:v>
                </c:pt>
                <c:pt idx="16">
                  <c:v>-8%</c:v>
                </c:pt>
                <c:pt idx="17">
                  <c:v>26%</c:v>
                </c:pt>
                <c:pt idx="18">
                  <c:v>-3%</c:v>
                </c:pt>
                <c:pt idx="19">
                  <c:v>-7%</c:v>
                </c:pt>
                <c:pt idx="20">
                  <c:v>-1%</c:v>
                </c:pt>
                <c:pt idx="21">
                  <c:v>86%</c:v>
                </c:pt>
                <c:pt idx="22">
                  <c:v>14%</c:v>
                </c:pt>
                <c:pt idx="23">
                  <c:v>14%</c:v>
                </c:pt>
                <c:pt idx="24">
                  <c:v>4%</c:v>
                </c:pt>
                <c:pt idx="25">
                  <c:v>5%</c:v>
                </c:pt>
                <c:pt idx="26">
                  <c:v>-2%</c:v>
                </c:pt>
                <c:pt idx="27">
                  <c:v>-1%</c:v>
                </c:pt>
                <c:pt idx="28">
                  <c:v>175%</c:v>
                </c:pt>
                <c:pt idx="29">
                  <c:v>11%</c:v>
                </c:pt>
                <c:pt idx="30">
                  <c:v>-3%</c:v>
                </c:pt>
                <c:pt idx="31">
                  <c:v>-3%</c:v>
                </c:pt>
                <c:pt idx="32">
                  <c:v>32%</c:v>
                </c:pt>
                <c:pt idx="33">
                  <c:v>8%</c:v>
                </c:pt>
                <c:pt idx="34">
                  <c:v>21%</c:v>
                </c:pt>
                <c:pt idx="35">
                  <c:v>-1%</c:v>
                </c:pt>
                <c:pt idx="36">
                  <c:v>-3%</c:v>
                </c:pt>
                <c:pt idx="37">
                  <c:v>-1%</c:v>
                </c:pt>
              </c:strCache>
            </c:strRef>
          </c:xVal>
          <c:yVal>
            <c:numRef>
              <c:f>'Service-Scatter'!$D$74:$D$111</c:f>
              <c:numCache>
                <c:formatCode>_(* #,##0.00_);_(* \(#,##0.00\);_(* "-"??_);_(@_)</c:formatCode>
                <c:ptCount val="38"/>
                <c:pt idx="0">
                  <c:v>144.35524881946967</c:v>
                </c:pt>
                <c:pt idx="1">
                  <c:v>620.06190283945637</c:v>
                </c:pt>
                <c:pt idx="2">
                  <c:v>2564.6700933599077</c:v>
                </c:pt>
                <c:pt idx="3">
                  <c:v>596.32398022249686</c:v>
                </c:pt>
                <c:pt idx="4">
                  <c:v>2930.9376588924506</c:v>
                </c:pt>
                <c:pt idx="5">
                  <c:v>193.37086814384307</c:v>
                </c:pt>
                <c:pt idx="6">
                  <c:v>-4761.3873456790125</c:v>
                </c:pt>
                <c:pt idx="7">
                  <c:v>2993.5700240082319</c:v>
                </c:pt>
                <c:pt idx="8">
                  <c:v>6693.0363059569963</c:v>
                </c:pt>
                <c:pt idx="9">
                  <c:v>1283.9240165631468</c:v>
                </c:pt>
                <c:pt idx="10">
                  <c:v>248.92267736985008</c:v>
                </c:pt>
                <c:pt idx="11">
                  <c:v>5778.1830668526682</c:v>
                </c:pt>
                <c:pt idx="12">
                  <c:v>51.145764262032699</c:v>
                </c:pt>
                <c:pt idx="13">
                  <c:v>2550.3082561728388</c:v>
                </c:pt>
                <c:pt idx="14">
                  <c:v>763.89489142977027</c:v>
                </c:pt>
                <c:pt idx="15">
                  <c:v>0</c:v>
                </c:pt>
                <c:pt idx="16">
                  <c:v>-272.2123151159131</c:v>
                </c:pt>
                <c:pt idx="17">
                  <c:v>6026.9836357914619</c:v>
                </c:pt>
                <c:pt idx="18">
                  <c:v>-26.270009440889545</c:v>
                </c:pt>
                <c:pt idx="19">
                  <c:v>-580.1658474710639</c:v>
                </c:pt>
                <c:pt idx="20">
                  <c:v>-28.624516414280983</c:v>
                </c:pt>
                <c:pt idx="21">
                  <c:v>10566.637659312046</c:v>
                </c:pt>
                <c:pt idx="22">
                  <c:v>1585.7687631258982</c:v>
                </c:pt>
                <c:pt idx="23">
                  <c:v>945.46644518272444</c:v>
                </c:pt>
                <c:pt idx="24">
                  <c:v>272.40703576909453</c:v>
                </c:pt>
                <c:pt idx="25">
                  <c:v>91.937082818294201</c:v>
                </c:pt>
                <c:pt idx="26">
                  <c:v>-531.73163464502215</c:v>
                </c:pt>
                <c:pt idx="27">
                  <c:v>-15.55830662097933</c:v>
                </c:pt>
                <c:pt idx="28">
                  <c:v>9004.7269171672015</c:v>
                </c:pt>
                <c:pt idx="29">
                  <c:v>99.14905032728835</c:v>
                </c:pt>
                <c:pt idx="30">
                  <c:v>-193.26419549049703</c:v>
                </c:pt>
                <c:pt idx="31">
                  <c:v>-3056.3240676072078</c:v>
                </c:pt>
                <c:pt idx="32">
                  <c:v>1249.4898360655739</c:v>
                </c:pt>
                <c:pt idx="33">
                  <c:v>438.53909465020575</c:v>
                </c:pt>
                <c:pt idx="34">
                  <c:v>10896.242021803764</c:v>
                </c:pt>
                <c:pt idx="35">
                  <c:v>-402.1410769406653</c:v>
                </c:pt>
                <c:pt idx="36">
                  <c:v>-225.89756629131858</c:v>
                </c:pt>
                <c:pt idx="37">
                  <c:v>-20.925389631922187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'Service-Scatter'!$B$64</c:f>
              <c:strCache>
                <c:ptCount val="1"/>
                <c:pt idx="0">
                  <c:v>DoD-wide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'Service-Scatter'!$C$64:$C$73</c:f>
              <c:numCache>
                <c:formatCode>0%</c:formatCode>
                <c:ptCount val="10"/>
                <c:pt idx="0">
                  <c:v>-0.191</c:v>
                </c:pt>
                <c:pt idx="1">
                  <c:v>2.8439999999999999</c:v>
                </c:pt>
                <c:pt idx="2">
                  <c:v>0.80200000000000005</c:v>
                </c:pt>
                <c:pt idx="3">
                  <c:v>-0.10300000000000001</c:v>
                </c:pt>
                <c:pt idx="4">
                  <c:v>0.52800000000000002</c:v>
                </c:pt>
                <c:pt idx="5">
                  <c:v>-0.27399999999999997</c:v>
                </c:pt>
                <c:pt idx="6">
                  <c:v>-0.54</c:v>
                </c:pt>
                <c:pt idx="7">
                  <c:v>-0.27600000000000002</c:v>
                </c:pt>
                <c:pt idx="8">
                  <c:v>1.109</c:v>
                </c:pt>
                <c:pt idx="9">
                  <c:v>0.14699999999999999</c:v>
                </c:pt>
              </c:numCache>
            </c:numRef>
          </c:xVal>
          <c:yVal>
            <c:numRef>
              <c:f>'Service-Scatter'!$D$64:$D$73</c:f>
              <c:numCache>
                <c:formatCode>_(* #,##0.00_);_(* \(#,##0.00\);_(* "-"??_);_(@_)</c:formatCode>
                <c:ptCount val="10"/>
                <c:pt idx="0">
                  <c:v>-1554.4871499003461</c:v>
                </c:pt>
                <c:pt idx="1">
                  <c:v>7486.4414478353447</c:v>
                </c:pt>
                <c:pt idx="2">
                  <c:v>13172.59258202568</c:v>
                </c:pt>
                <c:pt idx="3">
                  <c:v>-104.72421933683873</c:v>
                </c:pt>
                <c:pt idx="4">
                  <c:v>115585.66131025959</c:v>
                </c:pt>
                <c:pt idx="5">
                  <c:v>-441.20919713531839</c:v>
                </c:pt>
                <c:pt idx="6">
                  <c:v>-9636.6971569839297</c:v>
                </c:pt>
                <c:pt idx="7">
                  <c:v>-2767.3316435161723</c:v>
                </c:pt>
                <c:pt idx="8">
                  <c:v>1114.3462299134733</c:v>
                </c:pt>
                <c:pt idx="9">
                  <c:v>324.7918634217217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'Service-Scatter'!$G$6</c:f>
              <c:strCache>
                <c:ptCount val="1"/>
                <c:pt idx="0">
                  <c:v>Air Force Average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'Service-Scatter'!$C$6</c:f>
              <c:numCache>
                <c:formatCode>0%</c:formatCode>
                <c:ptCount val="1"/>
                <c:pt idx="0">
                  <c:v>0</c:v>
                </c:pt>
              </c:numCache>
            </c:numRef>
          </c:xVal>
          <c:yVal>
            <c:numRef>
              <c:f>'Service-Scatter'!$D$6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0"/>
          <c:order val="5"/>
          <c:tx>
            <c:strRef>
              <c:f>'Service-Scatter'!$G$4</c:f>
              <c:strCache>
                <c:ptCount val="1"/>
                <c:pt idx="0">
                  <c:v>Army 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9BBB59">
                  <a:lumMod val="75000"/>
                </a:srgbClr>
              </a:solidFill>
              <a:ln>
                <a:noFill/>
              </a:ln>
            </c:spPr>
          </c:marker>
          <c:xVal>
            <c:numRef>
              <c:f>'Service-Scatter'!$C$4</c:f>
              <c:numCache>
                <c:formatCode>0%</c:formatCode>
                <c:ptCount val="1"/>
                <c:pt idx="0">
                  <c:v>0</c:v>
                </c:pt>
              </c:numCache>
            </c:numRef>
          </c:xVal>
          <c:yVal>
            <c:numRef>
              <c:f>'Service-Scatter'!$D$4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6"/>
          <c:tx>
            <c:strRef>
              <c:f>'Service-Scatter'!$G$5</c:f>
              <c:strCache>
                <c:ptCount val="1"/>
                <c:pt idx="0">
                  <c:v>Navy Average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</c:spPr>
          </c:marker>
          <c:xVal>
            <c:numRef>
              <c:f>'Service-Scatter'!$C$5</c:f>
              <c:numCache>
                <c:formatCode>0%</c:formatCode>
                <c:ptCount val="1"/>
                <c:pt idx="0">
                  <c:v>0</c:v>
                </c:pt>
              </c:numCache>
            </c:numRef>
          </c:xVal>
          <c:yVal>
            <c:numRef>
              <c:f>'Service-Scatter'!$D$5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'Service-Scatter'!$G$7</c:f>
              <c:strCache>
                <c:ptCount val="1"/>
                <c:pt idx="0">
                  <c:v>DoD-wide Average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7030A0"/>
              </a:solidFill>
            </c:spPr>
          </c:marker>
          <c:xVal>
            <c:numRef>
              <c:f>'Service-Scatter'!$M$6:$M$7</c:f>
              <c:numCache>
                <c:formatCode>0%</c:formatCode>
                <c:ptCount val="2"/>
                <c:pt idx="0">
                  <c:v>0.44020694529750731</c:v>
                </c:pt>
                <c:pt idx="1">
                  <c:v>0.40460000000000002</c:v>
                </c:pt>
              </c:numCache>
            </c:numRef>
          </c:xVal>
          <c:yVal>
            <c:numRef>
              <c:f>'Service-Scatter'!$N$6:$N$7</c:f>
              <c:numCache>
                <c:formatCode>General</c:formatCode>
                <c:ptCount val="2"/>
                <c:pt idx="0">
                  <c:v>12317.938406658319</c:v>
                </c:pt>
                <c:pt idx="1">
                  <c:v>12317.938406658319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42720"/>
        <c:axId val="246600832"/>
      </c:scatterChart>
      <c:valAx>
        <c:axId val="246542720"/>
        <c:scaling>
          <c:orientation val="minMax"/>
          <c:max val="0.5"/>
          <c:min val="-0.25"/>
        </c:scaling>
        <c:delete val="0"/>
        <c:axPos val="b"/>
        <c:numFmt formatCode="0%" sourceLinked="1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246600832"/>
        <c:crosses val="autoZero"/>
        <c:crossBetween val="midCat"/>
        <c:majorUnit val="0.25"/>
      </c:valAx>
      <c:valAx>
        <c:axId val="246600832"/>
        <c:scaling>
          <c:orientation val="minMax"/>
          <c:max val="10000"/>
          <c:min val="-2000"/>
        </c:scaling>
        <c:delete val="0"/>
        <c:axPos val="l"/>
        <c:majorGridlines/>
        <c:numFmt formatCode="_(* #,##0_);_(* \(#,##0\);_(* &quot;-&quot;_);_(@_)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en-US"/>
          </a:p>
        </c:txPr>
        <c:crossAx val="246542720"/>
        <c:crosses val="autoZero"/>
        <c:crossBetween val="midCat"/>
        <c:dispUnits>
          <c:builtInUnit val="thousands"/>
        </c:dispUnits>
      </c:valAx>
      <c:spPr>
        <a:ln w="25400">
          <a:solidFill>
            <a:srgbClr val="4F81BD">
              <a:shade val="50000"/>
            </a:srgbClr>
          </a:solidFill>
          <a:prstDash val="dash"/>
        </a:ln>
      </c:spPr>
    </c:plotArea>
    <c:legend>
      <c:legendPos val="b"/>
      <c:layout>
        <c:manualLayout>
          <c:xMode val="edge"/>
          <c:yMode val="edge"/>
          <c:x val="6.324830489938757E-2"/>
          <c:y val="0.81991207349081363"/>
          <c:w val="0.86655894575678039"/>
          <c:h val="0.16342125984251971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59292067658207"/>
          <c:y val="2.6949639107611556E-2"/>
          <c:w val="0.68063684747739861"/>
          <c:h val="0.76806703849518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'Service-Bar'!$O$50</c:f>
              <c:strCache>
                <c:ptCount val="1"/>
                <c:pt idx="0">
                  <c:v>Cost Increase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0"/>
              <c:layout>
                <c:manualLayout>
                  <c:x val="-4.1666666666666664E-2"/>
                  <c:y val="-6.94444444444439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438210848644124E-2"/>
                  <c:y val="-1.3194444444444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5493948673082601E-2"/>
                  <c:y val="2.0833333333333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0895122484689315E-2"/>
                  <c:y val="5.5555555555555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012345679012346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4.320987654320975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'Service-Bar'!$N$51:$N$54</c:f>
              <c:strCache>
                <c:ptCount val="4"/>
                <c:pt idx="0">
                  <c:v>Army</c:v>
                </c:pt>
                <c:pt idx="1">
                  <c:v>Navy</c:v>
                </c:pt>
                <c:pt idx="2">
                  <c:v>Air Force</c:v>
                </c:pt>
                <c:pt idx="3">
                  <c:v>DoD-wide</c:v>
                </c:pt>
              </c:strCache>
            </c:strRef>
          </c:cat>
          <c:val>
            <c:numRef>
              <c:f>'Service-Bar'!$O$51:$O$54</c:f>
              <c:numCache>
                <c:formatCode>_("$"* #,##0.00_);_("$"* \(#,##0.00\);_("$"* "-"??_);_(@_)</c:formatCode>
                <c:ptCount val="4"/>
                <c:pt idx="0">
                  <c:v>693135.66713125643</c:v>
                </c:pt>
                <c:pt idx="1">
                  <c:v>68590.05229690671</c:v>
                </c:pt>
                <c:pt idx="2">
                  <c:v>72025.430292776437</c:v>
                </c:pt>
                <c:pt idx="3">
                  <c:v>137683.83343345582</c:v>
                </c:pt>
              </c:numCache>
            </c:numRef>
          </c:val>
        </c:ser>
        <c:ser>
          <c:idx val="1"/>
          <c:order val="1"/>
          <c:tx>
            <c:strRef>
              <c:f>'Service-Bar'!$P$50</c:f>
              <c:strCache>
                <c:ptCount val="1"/>
                <c:pt idx="0">
                  <c:v>Cost Decrease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"/>
                  <c:y val="-2.7777559055118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864197530864517E-3"/>
                  <c:y val="-2.4999343832021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4.1231651599105664E-3"/>
                  <c:y val="-2.59726596675415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3.6111111111111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3950617283950615E-2"/>
                  <c:y val="-2.5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4.0123456790123462E-2"/>
                  <c:y val="-8.33333333333333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.0" sourceLinked="0"/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'Service-Bar'!$N$51:$N$54</c:f>
              <c:strCache>
                <c:ptCount val="4"/>
                <c:pt idx="0">
                  <c:v>Army</c:v>
                </c:pt>
                <c:pt idx="1">
                  <c:v>Navy</c:v>
                </c:pt>
                <c:pt idx="2">
                  <c:v>Air Force</c:v>
                </c:pt>
                <c:pt idx="3">
                  <c:v>DoD-wide</c:v>
                </c:pt>
              </c:strCache>
            </c:strRef>
          </c:cat>
          <c:val>
            <c:numRef>
              <c:f>'Service-Bar'!$P$51:$P$54</c:f>
              <c:numCache>
                <c:formatCode>_("$"* #,##0.00_);_("$"* \(#,##0.00\);_("$"* "-"??_);_(@_)</c:formatCode>
                <c:ptCount val="4"/>
                <c:pt idx="0">
                  <c:v>-19249.26107547561</c:v>
                </c:pt>
                <c:pt idx="1">
                  <c:v>-10114.502271348771</c:v>
                </c:pt>
                <c:pt idx="2">
                  <c:v>-38478.950992672966</c:v>
                </c:pt>
                <c:pt idx="3">
                  <c:v>-14504.449366872606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0"/>
        <c:overlap val="100"/>
        <c:axId val="401096064"/>
        <c:axId val="401110912"/>
      </c:barChart>
      <c:scatterChart>
        <c:scatterStyle val="lineMarker"/>
        <c:varyColors val="0"/>
        <c:ser>
          <c:idx val="3"/>
          <c:order val="2"/>
          <c:tx>
            <c:strRef>
              <c:f>'Service-Bar'!$R$50</c:f>
              <c:strCache>
                <c:ptCount val="1"/>
                <c:pt idx="0">
                  <c:v>Average Overrun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1.1419145523476233E-3"/>
                  <c:y val="3.4719488188976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498104403616251E-3"/>
                  <c:y val="-1.0416666666666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5660906969962352E-3"/>
                  <c:y val="2.179543963254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3496281714785647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'Service-Bar'!$N$51:$N$54</c:f>
              <c:strCache>
                <c:ptCount val="4"/>
                <c:pt idx="0">
                  <c:v>Army</c:v>
                </c:pt>
                <c:pt idx="1">
                  <c:v>Navy</c:v>
                </c:pt>
                <c:pt idx="2">
                  <c:v>Air Force</c:v>
                </c:pt>
                <c:pt idx="3">
                  <c:v>DoD-wide</c:v>
                </c:pt>
              </c:strCache>
            </c:strRef>
          </c:xVal>
          <c:yVal>
            <c:numRef>
              <c:f>'Service-Bar'!$R$51:$R$54</c:f>
              <c:numCache>
                <c:formatCode>0%</c:formatCode>
                <c:ptCount val="4"/>
                <c:pt idx="0">
                  <c:v>2.8351071428571428</c:v>
                </c:pt>
                <c:pt idx="1">
                  <c:v>0.14660526315789474</c:v>
                </c:pt>
                <c:pt idx="2">
                  <c:v>-0.48899999999999999</c:v>
                </c:pt>
                <c:pt idx="3">
                  <c:v>0.40460000000000002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'Service-Bar'!$Q$50</c:f>
              <c:strCache>
                <c:ptCount val="1"/>
                <c:pt idx="0">
                  <c:v>Baseline-Weighted Average Overrun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10"/>
            <c:spPr>
              <a:ln>
                <a:noFill/>
              </a:ln>
            </c:spPr>
          </c:marker>
          <c:dLbls>
            <c:dLbl>
              <c:idx val="0"/>
              <c:layout>
                <c:manualLayout>
                  <c:x val="-3.4567293671624432E-3"/>
                  <c:y val="-2.77777777777778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7715441819772674E-3"/>
                  <c:y val="4.30555555555554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2512758821814058E-3"/>
                  <c:y val="-1.37718722659667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4567293671624432E-3"/>
                  <c:y val="-2.77777777777778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strRef>
              <c:f>'Service-Bar'!$N$51:$N$54</c:f>
              <c:strCache>
                <c:ptCount val="4"/>
                <c:pt idx="0">
                  <c:v>Army</c:v>
                </c:pt>
                <c:pt idx="1">
                  <c:v>Navy</c:v>
                </c:pt>
                <c:pt idx="2">
                  <c:v>Air Force</c:v>
                </c:pt>
                <c:pt idx="3">
                  <c:v>DoD-wide</c:v>
                </c:pt>
              </c:strCache>
            </c:strRef>
          </c:xVal>
          <c:yVal>
            <c:numRef>
              <c:f>'Service-Bar'!$Q$51:$Q$54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0.44020694529750742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70944"/>
        <c:axId val="428368640"/>
      </c:scatterChart>
      <c:catAx>
        <c:axId val="401096064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1100" b="1"/>
            </a:pPr>
            <a:endParaRPr lang="en-US"/>
          </a:p>
        </c:txPr>
        <c:crossAx val="401110912"/>
        <c:crosses val="autoZero"/>
        <c:auto val="1"/>
        <c:lblAlgn val="ctr"/>
        <c:lblOffset val="100"/>
        <c:noMultiLvlLbl val="0"/>
      </c:catAx>
      <c:valAx>
        <c:axId val="401110912"/>
        <c:scaling>
          <c:orientation val="minMax"/>
          <c:max val="150000"/>
          <c:min val="-3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 i="0" baseline="0"/>
                  <a:t>Real cost overruns </a:t>
                </a:r>
                <a:br>
                  <a:rPr lang="en-US" sz="1100" b="0" i="0" baseline="0"/>
                </a:br>
                <a:r>
                  <a:rPr lang="en-US" sz="1100" b="0" i="0" baseline="0"/>
                  <a:t>(in 2010 billions, quantity adjusted)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"/>
              <c:y val="0.11948135389326331"/>
            </c:manualLayout>
          </c:layout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01096064"/>
        <c:crosses val="autoZero"/>
        <c:crossBetween val="between"/>
        <c:majorUnit val="30000"/>
        <c:dispUnits>
          <c:builtInUnit val="thousands"/>
        </c:dispUnits>
      </c:valAx>
      <c:valAx>
        <c:axId val="428368640"/>
        <c:scaling>
          <c:orientation val="minMax"/>
          <c:max val="0.75000000000000555"/>
          <c:min val="-0.15000000000000024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 i="0" baseline="0"/>
                  <a:t>Real cost overruns </a:t>
                </a:r>
                <a:br>
                  <a:rPr lang="en-US" sz="1100" b="0" i="0" baseline="0"/>
                </a:br>
                <a:r>
                  <a:rPr lang="en-US" sz="1100" b="0" i="0" baseline="0"/>
                  <a:t>(in percent, quantity adjusted)</a:t>
                </a:r>
              </a:p>
            </c:rich>
          </c:tx>
          <c:layout>
            <c:manualLayout>
              <c:xMode val="edge"/>
              <c:yMode val="edge"/>
              <c:x val="0.9229398148148158"/>
              <c:y val="0.16074010279965004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28370944"/>
        <c:crosses val="max"/>
        <c:crossBetween val="midCat"/>
        <c:majorUnit val="0.15000000000000024"/>
      </c:valAx>
      <c:valAx>
        <c:axId val="42837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836864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1.1627296587926498E-2"/>
          <c:y val="0.89551618547681366"/>
          <c:w val="0.98600466608340664"/>
          <c:h val="8.3650481189851564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744" l="0.70000000000000062" r="0.70000000000000062" t="0.75000000000000744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827709036370471"/>
          <c:y val="3.2755056054488772E-2"/>
          <c:w val="0.71355830521184849"/>
          <c:h val="0.68023116086392743"/>
        </c:manualLayout>
      </c:layout>
      <c:scatterChart>
        <c:scatterStyle val="lineMarker"/>
        <c:varyColors val="0"/>
        <c:ser>
          <c:idx val="5"/>
          <c:order val="0"/>
          <c:tx>
            <c:strRef>
              <c:f>'Prime-Scatter'!$C$10</c:f>
              <c:strCache>
                <c:ptCount val="1"/>
                <c:pt idx="0">
                  <c:v>Boeing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</c:marker>
          <c:xVal>
            <c:numRef>
              <c:f>'Prime-Scatter'!$D$10:$D$24</c:f>
              <c:numCache>
                <c:formatCode>0%</c:formatCode>
                <c:ptCount val="15"/>
                <c:pt idx="0">
                  <c:v>0.42399999999999999</c:v>
                </c:pt>
                <c:pt idx="1">
                  <c:v>-9.8000000000000004E-2</c:v>
                </c:pt>
                <c:pt idx="2">
                  <c:v>0.47</c:v>
                </c:pt>
                <c:pt idx="3">
                  <c:v>0.13100000000000001</c:v>
                </c:pt>
                <c:pt idx="4">
                  <c:v>2.7999999999999997E-2</c:v>
                </c:pt>
                <c:pt idx="5">
                  <c:v>-0.183</c:v>
                </c:pt>
                <c:pt idx="6">
                  <c:v>5.0999999999999997E-2</c:v>
                </c:pt>
                <c:pt idx="7">
                  <c:v>0.32299999999999995</c:v>
                </c:pt>
                <c:pt idx="8">
                  <c:v>0.44500000000000001</c:v>
                </c:pt>
                <c:pt idx="9">
                  <c:v>0.27200000000000002</c:v>
                </c:pt>
                <c:pt idx="10">
                  <c:v>-0.54</c:v>
                </c:pt>
                <c:pt idx="11">
                  <c:v>80.599999999999994</c:v>
                </c:pt>
                <c:pt idx="12">
                  <c:v>0.23800000000000002</c:v>
                </c:pt>
                <c:pt idx="13">
                  <c:v>-1.6E-2</c:v>
                </c:pt>
                <c:pt idx="14">
                  <c:v>-2.5000000000000001E-2</c:v>
                </c:pt>
              </c:numCache>
            </c:numRef>
          </c:xVal>
          <c:yVal>
            <c:numRef>
              <c:f>'Prime-Scatter'!$E$10:$E$24</c:f>
              <c:numCache>
                <c:formatCode>_(* #,##0.00_);_(* \(#,##0.00\);_(* "-"??_);_(@_)</c:formatCode>
                <c:ptCount val="15"/>
                <c:pt idx="0">
                  <c:v>3071.1528683541505</c:v>
                </c:pt>
                <c:pt idx="1">
                  <c:v>-597.10222952840854</c:v>
                </c:pt>
                <c:pt idx="2">
                  <c:v>26569.717692202274</c:v>
                </c:pt>
                <c:pt idx="3">
                  <c:v>1589.7322510575052</c:v>
                </c:pt>
                <c:pt idx="4">
                  <c:v>248.92267736985008</c:v>
                </c:pt>
                <c:pt idx="5">
                  <c:v>-592.16942361039764</c:v>
                </c:pt>
                <c:pt idx="6">
                  <c:v>2550.3082561728388</c:v>
                </c:pt>
                <c:pt idx="7">
                  <c:v>1054.960321384425</c:v>
                </c:pt>
                <c:pt idx="8">
                  <c:v>41919.118537353184</c:v>
                </c:pt>
                <c:pt idx="9">
                  <c:v>873.97904735298243</c:v>
                </c:pt>
                <c:pt idx="10">
                  <c:v>-9636.6971569839297</c:v>
                </c:pt>
                <c:pt idx="11">
                  <c:v>628562.91626695904</c:v>
                </c:pt>
                <c:pt idx="12">
                  <c:v>1779.3070987654319</c:v>
                </c:pt>
                <c:pt idx="13">
                  <c:v>-531.73163464502215</c:v>
                </c:pt>
                <c:pt idx="14">
                  <c:v>-92.741189766772834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'Prime-Scatter'!$C$25</c:f>
              <c:strCache>
                <c:ptCount val="1"/>
                <c:pt idx="0">
                  <c:v>#N/A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'Prime-Scatter'!$D$25:$D$34</c:f>
              <c:numCache>
                <c:formatCode>0%</c:formatCode>
                <c:ptCount val="10"/>
                <c:pt idx="0">
                  <c:v>8.3000000000000004E-2</c:v>
                </c:pt>
                <c:pt idx="1">
                  <c:v>0.63400000000000001</c:v>
                </c:pt>
                <c:pt idx="2">
                  <c:v>-0.27600000000000002</c:v>
                </c:pt>
                <c:pt idx="3">
                  <c:v>-0.90400000000000003</c:v>
                </c:pt>
                <c:pt idx="4">
                  <c:v>-3.4000000000000002E-2</c:v>
                </c:pt>
                <c:pt idx="5">
                  <c:v>0.02</c:v>
                </c:pt>
                <c:pt idx="6">
                  <c:v>0.08</c:v>
                </c:pt>
                <c:pt idx="7">
                  <c:v>2.1000000000000001E-2</c:v>
                </c:pt>
                <c:pt idx="8">
                  <c:v>6.2E-2</c:v>
                </c:pt>
                <c:pt idx="9">
                  <c:v>-0.19500000000000001</c:v>
                </c:pt>
              </c:numCache>
            </c:numRef>
          </c:xVal>
          <c:yVal>
            <c:numRef>
              <c:f>'Prime-Scatter'!$E$25:$E$34</c:f>
              <c:numCache>
                <c:formatCode>_(* #,##0.00_);_(* \(#,##0.00\);_(* "-"??_);_(@_)</c:formatCode>
                <c:ptCount val="10"/>
                <c:pt idx="0">
                  <c:v>2993.5700240082319</c:v>
                </c:pt>
                <c:pt idx="1">
                  <c:v>5778.1830668526682</c:v>
                </c:pt>
                <c:pt idx="2">
                  <c:v>-2767.3316435161723</c:v>
                </c:pt>
                <c:pt idx="3">
                  <c:v>-2683.3224361302823</c:v>
                </c:pt>
                <c:pt idx="4">
                  <c:v>-3056.3240676072078</c:v>
                </c:pt>
                <c:pt idx="5">
                  <c:v>195.41730610317555</c:v>
                </c:pt>
                <c:pt idx="6">
                  <c:v>438.53909465020575</c:v>
                </c:pt>
                <c:pt idx="7">
                  <c:v>85.586436312909129</c:v>
                </c:pt>
                <c:pt idx="8">
                  <c:v>298.50200349327031</c:v>
                </c:pt>
                <c:pt idx="9">
                  <c:v>-3191.0357142857142</c:v>
                </c:pt>
              </c:numCache>
            </c:numRef>
          </c:yVal>
          <c:smooth val="0"/>
        </c:ser>
        <c:ser>
          <c:idx val="8"/>
          <c:order val="2"/>
          <c:tx>
            <c:strRef>
              <c:f>'Prime-Scatter'!$C$35</c:f>
              <c:strCache>
                <c:ptCount val="1"/>
                <c:pt idx="0">
                  <c:v>Lockheed Martin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noFill/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'Prime-Scatter'!$D$35:$D$54</c:f>
              <c:numCache>
                <c:formatCode>0%</c:formatCode>
                <c:ptCount val="20"/>
                <c:pt idx="0">
                  <c:v>-0.14899999999999999</c:v>
                </c:pt>
                <c:pt idx="1">
                  <c:v>0.33600000000000002</c:v>
                </c:pt>
                <c:pt idx="2">
                  <c:v>-0.191</c:v>
                </c:pt>
                <c:pt idx="3">
                  <c:v>0.318</c:v>
                </c:pt>
                <c:pt idx="4">
                  <c:v>-1.9E-2</c:v>
                </c:pt>
                <c:pt idx="5">
                  <c:v>0.19899999999999998</c:v>
                </c:pt>
                <c:pt idx="6">
                  <c:v>6.8000000000000005E-2</c:v>
                </c:pt>
                <c:pt idx="7">
                  <c:v>0.52800000000000002</c:v>
                </c:pt>
                <c:pt idx="8">
                  <c:v>0.25800000000000001</c:v>
                </c:pt>
                <c:pt idx="9">
                  <c:v>-3.2000000000000001E-2</c:v>
                </c:pt>
                <c:pt idx="10">
                  <c:v>-0.13</c:v>
                </c:pt>
                <c:pt idx="11">
                  <c:v>0.44600000000000001</c:v>
                </c:pt>
                <c:pt idx="12">
                  <c:v>-0.70599999999999996</c:v>
                </c:pt>
                <c:pt idx="13">
                  <c:v>0.04</c:v>
                </c:pt>
                <c:pt idx="14">
                  <c:v>#N/A</c:v>
                </c:pt>
                <c:pt idx="15">
                  <c:v>-4.0999999999999995E-2</c:v>
                </c:pt>
                <c:pt idx="16">
                  <c:v>-1.1000000000000001E-2</c:v>
                </c:pt>
                <c:pt idx="17">
                  <c:v>1.7519999999999998</c:v>
                </c:pt>
                <c:pt idx="18">
                  <c:v>0.20699999999999999</c:v>
                </c:pt>
                <c:pt idx="19">
                  <c:v>-3.3000000000000002E-2</c:v>
                </c:pt>
              </c:numCache>
            </c:numRef>
          </c:xVal>
          <c:yVal>
            <c:numRef>
              <c:f>'Prime-Scatter'!$E$35:$E$54</c:f>
              <c:numCache>
                <c:formatCode>_(* #,##0.00_);_(* \(#,##0.00\);_(* "-"??_);_(@_)</c:formatCode>
                <c:ptCount val="20"/>
                <c:pt idx="0">
                  <c:v>-695.83847923477413</c:v>
                </c:pt>
                <c:pt idx="1">
                  <c:v>2409.1906056860321</c:v>
                </c:pt>
                <c:pt idx="2">
                  <c:v>-1554.4871499003461</c:v>
                </c:pt>
                <c:pt idx="3">
                  <c:v>318.43579553241062</c:v>
                </c:pt>
                <c:pt idx="4">
                  <c:v>-142.43721808454842</c:v>
                </c:pt>
                <c:pt idx="5">
                  <c:v>195.4146125787554</c:v>
                </c:pt>
                <c:pt idx="6">
                  <c:v>4997.319766777181</c:v>
                </c:pt>
                <c:pt idx="7">
                  <c:v>115585.66131025959</c:v>
                </c:pt>
                <c:pt idx="8">
                  <c:v>3055.202324736651</c:v>
                </c:pt>
                <c:pt idx="9">
                  <c:v>-136.20959621904859</c:v>
                </c:pt>
                <c:pt idx="10">
                  <c:v>-584.22084998183789</c:v>
                </c:pt>
                <c:pt idx="11">
                  <c:v>2502.1852213996372</c:v>
                </c:pt>
                <c:pt idx="12">
                  <c:v>-5643.166096092551</c:v>
                </c:pt>
                <c:pt idx="13">
                  <c:v>272.40703576909453</c:v>
                </c:pt>
                <c:pt idx="14">
                  <c:v>#N/A</c:v>
                </c:pt>
                <c:pt idx="15">
                  <c:v>-1101.1774288749853</c:v>
                </c:pt>
                <c:pt idx="16">
                  <c:v>-15.55830662097933</c:v>
                </c:pt>
                <c:pt idx="17">
                  <c:v>9004.7269171672015</c:v>
                </c:pt>
                <c:pt idx="18">
                  <c:v>10896.242021803764</c:v>
                </c:pt>
                <c:pt idx="19">
                  <c:v>-225.89756629131858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'Prime-Scatter'!$C$55</c:f>
              <c:strCache>
                <c:ptCount val="1"/>
                <c:pt idx="0">
                  <c:v>Northrop Grumman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'Prime-Scatter'!$D$55:$D$73</c:f>
              <c:numCache>
                <c:formatCode>0%</c:formatCode>
                <c:ptCount val="19"/>
                <c:pt idx="0">
                  <c:v>2.7999999999999997E-2</c:v>
                </c:pt>
                <c:pt idx="1">
                  <c:v>-1E-3</c:v>
                </c:pt>
                <c:pt idx="2">
                  <c:v>-0.17699999999999999</c:v>
                </c:pt>
                <c:pt idx="3">
                  <c:v>-7.8E-2</c:v>
                </c:pt>
                <c:pt idx="4">
                  <c:v>0.2</c:v>
                </c:pt>
                <c:pt idx="5">
                  <c:v>-0.129</c:v>
                </c:pt>
                <c:pt idx="6">
                  <c:v>0.22399999999999998</c:v>
                </c:pt>
                <c:pt idx="7">
                  <c:v>-0.10300000000000001</c:v>
                </c:pt>
                <c:pt idx="8">
                  <c:v>7.0999999999999994E-2</c:v>
                </c:pt>
                <c:pt idx="9">
                  <c:v>0.20899999999999999</c:v>
                </c:pt>
                <c:pt idx="10">
                  <c:v>-0.122</c:v>
                </c:pt>
                <c:pt idx="11">
                  <c:v>0.13800000000000001</c:v>
                </c:pt>
                <c:pt idx="12">
                  <c:v>-9.0000000000000011E-3</c:v>
                </c:pt>
                <c:pt idx="13">
                  <c:v>0.85499999999999998</c:v>
                </c:pt>
                <c:pt idx="14">
                  <c:v>-20</c:v>
                </c:pt>
                <c:pt idx="15">
                  <c:v>2.7370000000000001</c:v>
                </c:pt>
                <c:pt idx="16">
                  <c:v>0.99199999999999999</c:v>
                </c:pt>
                <c:pt idx="17">
                  <c:v>0.114</c:v>
                </c:pt>
                <c:pt idx="18">
                  <c:v>-8.0000000000000002E-3</c:v>
                </c:pt>
              </c:numCache>
            </c:numRef>
          </c:xVal>
          <c:yVal>
            <c:numRef>
              <c:f>'Prime-Scatter'!$E$55:$E$73</c:f>
              <c:numCache>
                <c:formatCode>_(* #,##0.00_);_(* \(#,##0.00\);_(* "-"??_);_(@_)</c:formatCode>
                <c:ptCount val="19"/>
                <c:pt idx="0">
                  <c:v>62.309238406586744</c:v>
                </c:pt>
                <c:pt idx="1">
                  <c:v>-0.55440254803246691</c:v>
                </c:pt>
                <c:pt idx="2">
                  <c:v>-125.29981757699325</c:v>
                </c:pt>
                <c:pt idx="3">
                  <c:v>-108.37197104793874</c:v>
                </c:pt>
                <c:pt idx="4">
                  <c:v>2564.6700933599077</c:v>
                </c:pt>
                <c:pt idx="5">
                  <c:v>-4761.3873456790125</c:v>
                </c:pt>
                <c:pt idx="6">
                  <c:v>6693.0363059569963</c:v>
                </c:pt>
                <c:pt idx="7">
                  <c:v>-104.72421933683873</c:v>
                </c:pt>
                <c:pt idx="8">
                  <c:v>1283.9240165631468</c:v>
                </c:pt>
                <c:pt idx="9">
                  <c:v>377.49982851263286</c:v>
                </c:pt>
                <c:pt idx="10">
                  <c:v>-613.35942028985517</c:v>
                </c:pt>
                <c:pt idx="11">
                  <c:v>55.530053498374073</c:v>
                </c:pt>
                <c:pt idx="12">
                  <c:v>-28.624516414280983</c:v>
                </c:pt>
                <c:pt idx="13">
                  <c:v>10566.637659312046</c:v>
                </c:pt>
                <c:pt idx="14">
                  <c:v>-37276.234567901229</c:v>
                </c:pt>
                <c:pt idx="15">
                  <c:v>18736.101359703338</c:v>
                </c:pt>
                <c:pt idx="16">
                  <c:v>5549.7654320987658</c:v>
                </c:pt>
                <c:pt idx="17">
                  <c:v>99.14905032728835</c:v>
                </c:pt>
                <c:pt idx="18">
                  <c:v>-20.925389631922187</c:v>
                </c:pt>
              </c:numCache>
            </c:numRef>
          </c:yVal>
          <c:smooth val="0"/>
        </c:ser>
        <c:ser>
          <c:idx val="16"/>
          <c:order val="4"/>
          <c:tx>
            <c:strRef>
              <c:f>'Prime-Scatter'!$C$99</c:f>
              <c:strCache>
                <c:ptCount val="1"/>
                <c:pt idx="0">
                  <c:v>#N/A</c:v>
                </c:pt>
              </c:strCache>
            </c:strRef>
          </c:tx>
          <c:spPr>
            <a:ln w="9525">
              <a:noFill/>
            </a:ln>
          </c:spPr>
          <c:marker>
            <c:symbol val="diamond"/>
            <c:size val="7"/>
            <c:spPr>
              <a:noFill/>
              <a:ln w="12700">
                <a:solidFill>
                  <a:schemeClr val="tx1"/>
                </a:solidFill>
              </a:ln>
            </c:spPr>
          </c:marker>
          <c:xVal>
            <c:numRef>
              <c:f>'Prime-Scatter'!$D$99:$D$113</c:f>
              <c:numCache>
                <c:formatCode>0%</c:formatCode>
                <c:ptCount val="15"/>
                <c:pt idx="0">
                  <c:v>7.8E-2</c:v>
                </c:pt>
                <c:pt idx="1">
                  <c:v>0.187</c:v>
                </c:pt>
                <c:pt idx="2">
                  <c:v>0.28300000000000003</c:v>
                </c:pt>
                <c:pt idx="3">
                  <c:v>0.11699999999999999</c:v>
                </c:pt>
                <c:pt idx="4">
                  <c:v>0.11699999999999999</c:v>
                </c:pt>
                <c:pt idx="5">
                  <c:v>3.6000000000000004E-2</c:v>
                </c:pt>
                <c:pt idx="6">
                  <c:v>-1.6E-2</c:v>
                </c:pt>
                <c:pt idx="7">
                  <c:v>0.20100000000000001</c:v>
                </c:pt>
                <c:pt idx="8">
                  <c:v>-0.222</c:v>
                </c:pt>
                <c:pt idx="9">
                  <c:v>-2.6000000000000002E-2</c:v>
                </c:pt>
                <c:pt idx="10">
                  <c:v>8.3000000000000004E-2</c:v>
                </c:pt>
                <c:pt idx="11">
                  <c:v>-6.6000000000000003E-2</c:v>
                </c:pt>
                <c:pt idx="12">
                  <c:v>4.9000000000000002E-2</c:v>
                </c:pt>
                <c:pt idx="13">
                  <c:v>-3.1E-2</c:v>
                </c:pt>
                <c:pt idx="14">
                  <c:v>0.32</c:v>
                </c:pt>
              </c:numCache>
            </c:numRef>
          </c:xVal>
          <c:yVal>
            <c:numRef>
              <c:f>'Prime-Scatter'!$E$99:$E$113</c:f>
              <c:numCache>
                <c:formatCode>_(* #,##0.00_);_(* \(#,##0.00\);_(* "-"??_);_(@_)</c:formatCode>
                <c:ptCount val="15"/>
                <c:pt idx="0">
                  <c:v>144.35524881946967</c:v>
                </c:pt>
                <c:pt idx="1">
                  <c:v>620.06190283945637</c:v>
                </c:pt>
                <c:pt idx="2">
                  <c:v>5173.8097081596197</c:v>
                </c:pt>
                <c:pt idx="3">
                  <c:v>596.32398022249686</c:v>
                </c:pt>
                <c:pt idx="4">
                  <c:v>193.37086814384307</c:v>
                </c:pt>
                <c:pt idx="5">
                  <c:v>51.145764262032699</c:v>
                </c:pt>
                <c:pt idx="6">
                  <c:v>-28.408198304539113</c:v>
                </c:pt>
                <c:pt idx="7">
                  <c:v>122.09850625756965</c:v>
                </c:pt>
                <c:pt idx="8">
                  <c:v>-1484.7376243283411</c:v>
                </c:pt>
                <c:pt idx="9">
                  <c:v>-26.270009440889545</c:v>
                </c:pt>
                <c:pt idx="10">
                  <c:v>464.65636588380715</c:v>
                </c:pt>
                <c:pt idx="11">
                  <c:v>-580.1658474710639</c:v>
                </c:pt>
                <c:pt idx="12">
                  <c:v>91.937082818294201</c:v>
                </c:pt>
                <c:pt idx="13">
                  <c:v>-193.26419549049703</c:v>
                </c:pt>
                <c:pt idx="14">
                  <c:v>1249.4898360655739</c:v>
                </c:pt>
              </c:numCache>
            </c:numRef>
          </c:yVal>
          <c:smooth val="0"/>
        </c:ser>
        <c:ser>
          <c:idx val="14"/>
          <c:order val="5"/>
          <c:tx>
            <c:strRef>
              <c:f>'Prime-Scatter'!$C$74</c:f>
              <c:strCache>
                <c:ptCount val="1"/>
                <c:pt idx="0">
                  <c:v>Other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7"/>
            <c:spPr>
              <a:noFill/>
              <a:ln>
                <a:solidFill>
                  <a:srgbClr val="7030A0"/>
                </a:solidFill>
              </a:ln>
            </c:spPr>
          </c:marker>
          <c:xVal>
            <c:strRef>
              <c:f>'Prime-Scatter'!$D$74:$D$98</c:f>
              <c:strCache>
                <c:ptCount val="25"/>
                <c:pt idx="0">
                  <c:v>-8%</c:v>
                </c:pt>
                <c:pt idx="1">
                  <c:v>2%</c:v>
                </c:pt>
                <c:pt idx="2">
                  <c:v>25%</c:v>
                </c:pt>
                <c:pt idx="4">
                  <c:v>15%</c:v>
                </c:pt>
                <c:pt idx="5">
                  <c:v>284%</c:v>
                </c:pt>
                <c:pt idx="6">
                  <c:v>15%</c:v>
                </c:pt>
                <c:pt idx="7">
                  <c:v>3%</c:v>
                </c:pt>
                <c:pt idx="10">
                  <c:v>6%</c:v>
                </c:pt>
                <c:pt idx="11">
                  <c:v>111%</c:v>
                </c:pt>
                <c:pt idx="12">
                  <c:v>-12%</c:v>
                </c:pt>
                <c:pt idx="13">
                  <c:v>3%</c:v>
                </c:pt>
                <c:pt idx="14">
                  <c:v>-60%</c:v>
                </c:pt>
                <c:pt idx="15">
                  <c:v>7%</c:v>
                </c:pt>
                <c:pt idx="16">
                  <c:v>-1%</c:v>
                </c:pt>
                <c:pt idx="17">
                  <c:v>-27%</c:v>
                </c:pt>
                <c:pt idx="18">
                  <c:v>80%</c:v>
                </c:pt>
                <c:pt idx="19">
                  <c:v>4%</c:v>
                </c:pt>
                <c:pt idx="20">
                  <c:v>18%</c:v>
                </c:pt>
                <c:pt idx="21">
                  <c:v>14%</c:v>
                </c:pt>
                <c:pt idx="22">
                  <c:v>14%</c:v>
                </c:pt>
                <c:pt idx="23">
                  <c:v>13%</c:v>
                </c:pt>
                <c:pt idx="24">
                  <c:v>26%</c:v>
                </c:pt>
              </c:strCache>
            </c:strRef>
          </c:xVal>
          <c:yVal>
            <c:numRef>
              <c:f>'Prime-Scatter'!$E$74:$E$98</c:f>
              <c:numCache>
                <c:formatCode>_(* #,##0.00_);_(* \(#,##0.00\);_(* "-"??_);_(@_)</c:formatCode>
                <c:ptCount val="25"/>
                <c:pt idx="0">
                  <c:v>-272.2123151159131</c:v>
                </c:pt>
                <c:pt idx="1">
                  <c:v>60.930621140573919</c:v>
                </c:pt>
                <c:pt idx="2">
                  <c:v>4004.0268603535706</c:v>
                </c:pt>
                <c:pt idx="3">
                  <c:v>0</c:v>
                </c:pt>
                <c:pt idx="4">
                  <c:v>324.7918634217217</c:v>
                </c:pt>
                <c:pt idx="5">
                  <c:v>7486.4414478353447</c:v>
                </c:pt>
                <c:pt idx="6">
                  <c:v>7366.7066615226322</c:v>
                </c:pt>
                <c:pt idx="7">
                  <c:v>47.082789875096722</c:v>
                </c:pt>
                <c:pt idx="8">
                  <c:v>0</c:v>
                </c:pt>
                <c:pt idx="9">
                  <c:v>0</c:v>
                </c:pt>
                <c:pt idx="10">
                  <c:v>642.84495961397249</c:v>
                </c:pt>
                <c:pt idx="11">
                  <c:v>1114.3462299134733</c:v>
                </c:pt>
                <c:pt idx="12">
                  <c:v>-468.10172765318168</c:v>
                </c:pt>
                <c:pt idx="13">
                  <c:v>518.88726823238574</c:v>
                </c:pt>
                <c:pt idx="14">
                  <c:v>-2163.7236766891506</c:v>
                </c:pt>
                <c:pt idx="15">
                  <c:v>763.89489142977027</c:v>
                </c:pt>
                <c:pt idx="16">
                  <c:v>-402.1410769406653</c:v>
                </c:pt>
                <c:pt idx="17">
                  <c:v>-441.20919713531839</c:v>
                </c:pt>
                <c:pt idx="18">
                  <c:v>13172.59258202568</c:v>
                </c:pt>
                <c:pt idx="19">
                  <c:v>61.226477649479818</c:v>
                </c:pt>
                <c:pt idx="20">
                  <c:v>2930.9376588924506</c:v>
                </c:pt>
                <c:pt idx="21">
                  <c:v>1585.7687631258982</c:v>
                </c:pt>
                <c:pt idx="22">
                  <c:v>945.46644518272444</c:v>
                </c:pt>
                <c:pt idx="23">
                  <c:v>2439.4831370755687</c:v>
                </c:pt>
                <c:pt idx="24">
                  <c:v>6026.9836357914619</c:v>
                </c:pt>
              </c:numCache>
            </c:numRef>
          </c:yVal>
          <c:smooth val="0"/>
        </c:ser>
        <c:ser>
          <c:idx val="0"/>
          <c:order val="6"/>
          <c:tx>
            <c:strRef>
              <c:f>'Prime-Scatter'!$H$4</c:f>
              <c:strCache>
                <c:ptCount val="1"/>
                <c:pt idx="0">
                  <c:v>Boeing Average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'Prime-Scatter'!$D$4</c:f>
              <c:numCache>
                <c:formatCode>0%</c:formatCode>
                <c:ptCount val="1"/>
                <c:pt idx="0">
                  <c:v>2.2070453213257442</c:v>
                </c:pt>
              </c:numCache>
            </c:numRef>
          </c:xVal>
          <c:yVal>
            <c:numRef>
              <c:f>'Prime-Scatter'!$G$4</c:f>
              <c:numCache>
                <c:formatCode>_(* #,##0.00_);_(* \(#,##0.00\);_(* "-"??_);_(@_)</c:formatCode>
                <c:ptCount val="1"/>
                <c:pt idx="0">
                  <c:v>19734.212515348463</c:v>
                </c:pt>
              </c:numCache>
            </c:numRef>
          </c:yVal>
          <c:smooth val="0"/>
        </c:ser>
        <c:ser>
          <c:idx val="1"/>
          <c:order val="7"/>
          <c:tx>
            <c:strRef>
              <c:f>'Prime-Scatter'!$H$5</c:f>
              <c:strCache>
                <c:ptCount val="1"/>
                <c:pt idx="0">
                  <c:v>General Dynamics Average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'Prime-Scatter'!$D$5</c:f>
              <c:numCache>
                <c:formatCode>0%</c:formatCode>
                <c:ptCount val="1"/>
                <c:pt idx="0">
                  <c:v>-5.2349185219870781E-2</c:v>
                </c:pt>
              </c:numCache>
            </c:numRef>
          </c:xVal>
          <c:yVal>
            <c:numRef>
              <c:f>'Prime-Scatter'!$G$5</c:f>
              <c:numCache>
                <c:formatCode>_(* #,##0.00_);_(* \(#,##0.00\);_(* "-"??_);_(@_)</c:formatCode>
                <c:ptCount val="1"/>
                <c:pt idx="0">
                  <c:v>7893.8455197840085</c:v>
                </c:pt>
              </c:numCache>
            </c:numRef>
          </c:yVal>
          <c:smooth val="0"/>
        </c:ser>
        <c:ser>
          <c:idx val="2"/>
          <c:order val="8"/>
          <c:tx>
            <c:strRef>
              <c:f>'Prime-Scatter'!$H$6</c:f>
              <c:strCache>
                <c:ptCount val="1"/>
                <c:pt idx="0">
                  <c:v>Lockheed Martin Average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'Prime-Scatter'!$D$6</c:f>
              <c:numCache>
                <c:formatCode>0%</c:formatCode>
                <c:ptCount val="1"/>
                <c:pt idx="0">
                  <c:v>0.38143353628540089</c:v>
                </c:pt>
              </c:numCache>
            </c:numRef>
          </c:xVal>
          <c:yVal>
            <c:numRef>
              <c:f>'Prime-Scatter'!$G$6</c:f>
              <c:numCache>
                <c:formatCode>_(* #,##0.00_);_(* \(#,##0.00\);_(* "-"??_);_(@_)</c:formatCode>
                <c:ptCount val="1"/>
                <c:pt idx="0">
                  <c:v>21765.335133876401</c:v>
                </c:pt>
              </c:numCache>
            </c:numRef>
          </c:yVal>
          <c:smooth val="0"/>
        </c:ser>
        <c:ser>
          <c:idx val="3"/>
          <c:order val="9"/>
          <c:tx>
            <c:strRef>
              <c:f>'Prime-Scatter'!$H$7</c:f>
              <c:strCache>
                <c:ptCount val="1"/>
                <c:pt idx="0">
                  <c:v>Northrop Grumman Average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'Prime-Scatter'!$D$7</c:f>
              <c:numCache>
                <c:formatCode>0%</c:formatCode>
                <c:ptCount val="1"/>
                <c:pt idx="0">
                  <c:v>-0.14451166110762739</c:v>
                </c:pt>
              </c:numCache>
            </c:numRef>
          </c:xVal>
          <c:yVal>
            <c:numRef>
              <c:f>'Prime-Scatter'!$G$7</c:f>
              <c:numCache>
                <c:formatCode>_(* #,##0.00_);_(* \(#,##0.00\);_(* "-"??_);_(@_)</c:formatCode>
                <c:ptCount val="1"/>
                <c:pt idx="0">
                  <c:v>6818.9098274176367</c:v>
                </c:pt>
              </c:numCache>
            </c:numRef>
          </c:yVal>
          <c:smooth val="0"/>
        </c:ser>
        <c:ser>
          <c:idx val="4"/>
          <c:order val="10"/>
          <c:tx>
            <c:strRef>
              <c:f>'Prime-Scatter'!$H$9</c:f>
              <c:strCache>
                <c:ptCount val="1"/>
                <c:pt idx="0">
                  <c:v>Raytheon Average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  <a:ln w="25400">
                <a:solidFill>
                  <a:sysClr val="windowText" lastClr="000000"/>
                </a:solidFill>
              </a:ln>
            </c:spPr>
          </c:marker>
          <c:xVal>
            <c:numRef>
              <c:f>'Prime-Scatter'!$D$9</c:f>
              <c:numCache>
                <c:formatCode>0%</c:formatCode>
                <c:ptCount val="1"/>
                <c:pt idx="0">
                  <c:v>9.5381786657996598E-2</c:v>
                </c:pt>
              </c:numCache>
            </c:numRef>
          </c:xVal>
          <c:yVal>
            <c:numRef>
              <c:f>'Prime-Scatter'!$G$9</c:f>
              <c:numCache>
                <c:formatCode>_(* #,##0.00_);_(* \(#,##0.00\);_(* "-"??_);_(@_)</c:formatCode>
                <c:ptCount val="1"/>
                <c:pt idx="0">
                  <c:v>4665.7768955068377</c:v>
                </c:pt>
              </c:numCache>
            </c:numRef>
          </c:yVal>
          <c:smooth val="0"/>
        </c:ser>
        <c:ser>
          <c:idx val="7"/>
          <c:order val="11"/>
          <c:tx>
            <c:strRef>
              <c:f>'Prime-Scatter'!$H$8</c:f>
              <c:strCache>
                <c:ptCount val="1"/>
                <c:pt idx="0">
                  <c:v>Other Average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 w="25400">
                <a:solidFill>
                  <a:srgbClr val="7030A0"/>
                </a:solidFill>
              </a:ln>
            </c:spPr>
          </c:marker>
          <c:xVal>
            <c:numRef>
              <c:f>'Prime-Scatter'!$D$8</c:f>
              <c:numCache>
                <c:formatCode>0%</c:formatCode>
                <c:ptCount val="1"/>
                <c:pt idx="0">
                  <c:v>0</c:v>
                </c:pt>
              </c:numCache>
            </c:numRef>
          </c:xVal>
          <c:yVal>
            <c:numRef>
              <c:f>'Prime-Scatter'!$G$8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9"/>
          <c:order val="12"/>
          <c:tx>
            <c:v>Highlight Box</c:v>
          </c:tx>
          <c:spPr>
            <a:ln w="22225">
              <a:solidFill>
                <a:srgbClr val="4F81BD"/>
              </a:solidFill>
              <a:prstDash val="dash"/>
            </a:ln>
          </c:spPr>
          <c:marker>
            <c:symbol val="none"/>
          </c:marker>
          <c:xVal>
            <c:numRef>
              <c:f>'Prime-Scatter'!$L$42:$L$46</c:f>
              <c:numCache>
                <c:formatCode>0%</c:formatCode>
                <c:ptCount val="5"/>
                <c:pt idx="0">
                  <c:v>-0.25</c:v>
                </c:pt>
                <c:pt idx="1">
                  <c:v>0.5</c:v>
                </c:pt>
                <c:pt idx="2">
                  <c:v>0.5</c:v>
                </c:pt>
                <c:pt idx="3">
                  <c:v>-0.25</c:v>
                </c:pt>
                <c:pt idx="4">
                  <c:v>-0.25</c:v>
                </c:pt>
              </c:numCache>
            </c:numRef>
          </c:xVal>
          <c:yVal>
            <c:numRef>
              <c:f>'Prime-Scatter'!$M$42:$M$46</c:f>
              <c:numCache>
                <c:formatCode>General</c:formatCode>
                <c:ptCount val="5"/>
                <c:pt idx="0">
                  <c:v>-2000</c:v>
                </c:pt>
                <c:pt idx="1">
                  <c:v>-2000</c:v>
                </c:pt>
                <c:pt idx="2">
                  <c:v>10000</c:v>
                </c:pt>
                <c:pt idx="3">
                  <c:v>10000</c:v>
                </c:pt>
                <c:pt idx="4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98688"/>
        <c:axId val="430539904"/>
      </c:scatterChart>
      <c:valAx>
        <c:axId val="43009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/>
                </a:pPr>
                <a:r>
                  <a:rPr lang="en-US" sz="1000" b="0" i="0" baseline="0"/>
                  <a:t>Real cost overruns (in percent, quantity adjusted, prime averages unweighted)</a:t>
                </a:r>
              </a:p>
            </c:rich>
          </c:tx>
          <c:layout>
            <c:manualLayout>
              <c:xMode val="edge"/>
              <c:yMode val="edge"/>
              <c:x val="0.23608798900137504"/>
              <c:y val="0.79491693809358233"/>
            </c:manualLayout>
          </c:layout>
          <c:overlay val="0"/>
        </c:title>
        <c:numFmt formatCode="0%" sourceLinked="1"/>
        <c:majorTickMark val="out"/>
        <c:minorTickMark val="none"/>
        <c:tickLblPos val="low"/>
        <c:crossAx val="430539904"/>
        <c:crosses val="autoZero"/>
        <c:crossBetween val="midCat"/>
      </c:valAx>
      <c:valAx>
        <c:axId val="43053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100" b="0" i="0" baseline="0"/>
                  <a:t>Real cost overruns </a:t>
                </a:r>
                <a:br>
                  <a:rPr lang="en-US" sz="1100" b="0" i="0" baseline="0"/>
                </a:br>
                <a:r>
                  <a:rPr lang="en-US" sz="1100" b="0" i="0" baseline="0"/>
                  <a:t>(in 2010 billions, quantity adjusted)</a:t>
                </a:r>
              </a:p>
            </c:rich>
          </c:tx>
          <c:overlay val="0"/>
        </c:title>
        <c:numFmt formatCode="_(* #,##0_);_(* \(#,##0\);_(* &quot;-&quot;_);_(@_)" sourceLinked="0"/>
        <c:majorTickMark val="out"/>
        <c:minorTickMark val="none"/>
        <c:tickLblPos val="low"/>
        <c:crossAx val="430098688"/>
        <c:crosses val="autoZero"/>
        <c:crossBetween val="midCat"/>
        <c:dispUnits>
          <c:builtInUnit val="thousands"/>
        </c:dispUnits>
      </c:valAx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3.8949605673935572E-2"/>
          <c:y val="0.88705240911151151"/>
          <c:w val="0.76282855963938456"/>
          <c:h val="0.11294759088848834"/>
        </c:manualLayout>
      </c:layout>
      <c:overlay val="0"/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81" l="0.70000000000000062" r="0.70000000000000062" t="0.750000000000008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874602</xdr:colOff>
      <xdr:row>15</xdr:row>
      <xdr:rowOff>135419</xdr:rowOff>
    </xdr:from>
    <xdr:to>
      <xdr:col>28</xdr:col>
      <xdr:colOff>571500</xdr:colOff>
      <xdr:row>53</xdr:row>
      <xdr:rowOff>78440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179294</xdr:colOff>
      <xdr:row>2</xdr:row>
      <xdr:rowOff>448235</xdr:rowOff>
    </xdr:from>
    <xdr:to>
      <xdr:col>13</xdr:col>
      <xdr:colOff>625288</xdr:colOff>
      <xdr:row>21</xdr:row>
      <xdr:rowOff>26894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0.16386</cdr:x>
      <cdr:y>0.02838</cdr:y>
    </cdr:from>
    <cdr:to>
      <cdr:x>0.41508</cdr:x>
      <cdr:y>0.11075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98994" y="103817"/>
          <a:ext cx="1378322" cy="301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/>
            <a:t>Cost Overruns</a:t>
          </a:r>
        </a:p>
      </cdr:txBody>
    </cdr:sp>
  </cdr:relSizeAnchor>
  <cdr:relSizeAnchor xmlns:cdr="http://schemas.openxmlformats.org/drawingml/2006/chartDrawing">
    <cdr:from>
      <cdr:x>0.63696</cdr:x>
      <cdr:y>0.73476</cdr:y>
    </cdr:from>
    <cdr:to>
      <cdr:x>0.84074</cdr:x>
      <cdr:y>0.79061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94609" y="2687452"/>
          <a:ext cx="1118019" cy="204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Cost Savings</a:t>
          </a:r>
        </a:p>
        <a:p xmlns:a="http://schemas.openxmlformats.org/drawingml/2006/main">
          <a:endParaRPr lang="en-US" sz="1100" b="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1767529</xdr:colOff>
      <xdr:row>17</xdr:row>
      <xdr:rowOff>37417</xdr:rowOff>
    </xdr:from>
    <xdr:to>
      <xdr:col>13</xdr:col>
      <xdr:colOff>194223</xdr:colOff>
      <xdr:row>37</xdr:row>
      <xdr:rowOff>22177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162799</xdr:colOff>
      <xdr:row>16</xdr:row>
      <xdr:rowOff>97687</xdr:rowOff>
    </xdr:from>
    <xdr:to>
      <xdr:col>18</xdr:col>
      <xdr:colOff>48499</xdr:colOff>
      <xdr:row>35</xdr:row>
      <xdr:rowOff>135787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0.52216</cdr:x>
      <cdr:y>0.04412</cdr:y>
    </cdr:from>
    <cdr:to>
      <cdr:x>0.70207</cdr:x>
      <cdr:y>0.09691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124980" y="235323"/>
          <a:ext cx="1076739" cy="281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F-35</a:t>
          </a:r>
        </a:p>
      </cdr:txBody>
    </cdr:sp>
  </cdr:relSizeAnchor>
  <cdr:relSizeAnchor xmlns:cdr="http://schemas.openxmlformats.org/drawingml/2006/chartDrawing">
    <cdr:from>
      <cdr:x>0.49113</cdr:x>
      <cdr:y>0.08038</cdr:y>
    </cdr:from>
    <cdr:to>
      <cdr:x>0.536</cdr:x>
      <cdr:y>0.10235</cdr:y>
    </cdr:to>
    <cdr:sp macro="" textlink="">
      <cdr:nvSpPr>
        <cdr:cNvPr id="4" name="Straight Arrow Connector 3"/>
        <cdr:cNvSpPr/>
      </cdr:nvSpPr>
      <cdr:spPr>
        <a:xfrm xmlns:a="http://schemas.openxmlformats.org/drawingml/2006/main" rot="10800000" flipV="1">
          <a:off x="1571824" y="305023"/>
          <a:ext cx="143590" cy="83384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0.6522</cdr:x>
      <cdr:y>0.42708</cdr:y>
    </cdr:from>
    <cdr:to>
      <cdr:x>1</cdr:x>
      <cdr:y>0.55701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143324" y="1620668"/>
          <a:ext cx="1113106" cy="493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CHEM DEMIL-ACWA</a:t>
          </a:r>
        </a:p>
      </cdr:txBody>
    </cdr:sp>
  </cdr:relSizeAnchor>
  <cdr:relSizeAnchor xmlns:cdr="http://schemas.openxmlformats.org/drawingml/2006/chartDrawing">
    <cdr:from>
      <cdr:x>0.78165</cdr:x>
      <cdr:y>0.54133</cdr:y>
    </cdr:from>
    <cdr:to>
      <cdr:x>0.79753</cdr:x>
      <cdr:y>0.57279</cdr:y>
    </cdr:to>
    <cdr:sp macro="" textlink="">
      <cdr:nvSpPr>
        <cdr:cNvPr id="6" name="Straight Arrow Connector 5"/>
        <cdr:cNvSpPr/>
      </cdr:nvSpPr>
      <cdr:spPr>
        <a:xfrm xmlns:a="http://schemas.openxmlformats.org/drawingml/2006/main" rot="10800000" flipV="1">
          <a:off x="2501594" y="2054219"/>
          <a:ext cx="50833" cy="119366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0.48405</cdr:x>
      <cdr:y>0.37698</cdr:y>
    </cdr:from>
    <cdr:to>
      <cdr:x>0.54716</cdr:x>
      <cdr:y>0.39749</cdr:y>
    </cdr:to>
    <cdr:sp macro="" textlink="">
      <cdr:nvSpPr>
        <cdr:cNvPr id="7" name="Straight Arrow Connector 6"/>
        <cdr:cNvSpPr/>
      </cdr:nvSpPr>
      <cdr:spPr>
        <a:xfrm xmlns:a="http://schemas.openxmlformats.org/drawingml/2006/main" rot="10800000" flipV="1">
          <a:off x="1549167" y="1430555"/>
          <a:ext cx="201951" cy="77814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4F81BD">
              <a:shade val="95000"/>
              <a:satMod val="105000"/>
            </a:srgbClr>
          </a:solidFill>
          <a:prstDash val="solid"/>
          <a:tailEnd type="arrow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0.52053</cdr:x>
      <cdr:y>0.33529</cdr:y>
    </cdr:from>
    <cdr:to>
      <cdr:x>0.70044</cdr:x>
      <cdr:y>0.38808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665904" y="1272334"/>
          <a:ext cx="575784" cy="200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FCS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554180</xdr:colOff>
      <xdr:row>32</xdr:row>
      <xdr:rowOff>0</xdr:rowOff>
    </xdr:from>
    <xdr:to>
      <xdr:col>13</xdr:col>
      <xdr:colOff>374566</xdr:colOff>
      <xdr:row>51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0.14853</cdr:x>
      <cdr:y>0.03025</cdr:y>
    </cdr:from>
    <cdr:to>
      <cdr:x>0.37874</cdr:x>
      <cdr:y>0.11408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83699" y="110631"/>
          <a:ext cx="1369635" cy="306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/>
            <a:t>Cost Overruns</a:t>
          </a:r>
        </a:p>
      </cdr:txBody>
    </cdr:sp>
  </cdr:relSizeAnchor>
  <cdr:relSizeAnchor xmlns:cdr="http://schemas.openxmlformats.org/drawingml/2006/chartDrawing">
    <cdr:from>
      <cdr:x>0.68688</cdr:x>
      <cdr:y>0.70607</cdr:y>
    </cdr:from>
    <cdr:to>
      <cdr:x>0.86789</cdr:x>
      <cdr:y>0.76073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4076938" y="2582517"/>
          <a:ext cx="1074388" cy="199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Cost Savings</a:t>
          </a:r>
        </a:p>
        <a:p xmlns:a="http://schemas.openxmlformats.org/drawingml/2006/main">
          <a:endParaRPr lang="en-US" sz="1100" b="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173182</xdr:colOff>
      <xdr:row>8</xdr:row>
      <xdr:rowOff>123393</xdr:rowOff>
    </xdr:from>
    <xdr:to>
      <xdr:col>38</xdr:col>
      <xdr:colOff>20782</xdr:colOff>
      <xdr:row>25</xdr:row>
      <xdr:rowOff>101918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0.35954</cdr:x>
      <cdr:y>0.03431</cdr:y>
    </cdr:from>
    <cdr:to>
      <cdr:x>0.61029</cdr:x>
      <cdr:y>0.11668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136965" y="110384"/>
          <a:ext cx="1490358" cy="26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/>
            <a:t>Cost Overruns</a:t>
          </a:r>
        </a:p>
      </cdr:txBody>
    </cdr:sp>
  </cdr:relSizeAnchor>
  <cdr:relSizeAnchor xmlns:cdr="http://schemas.openxmlformats.org/drawingml/2006/chartDrawing">
    <cdr:from>
      <cdr:x>0.49563</cdr:x>
      <cdr:y>0.67679</cdr:y>
    </cdr:from>
    <cdr:to>
      <cdr:x>0.69941</cdr:x>
      <cdr:y>0.74832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959308" y="2582446"/>
          <a:ext cx="1216732" cy="2729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Cost Savings</a:t>
          </a:r>
        </a:p>
        <a:p xmlns:a="http://schemas.openxmlformats.org/drawingml/2006/main">
          <a:endParaRPr lang="en-US" sz="1100" b="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503464</xdr:colOff>
      <xdr:row>59</xdr:row>
      <xdr:rowOff>125184</xdr:rowOff>
    </xdr:from>
    <xdr:to>
      <xdr:col>32</xdr:col>
      <xdr:colOff>398689</xdr:colOff>
      <xdr:row>88</xdr:row>
      <xdr:rowOff>1359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0.15992</cdr:x>
      <cdr:y>0</cdr:y>
    </cdr:from>
    <cdr:to>
      <cdr:x>0.25091</cdr:x>
      <cdr:y>0.04908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99882" y="0"/>
          <a:ext cx="739589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Economic</a:t>
          </a:r>
        </a:p>
      </cdr:txBody>
    </cdr:sp>
  </cdr:relSizeAnchor>
  <cdr:relSizeAnchor xmlns:cdr="http://schemas.openxmlformats.org/drawingml/2006/chartDrawing">
    <cdr:from>
      <cdr:x>0.28262</cdr:x>
      <cdr:y>0</cdr:y>
    </cdr:from>
    <cdr:to>
      <cdr:x>0.38326</cdr:x>
      <cdr:y>0.04908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297206" y="0"/>
          <a:ext cx="818029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Quantity</a:t>
          </a:r>
        </a:p>
      </cdr:txBody>
    </cdr:sp>
  </cdr:relSizeAnchor>
  <cdr:relSizeAnchor xmlns:cdr="http://schemas.openxmlformats.org/drawingml/2006/chartDrawing">
    <cdr:from>
      <cdr:x>0.43978</cdr:x>
      <cdr:y>0</cdr:y>
    </cdr:from>
    <cdr:to>
      <cdr:x>0.54042</cdr:x>
      <cdr:y>0.04908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574676" y="0"/>
          <a:ext cx="818029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Schedule</a:t>
          </a:r>
        </a:p>
      </cdr:txBody>
    </cdr:sp>
  </cdr:relSizeAnchor>
  <cdr:relSizeAnchor xmlns:cdr="http://schemas.openxmlformats.org/drawingml/2006/chartDrawing">
    <cdr:from>
      <cdr:x>0.55835</cdr:x>
      <cdr:y>0</cdr:y>
    </cdr:from>
    <cdr:to>
      <cdr:x>0.67139</cdr:x>
      <cdr:y>0.04908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538383" y="0"/>
          <a:ext cx="918882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Engineering</a:t>
          </a:r>
        </a:p>
      </cdr:txBody>
    </cdr:sp>
  </cdr:relSizeAnchor>
  <cdr:relSizeAnchor xmlns:cdr="http://schemas.openxmlformats.org/drawingml/2006/chartDrawing">
    <cdr:from>
      <cdr:x>0.6731</cdr:x>
      <cdr:y>0</cdr:y>
    </cdr:from>
    <cdr:to>
      <cdr:x>0.78615</cdr:x>
      <cdr:y>0.04908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879135" y="0"/>
          <a:ext cx="987426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Estimating</a:t>
          </a:r>
        </a:p>
      </cdr:txBody>
    </cdr:sp>
  </cdr:relSizeAnchor>
  <cdr:relSizeAnchor xmlns:cdr="http://schemas.openxmlformats.org/drawingml/2006/chartDrawing">
    <cdr:from>
      <cdr:x>0.81891</cdr:x>
      <cdr:y>0</cdr:y>
    </cdr:from>
    <cdr:to>
      <cdr:x>0.90438</cdr:x>
      <cdr:y>0.04908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6656293" y="0"/>
          <a:ext cx="694765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0"/>
            <a:t>Support</a:t>
          </a:r>
        </a:p>
      </cdr:txBody>
    </cdr:sp>
  </cdr:relSizeAnchor>
  <cdr:relSizeAnchor xmlns:cdr="http://schemas.openxmlformats.org/drawingml/2006/chartDrawing">
    <cdr:from>
      <cdr:x>0.89798</cdr:x>
      <cdr:y>0</cdr:y>
    </cdr:from>
    <cdr:to>
      <cdr:x>0.98346</cdr:x>
      <cdr:y>0.04908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299025" y="0"/>
          <a:ext cx="694765" cy="219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0"/>
            <a:t>Other</a:t>
          </a:r>
        </a:p>
      </cdr:txBody>
    </cdr:sp>
  </cdr:relSizeAnchor>
  <cdr:relSizeAnchor xmlns:cdr="http://schemas.openxmlformats.org/drawingml/2006/chartDrawing">
    <cdr:from>
      <cdr:x>0.04713</cdr:x>
      <cdr:y>0.92177</cdr:y>
    </cdr:from>
    <cdr:to>
      <cdr:x>0.17656</cdr:x>
      <cdr:y>0.97438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87854" y="4214328"/>
          <a:ext cx="1065184" cy="24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Cost Increase</a:t>
          </a:r>
        </a:p>
      </cdr:txBody>
    </cdr:sp>
  </cdr:relSizeAnchor>
  <cdr:relSizeAnchor xmlns:cdr="http://schemas.openxmlformats.org/drawingml/2006/chartDrawing">
    <cdr:from>
      <cdr:x>0.30915</cdr:x>
      <cdr:y>0.92814</cdr:y>
    </cdr:from>
    <cdr:to>
      <cdr:x>0.96197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544214" y="4243471"/>
          <a:ext cx="5372421" cy="328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Note:</a:t>
          </a:r>
          <a:r>
            <a:rPr lang="en-US" sz="1100" baseline="0"/>
            <a:t> Adjusting for quantity does not merely mean ignoring changes in the quantity category. For example, C-130J quantity related increases also changes support costs.</a:t>
          </a:r>
          <a:endParaRPr lang="en-US" sz="1100"/>
        </a:p>
      </cdr:txBody>
    </cdr:sp>
  </cdr:relSizeAnchor>
  <cdr:relSizeAnchor xmlns:cdr="http://schemas.openxmlformats.org/drawingml/2006/chartDrawing">
    <cdr:from>
      <cdr:x>0.18378</cdr:x>
      <cdr:y>0.91552</cdr:y>
    </cdr:from>
    <cdr:to>
      <cdr:x>0.3254</cdr:x>
      <cdr:y>0.99098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512446" y="4185753"/>
          <a:ext cx="1165439" cy="345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Cost Decreases</a:t>
          </a:r>
        </a:p>
      </cdr:txBody>
    </cdr:sp>
  </cdr:relSizeAnchor>
  <cdr:relSizeAnchor xmlns:cdr="http://schemas.openxmlformats.org/drawingml/2006/chartDrawing">
    <cdr:from>
      <cdr:x>0.03858</cdr:x>
      <cdr:y>0.9365</cdr:y>
    </cdr:from>
    <cdr:to>
      <cdr:x>0.05372</cdr:x>
      <cdr:y>0.95755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317526" y="4281683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0.16387</cdr:x>
      <cdr:y>0.94071</cdr:y>
    </cdr:from>
    <cdr:to>
      <cdr:x>0.17901</cdr:x>
      <cdr:y>0.96176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1348563" y="4300927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0.15501</cdr:x>
      <cdr:y>0.05041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0" y="0"/>
          <a:ext cx="1353910" cy="22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Baseline-Weighted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13604</xdr:colOff>
      <xdr:row>2</xdr:row>
      <xdr:rowOff>300597</xdr:rowOff>
    </xdr:from>
    <xdr:to>
      <xdr:col>38</xdr:col>
      <xdr:colOff>501977</xdr:colOff>
      <xdr:row>14</xdr:row>
      <xdr:rowOff>184664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0.64551</cdr:x>
      <cdr:y>0.04865</cdr:y>
    </cdr:from>
    <cdr:to>
      <cdr:x>0.88192</cdr:x>
      <cdr:y>0.1028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770761" y="177928"/>
          <a:ext cx="648520" cy="198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0.65471</cdr:x>
      <cdr:y>0.70875</cdr:y>
    </cdr:from>
    <cdr:to>
      <cdr:x>0.85849</cdr:x>
      <cdr:y>0.7735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919458" y="2208459"/>
          <a:ext cx="1219949" cy="201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Cost Savings</a:t>
          </a:r>
        </a:p>
        <a:p xmlns:a="http://schemas.openxmlformats.org/drawingml/2006/main">
          <a:endParaRPr lang="en-US" sz="1100" b="0"/>
        </a:p>
      </cdr:txBody>
    </cdr:sp>
  </cdr:relSizeAnchor>
  <cdr:relSizeAnchor xmlns:cdr="http://schemas.openxmlformats.org/drawingml/2006/chartDrawing">
    <cdr:from>
      <cdr:x>0.15922</cdr:x>
      <cdr:y>0.02543</cdr:y>
    </cdr:from>
    <cdr:to>
      <cdr:x>0.40997</cdr:x>
      <cdr:y>0.1078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946334" y="93028"/>
          <a:ext cx="1490334" cy="301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/>
            <a:t>Cost Overruns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476250</xdr:colOff>
      <xdr:row>66</xdr:row>
      <xdr:rowOff>13607</xdr:rowOff>
    </xdr:from>
    <xdr:to>
      <xdr:col>30</xdr:col>
      <xdr:colOff>666750</xdr:colOff>
      <xdr:row>94</xdr:row>
      <xdr:rowOff>51707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0.3104</cdr:x>
      <cdr:y>0</cdr:y>
    </cdr:from>
    <cdr:to>
      <cdr:x>0.41104</cdr:x>
      <cdr:y>0.04908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54450" y="0"/>
          <a:ext cx="828226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Quantity</a:t>
          </a:r>
        </a:p>
      </cdr:txBody>
    </cdr:sp>
  </cdr:relSizeAnchor>
  <cdr:relSizeAnchor xmlns:cdr="http://schemas.openxmlformats.org/drawingml/2006/chartDrawing">
    <cdr:from>
      <cdr:x>0.4826</cdr:x>
      <cdr:y>0</cdr:y>
    </cdr:from>
    <cdr:to>
      <cdr:x>0.58324</cdr:x>
      <cdr:y>0.04908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971638" y="0"/>
          <a:ext cx="828227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Schedule</a:t>
          </a:r>
        </a:p>
      </cdr:txBody>
    </cdr:sp>
  </cdr:relSizeAnchor>
  <cdr:relSizeAnchor xmlns:cdr="http://schemas.openxmlformats.org/drawingml/2006/chartDrawing">
    <cdr:from>
      <cdr:x>0.57687</cdr:x>
      <cdr:y>0</cdr:y>
    </cdr:from>
    <cdr:to>
      <cdr:x>0.68991</cdr:x>
      <cdr:y>0.04908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47397" y="0"/>
          <a:ext cx="930274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Engineering</a:t>
          </a:r>
        </a:p>
      </cdr:txBody>
    </cdr:sp>
  </cdr:relSizeAnchor>
  <cdr:relSizeAnchor xmlns:cdr="http://schemas.openxmlformats.org/drawingml/2006/chartDrawing">
    <cdr:from>
      <cdr:x>0.83511</cdr:x>
      <cdr:y>0</cdr:y>
    </cdr:from>
    <cdr:to>
      <cdr:x>0.92058</cdr:x>
      <cdr:y>0.04908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6872652" y="0"/>
          <a:ext cx="703384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0"/>
            <a:t>Support</a:t>
          </a:r>
        </a:p>
      </cdr:txBody>
    </cdr:sp>
  </cdr:relSizeAnchor>
  <cdr:relSizeAnchor xmlns:cdr="http://schemas.openxmlformats.org/drawingml/2006/chartDrawing">
    <cdr:from>
      <cdr:x>0.91418</cdr:x>
      <cdr:y>0</cdr:y>
    </cdr:from>
    <cdr:to>
      <cdr:x>0.99966</cdr:x>
      <cdr:y>0.04908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7523366" y="0"/>
          <a:ext cx="703466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0"/>
            <a:t>Other</a:t>
          </a:r>
        </a:p>
      </cdr:txBody>
    </cdr:sp>
  </cdr:relSizeAnchor>
  <cdr:relSizeAnchor xmlns:cdr="http://schemas.openxmlformats.org/drawingml/2006/chartDrawing">
    <cdr:from>
      <cdr:x>0.04713</cdr:x>
      <cdr:y>0.92177</cdr:y>
    </cdr:from>
    <cdr:to>
      <cdr:x>0.17656</cdr:x>
      <cdr:y>0.97438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87854" y="4214328"/>
          <a:ext cx="1065184" cy="24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Cost Increase</a:t>
          </a:r>
        </a:p>
      </cdr:txBody>
    </cdr:sp>
  </cdr:relSizeAnchor>
  <cdr:relSizeAnchor xmlns:cdr="http://schemas.openxmlformats.org/drawingml/2006/chartDrawing">
    <cdr:from>
      <cdr:x>0.30915</cdr:x>
      <cdr:y>0.92814</cdr:y>
    </cdr:from>
    <cdr:to>
      <cdr:x>0.96197</cdr:x>
      <cdr:y>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544214" y="4243471"/>
          <a:ext cx="5372421" cy="328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Note:</a:t>
          </a:r>
          <a:r>
            <a:rPr lang="en-US" sz="1100" baseline="0"/>
            <a:t> Adjusting for quantity does not merely mean ignoring changes in the quantity category. For example, C-130J quantity related increases also changes support costs.</a:t>
          </a:r>
          <a:endParaRPr lang="en-US" sz="1100"/>
        </a:p>
      </cdr:txBody>
    </cdr:sp>
  </cdr:relSizeAnchor>
  <cdr:relSizeAnchor xmlns:cdr="http://schemas.openxmlformats.org/drawingml/2006/chartDrawing">
    <cdr:from>
      <cdr:x>0.18378</cdr:x>
      <cdr:y>0.91552</cdr:y>
    </cdr:from>
    <cdr:to>
      <cdr:x>0.3254</cdr:x>
      <cdr:y>0.99098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512446" y="4185753"/>
          <a:ext cx="1165439" cy="345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Cost Decreases</a:t>
          </a:r>
        </a:p>
      </cdr:txBody>
    </cdr:sp>
  </cdr:relSizeAnchor>
  <cdr:relSizeAnchor xmlns:cdr="http://schemas.openxmlformats.org/drawingml/2006/chartDrawing">
    <cdr:from>
      <cdr:x>0.03858</cdr:x>
      <cdr:y>0.9365</cdr:y>
    </cdr:from>
    <cdr:to>
      <cdr:x>0.05372</cdr:x>
      <cdr:y>0.95755</cdr:y>
    </cdr:to>
    <cdr:sp macro="" textlink="">
      <cdr:nvSpPr>
        <cdr:cNvPr id="16" name="Rectangle 15"/>
        <cdr:cNvSpPr/>
      </cdr:nvSpPr>
      <cdr:spPr>
        <a:xfrm xmlns:a="http://schemas.openxmlformats.org/drawingml/2006/main">
          <a:off x="317526" y="4281683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0.16387</cdr:x>
      <cdr:y>0.94071</cdr:y>
    </cdr:from>
    <cdr:to>
      <cdr:x>0.17901</cdr:x>
      <cdr:y>0.96176</cdr:y>
    </cdr:to>
    <cdr:sp macro="" textlink="">
      <cdr:nvSpPr>
        <cdr:cNvPr id="19" name="Rectangle 18"/>
        <cdr:cNvSpPr/>
      </cdr:nvSpPr>
      <cdr:spPr>
        <a:xfrm xmlns:a="http://schemas.openxmlformats.org/drawingml/2006/main">
          <a:off x="1348563" y="4300927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0.212</cdr:x>
      <cdr:y>0.00211</cdr:y>
    </cdr:from>
    <cdr:to>
      <cdr:x>0.30299</cdr:x>
      <cdr:y>0.05119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744703" y="9525"/>
          <a:ext cx="748811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Economic</a:t>
          </a:r>
        </a:p>
      </cdr:txBody>
    </cdr:sp>
  </cdr:relSizeAnchor>
  <cdr:relSizeAnchor xmlns:cdr="http://schemas.openxmlformats.org/drawingml/2006/chartDrawing">
    <cdr:from>
      <cdr:x>0.69051</cdr:x>
      <cdr:y>0</cdr:y>
    </cdr:from>
    <cdr:to>
      <cdr:x>0.80356</cdr:x>
      <cdr:y>0.04908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5682597" y="0"/>
          <a:ext cx="930356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Estimating</a:t>
          </a:r>
        </a:p>
      </cdr:txBody>
    </cdr:sp>
  </cdr:relSizeAnchor>
  <cdr:relSizeAnchor xmlns:cdr="http://schemas.openxmlformats.org/drawingml/2006/chartDrawing">
    <cdr:from>
      <cdr:x>0.04713</cdr:x>
      <cdr:y>0.92177</cdr:y>
    </cdr:from>
    <cdr:to>
      <cdr:x>0.17656</cdr:x>
      <cdr:y>0.97438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387854" y="4214328"/>
          <a:ext cx="1065184" cy="24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Cost Increase</a:t>
          </a:r>
        </a:p>
      </cdr:txBody>
    </cdr:sp>
  </cdr:relSizeAnchor>
  <cdr:relSizeAnchor xmlns:cdr="http://schemas.openxmlformats.org/drawingml/2006/chartDrawing">
    <cdr:from>
      <cdr:x>0.30915</cdr:x>
      <cdr:y>0.92814</cdr:y>
    </cdr:from>
    <cdr:to>
      <cdr:x>0.96197</cdr:x>
      <cdr:y>1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2544214" y="4243471"/>
          <a:ext cx="5372421" cy="328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Note:</a:t>
          </a:r>
          <a:r>
            <a:rPr lang="en-US" sz="1100" baseline="0"/>
            <a:t> Adjusting for quantity does not merely mean ignoring changes in the quantity category. For example, C-130J quantity related increases also changes support costs.</a:t>
          </a:r>
          <a:endParaRPr lang="en-US" sz="1100"/>
        </a:p>
      </cdr:txBody>
    </cdr:sp>
  </cdr:relSizeAnchor>
  <cdr:relSizeAnchor xmlns:cdr="http://schemas.openxmlformats.org/drawingml/2006/chartDrawing">
    <cdr:from>
      <cdr:x>0.18378</cdr:x>
      <cdr:y>0.91552</cdr:y>
    </cdr:from>
    <cdr:to>
      <cdr:x>0.3254</cdr:x>
      <cdr:y>0.99098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1512446" y="4185753"/>
          <a:ext cx="1165439" cy="345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Cost Decreases</a:t>
          </a:r>
        </a:p>
      </cdr:txBody>
    </cdr:sp>
  </cdr:relSizeAnchor>
  <cdr:relSizeAnchor xmlns:cdr="http://schemas.openxmlformats.org/drawingml/2006/chartDrawing">
    <cdr:from>
      <cdr:x>0.03858</cdr:x>
      <cdr:y>0.9365</cdr:y>
    </cdr:from>
    <cdr:to>
      <cdr:x>0.05372</cdr:x>
      <cdr:y>0.95755</cdr:y>
    </cdr:to>
    <cdr:sp macro="" textlink="">
      <cdr:nvSpPr>
        <cdr:cNvPr id="24" name="Rectangle 15"/>
        <cdr:cNvSpPr/>
      </cdr:nvSpPr>
      <cdr:spPr>
        <a:xfrm xmlns:a="http://schemas.openxmlformats.org/drawingml/2006/main">
          <a:off x="317526" y="4281683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0.16387</cdr:x>
      <cdr:y>0.94071</cdr:y>
    </cdr:from>
    <cdr:to>
      <cdr:x>0.17901</cdr:x>
      <cdr:y>0.96176</cdr:y>
    </cdr:to>
    <cdr:sp macro="" textlink="">
      <cdr:nvSpPr>
        <cdr:cNvPr id="25" name="Rectangle 18"/>
        <cdr:cNvSpPr/>
      </cdr:nvSpPr>
      <cdr:spPr>
        <a:xfrm xmlns:a="http://schemas.openxmlformats.org/drawingml/2006/main">
          <a:off x="1348563" y="4300927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0.3104</cdr:x>
      <cdr:y>0</cdr:y>
    </cdr:from>
    <cdr:to>
      <cdr:x>0.41104</cdr:x>
      <cdr:y>0.04908</cdr:y>
    </cdr:to>
    <cdr:sp macro="" textlink="">
      <cdr:nvSpPr>
        <cdr:cNvPr id="26" name="TextBox 1"/>
        <cdr:cNvSpPr txBox="1"/>
      </cdr:nvSpPr>
      <cdr:spPr>
        <a:xfrm xmlns:a="http://schemas.openxmlformats.org/drawingml/2006/main">
          <a:off x="2554450" y="0"/>
          <a:ext cx="828226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Quantity</a:t>
          </a:r>
        </a:p>
      </cdr:txBody>
    </cdr:sp>
  </cdr:relSizeAnchor>
  <cdr:relSizeAnchor xmlns:cdr="http://schemas.openxmlformats.org/drawingml/2006/chartDrawing">
    <cdr:from>
      <cdr:x>0.4826</cdr:x>
      <cdr:y>0</cdr:y>
    </cdr:from>
    <cdr:to>
      <cdr:x>0.58324</cdr:x>
      <cdr:y>0.04908</cdr:y>
    </cdr:to>
    <cdr:sp macro="" textlink="">
      <cdr:nvSpPr>
        <cdr:cNvPr id="27" name="TextBox 1"/>
        <cdr:cNvSpPr txBox="1"/>
      </cdr:nvSpPr>
      <cdr:spPr>
        <a:xfrm xmlns:a="http://schemas.openxmlformats.org/drawingml/2006/main">
          <a:off x="3971638" y="0"/>
          <a:ext cx="828227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Schedule</a:t>
          </a:r>
        </a:p>
      </cdr:txBody>
    </cdr:sp>
  </cdr:relSizeAnchor>
  <cdr:relSizeAnchor xmlns:cdr="http://schemas.openxmlformats.org/drawingml/2006/chartDrawing">
    <cdr:from>
      <cdr:x>0.57687</cdr:x>
      <cdr:y>0</cdr:y>
    </cdr:from>
    <cdr:to>
      <cdr:x>0.68991</cdr:x>
      <cdr:y>0.04908</cdr:y>
    </cdr:to>
    <cdr:sp macro="" textlink="">
      <cdr:nvSpPr>
        <cdr:cNvPr id="28" name="TextBox 1"/>
        <cdr:cNvSpPr txBox="1"/>
      </cdr:nvSpPr>
      <cdr:spPr>
        <a:xfrm xmlns:a="http://schemas.openxmlformats.org/drawingml/2006/main">
          <a:off x="4747397" y="0"/>
          <a:ext cx="930274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Engineering</a:t>
          </a:r>
        </a:p>
      </cdr:txBody>
    </cdr:sp>
  </cdr:relSizeAnchor>
  <cdr:relSizeAnchor xmlns:cdr="http://schemas.openxmlformats.org/drawingml/2006/chartDrawing">
    <cdr:from>
      <cdr:x>0.83511</cdr:x>
      <cdr:y>0</cdr:y>
    </cdr:from>
    <cdr:to>
      <cdr:x>0.92058</cdr:x>
      <cdr:y>0.04908</cdr:y>
    </cdr:to>
    <cdr:sp macro="" textlink="">
      <cdr:nvSpPr>
        <cdr:cNvPr id="29" name="TextBox 1"/>
        <cdr:cNvSpPr txBox="1"/>
      </cdr:nvSpPr>
      <cdr:spPr>
        <a:xfrm xmlns:a="http://schemas.openxmlformats.org/drawingml/2006/main">
          <a:off x="6872652" y="0"/>
          <a:ext cx="703384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0"/>
            <a:t>Support</a:t>
          </a:r>
        </a:p>
      </cdr:txBody>
    </cdr:sp>
  </cdr:relSizeAnchor>
  <cdr:relSizeAnchor xmlns:cdr="http://schemas.openxmlformats.org/drawingml/2006/chartDrawing">
    <cdr:from>
      <cdr:x>0.91418</cdr:x>
      <cdr:y>0</cdr:y>
    </cdr:from>
    <cdr:to>
      <cdr:x>0.99966</cdr:x>
      <cdr:y>0.04908</cdr:y>
    </cdr:to>
    <cdr:sp macro="" textlink="">
      <cdr:nvSpPr>
        <cdr:cNvPr id="30" name="TextBox 1"/>
        <cdr:cNvSpPr txBox="1"/>
      </cdr:nvSpPr>
      <cdr:spPr>
        <a:xfrm xmlns:a="http://schemas.openxmlformats.org/drawingml/2006/main">
          <a:off x="7523366" y="0"/>
          <a:ext cx="703466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0"/>
            <a:t>Other</a:t>
          </a:r>
        </a:p>
      </cdr:txBody>
    </cdr:sp>
  </cdr:relSizeAnchor>
  <cdr:relSizeAnchor xmlns:cdr="http://schemas.openxmlformats.org/drawingml/2006/chartDrawing">
    <cdr:from>
      <cdr:x>0.04713</cdr:x>
      <cdr:y>0.92177</cdr:y>
    </cdr:from>
    <cdr:to>
      <cdr:x>0.17656</cdr:x>
      <cdr:y>0.97438</cdr:y>
    </cdr:to>
    <cdr:sp macro="" textlink="">
      <cdr:nvSpPr>
        <cdr:cNvPr id="31" name="TextBox 1"/>
        <cdr:cNvSpPr txBox="1"/>
      </cdr:nvSpPr>
      <cdr:spPr>
        <a:xfrm xmlns:a="http://schemas.openxmlformats.org/drawingml/2006/main">
          <a:off x="387854" y="4214328"/>
          <a:ext cx="1065184" cy="24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Cost Increase</a:t>
          </a:r>
        </a:p>
      </cdr:txBody>
    </cdr:sp>
  </cdr:relSizeAnchor>
  <cdr:relSizeAnchor xmlns:cdr="http://schemas.openxmlformats.org/drawingml/2006/chartDrawing">
    <cdr:from>
      <cdr:x>0.30915</cdr:x>
      <cdr:y>0.92814</cdr:y>
    </cdr:from>
    <cdr:to>
      <cdr:x>0.96197</cdr:x>
      <cdr:y>1</cdr:y>
    </cdr:to>
    <cdr:sp macro="" textlink="">
      <cdr:nvSpPr>
        <cdr:cNvPr id="32" name="TextBox 1"/>
        <cdr:cNvSpPr txBox="1"/>
      </cdr:nvSpPr>
      <cdr:spPr>
        <a:xfrm xmlns:a="http://schemas.openxmlformats.org/drawingml/2006/main">
          <a:off x="2544214" y="4243471"/>
          <a:ext cx="5372421" cy="328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Note:</a:t>
          </a:r>
          <a:r>
            <a:rPr lang="en-US" sz="1100" baseline="0"/>
            <a:t> Adjusting for quantity does not merely mean ignoring changes in the quantity category. For example, C-130J quantity related increases also changes support costs.</a:t>
          </a:r>
          <a:endParaRPr lang="en-US" sz="1100"/>
        </a:p>
      </cdr:txBody>
    </cdr:sp>
  </cdr:relSizeAnchor>
  <cdr:relSizeAnchor xmlns:cdr="http://schemas.openxmlformats.org/drawingml/2006/chartDrawing">
    <cdr:from>
      <cdr:x>0.18378</cdr:x>
      <cdr:y>0.91552</cdr:y>
    </cdr:from>
    <cdr:to>
      <cdr:x>0.3254</cdr:x>
      <cdr:y>0.99098</cdr:y>
    </cdr:to>
    <cdr:sp macro="" textlink="">
      <cdr:nvSpPr>
        <cdr:cNvPr id="33" name="TextBox 1"/>
        <cdr:cNvSpPr txBox="1"/>
      </cdr:nvSpPr>
      <cdr:spPr>
        <a:xfrm xmlns:a="http://schemas.openxmlformats.org/drawingml/2006/main">
          <a:off x="1512446" y="4185753"/>
          <a:ext cx="1165439" cy="345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Cost Decreases</a:t>
          </a:r>
        </a:p>
      </cdr:txBody>
    </cdr:sp>
  </cdr:relSizeAnchor>
  <cdr:relSizeAnchor xmlns:cdr="http://schemas.openxmlformats.org/drawingml/2006/chartDrawing">
    <cdr:from>
      <cdr:x>0.03858</cdr:x>
      <cdr:y>0.9365</cdr:y>
    </cdr:from>
    <cdr:to>
      <cdr:x>0.05372</cdr:x>
      <cdr:y>0.95755</cdr:y>
    </cdr:to>
    <cdr:sp macro="" textlink="">
      <cdr:nvSpPr>
        <cdr:cNvPr id="34" name="Rectangle 15"/>
        <cdr:cNvSpPr/>
      </cdr:nvSpPr>
      <cdr:spPr>
        <a:xfrm xmlns:a="http://schemas.openxmlformats.org/drawingml/2006/main">
          <a:off x="317526" y="4281683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0.16387</cdr:x>
      <cdr:y>0.94071</cdr:y>
    </cdr:from>
    <cdr:to>
      <cdr:x>0.17901</cdr:x>
      <cdr:y>0.96176</cdr:y>
    </cdr:to>
    <cdr:sp macro="" textlink="">
      <cdr:nvSpPr>
        <cdr:cNvPr id="35" name="Rectangle 18"/>
        <cdr:cNvSpPr/>
      </cdr:nvSpPr>
      <cdr:spPr>
        <a:xfrm xmlns:a="http://schemas.openxmlformats.org/drawingml/2006/main">
          <a:off x="1348563" y="4300927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0.212</cdr:x>
      <cdr:y>0.00211</cdr:y>
    </cdr:from>
    <cdr:to>
      <cdr:x>0.30299</cdr:x>
      <cdr:y>0.05119</cdr:y>
    </cdr:to>
    <cdr:sp macro="" textlink="">
      <cdr:nvSpPr>
        <cdr:cNvPr id="36" name="TextBox 1"/>
        <cdr:cNvSpPr txBox="1"/>
      </cdr:nvSpPr>
      <cdr:spPr>
        <a:xfrm xmlns:a="http://schemas.openxmlformats.org/drawingml/2006/main">
          <a:off x="1744703" y="9525"/>
          <a:ext cx="748811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Economic</a:t>
          </a:r>
        </a:p>
      </cdr:txBody>
    </cdr:sp>
  </cdr:relSizeAnchor>
  <cdr:relSizeAnchor xmlns:cdr="http://schemas.openxmlformats.org/drawingml/2006/chartDrawing">
    <cdr:from>
      <cdr:x>0.69051</cdr:x>
      <cdr:y>0</cdr:y>
    </cdr:from>
    <cdr:to>
      <cdr:x>0.80356</cdr:x>
      <cdr:y>0.04908</cdr:y>
    </cdr:to>
    <cdr:sp macro="" textlink="">
      <cdr:nvSpPr>
        <cdr:cNvPr id="37" name="TextBox 1"/>
        <cdr:cNvSpPr txBox="1"/>
      </cdr:nvSpPr>
      <cdr:spPr>
        <a:xfrm xmlns:a="http://schemas.openxmlformats.org/drawingml/2006/main">
          <a:off x="5682597" y="0"/>
          <a:ext cx="930356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Estimating</a:t>
          </a:r>
        </a:p>
      </cdr:txBody>
    </cdr:sp>
  </cdr:relSizeAnchor>
  <cdr:relSizeAnchor xmlns:cdr="http://schemas.openxmlformats.org/drawingml/2006/chartDrawing">
    <cdr:from>
      <cdr:x>0.04713</cdr:x>
      <cdr:y>0.92177</cdr:y>
    </cdr:from>
    <cdr:to>
      <cdr:x>0.17656</cdr:x>
      <cdr:y>0.97438</cdr:y>
    </cdr:to>
    <cdr:sp macro="" textlink="">
      <cdr:nvSpPr>
        <cdr:cNvPr id="38" name="TextBox 1"/>
        <cdr:cNvSpPr txBox="1"/>
      </cdr:nvSpPr>
      <cdr:spPr>
        <a:xfrm xmlns:a="http://schemas.openxmlformats.org/drawingml/2006/main">
          <a:off x="387854" y="4214328"/>
          <a:ext cx="1065184" cy="24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Cost Increase</a:t>
          </a:r>
        </a:p>
      </cdr:txBody>
    </cdr:sp>
  </cdr:relSizeAnchor>
  <cdr:relSizeAnchor xmlns:cdr="http://schemas.openxmlformats.org/drawingml/2006/chartDrawing">
    <cdr:from>
      <cdr:x>0.30915</cdr:x>
      <cdr:y>0.92814</cdr:y>
    </cdr:from>
    <cdr:to>
      <cdr:x>0.96197</cdr:x>
      <cdr:y>1</cdr:y>
    </cdr:to>
    <cdr:sp macro="" textlink="">
      <cdr:nvSpPr>
        <cdr:cNvPr id="39" name="TextBox 1"/>
        <cdr:cNvSpPr txBox="1"/>
      </cdr:nvSpPr>
      <cdr:spPr>
        <a:xfrm xmlns:a="http://schemas.openxmlformats.org/drawingml/2006/main">
          <a:off x="2544214" y="4243471"/>
          <a:ext cx="5372421" cy="328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Note:</a:t>
          </a:r>
          <a:r>
            <a:rPr lang="en-US" sz="1100" baseline="0"/>
            <a:t> Adjusting for quantity does not merely mean ignoring changes in the quantity category. For example, C-130J quantity related increases also changes support costs.</a:t>
          </a:r>
          <a:endParaRPr lang="en-US" sz="1100"/>
        </a:p>
      </cdr:txBody>
    </cdr:sp>
  </cdr:relSizeAnchor>
  <cdr:relSizeAnchor xmlns:cdr="http://schemas.openxmlformats.org/drawingml/2006/chartDrawing">
    <cdr:from>
      <cdr:x>0.18378</cdr:x>
      <cdr:y>0.91552</cdr:y>
    </cdr:from>
    <cdr:to>
      <cdr:x>0.3254</cdr:x>
      <cdr:y>0.99098</cdr:y>
    </cdr:to>
    <cdr:sp macro="" textlink="">
      <cdr:nvSpPr>
        <cdr:cNvPr id="40" name="TextBox 1"/>
        <cdr:cNvSpPr txBox="1"/>
      </cdr:nvSpPr>
      <cdr:spPr>
        <a:xfrm xmlns:a="http://schemas.openxmlformats.org/drawingml/2006/main">
          <a:off x="1512446" y="4185753"/>
          <a:ext cx="1165439" cy="345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Cost Decreases</a:t>
          </a:r>
        </a:p>
      </cdr:txBody>
    </cdr:sp>
  </cdr:relSizeAnchor>
  <cdr:relSizeAnchor xmlns:cdr="http://schemas.openxmlformats.org/drawingml/2006/chartDrawing">
    <cdr:from>
      <cdr:x>0.03858</cdr:x>
      <cdr:y>0.9365</cdr:y>
    </cdr:from>
    <cdr:to>
      <cdr:x>0.05372</cdr:x>
      <cdr:y>0.95755</cdr:y>
    </cdr:to>
    <cdr:sp macro="" textlink="">
      <cdr:nvSpPr>
        <cdr:cNvPr id="41" name="Rectangle 15"/>
        <cdr:cNvSpPr/>
      </cdr:nvSpPr>
      <cdr:spPr>
        <a:xfrm xmlns:a="http://schemas.openxmlformats.org/drawingml/2006/main">
          <a:off x="317526" y="4281683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0.16387</cdr:x>
      <cdr:y>0.94071</cdr:y>
    </cdr:from>
    <cdr:to>
      <cdr:x>0.17901</cdr:x>
      <cdr:y>0.96176</cdr:y>
    </cdr:to>
    <cdr:sp macro="" textlink="">
      <cdr:nvSpPr>
        <cdr:cNvPr id="42" name="Rectangle 18"/>
        <cdr:cNvSpPr/>
      </cdr:nvSpPr>
      <cdr:spPr>
        <a:xfrm xmlns:a="http://schemas.openxmlformats.org/drawingml/2006/main">
          <a:off x="1348563" y="4300927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0.3104</cdr:x>
      <cdr:y>0</cdr:y>
    </cdr:from>
    <cdr:to>
      <cdr:x>0.41104</cdr:x>
      <cdr:y>0.04908</cdr:y>
    </cdr:to>
    <cdr:sp macro="" textlink="">
      <cdr:nvSpPr>
        <cdr:cNvPr id="43" name="TextBox 1"/>
        <cdr:cNvSpPr txBox="1"/>
      </cdr:nvSpPr>
      <cdr:spPr>
        <a:xfrm xmlns:a="http://schemas.openxmlformats.org/drawingml/2006/main">
          <a:off x="2554450" y="0"/>
          <a:ext cx="828226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Quantity</a:t>
          </a:r>
        </a:p>
      </cdr:txBody>
    </cdr:sp>
  </cdr:relSizeAnchor>
  <cdr:relSizeAnchor xmlns:cdr="http://schemas.openxmlformats.org/drawingml/2006/chartDrawing">
    <cdr:from>
      <cdr:x>0.4826</cdr:x>
      <cdr:y>0</cdr:y>
    </cdr:from>
    <cdr:to>
      <cdr:x>0.58324</cdr:x>
      <cdr:y>0.04908</cdr:y>
    </cdr:to>
    <cdr:sp macro="" textlink="">
      <cdr:nvSpPr>
        <cdr:cNvPr id="44" name="TextBox 1"/>
        <cdr:cNvSpPr txBox="1"/>
      </cdr:nvSpPr>
      <cdr:spPr>
        <a:xfrm xmlns:a="http://schemas.openxmlformats.org/drawingml/2006/main">
          <a:off x="3971638" y="0"/>
          <a:ext cx="828227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Schedule</a:t>
          </a:r>
        </a:p>
      </cdr:txBody>
    </cdr:sp>
  </cdr:relSizeAnchor>
  <cdr:relSizeAnchor xmlns:cdr="http://schemas.openxmlformats.org/drawingml/2006/chartDrawing">
    <cdr:from>
      <cdr:x>0.57687</cdr:x>
      <cdr:y>0</cdr:y>
    </cdr:from>
    <cdr:to>
      <cdr:x>0.68991</cdr:x>
      <cdr:y>0.04908</cdr:y>
    </cdr:to>
    <cdr:sp macro="" textlink="">
      <cdr:nvSpPr>
        <cdr:cNvPr id="45" name="TextBox 1"/>
        <cdr:cNvSpPr txBox="1"/>
      </cdr:nvSpPr>
      <cdr:spPr>
        <a:xfrm xmlns:a="http://schemas.openxmlformats.org/drawingml/2006/main">
          <a:off x="4747397" y="0"/>
          <a:ext cx="930274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Engineering</a:t>
          </a:r>
        </a:p>
      </cdr:txBody>
    </cdr:sp>
  </cdr:relSizeAnchor>
  <cdr:relSizeAnchor xmlns:cdr="http://schemas.openxmlformats.org/drawingml/2006/chartDrawing">
    <cdr:from>
      <cdr:x>0.83511</cdr:x>
      <cdr:y>0</cdr:y>
    </cdr:from>
    <cdr:to>
      <cdr:x>0.92058</cdr:x>
      <cdr:y>0.04908</cdr:y>
    </cdr:to>
    <cdr:sp macro="" textlink="">
      <cdr:nvSpPr>
        <cdr:cNvPr id="46" name="TextBox 1"/>
        <cdr:cNvSpPr txBox="1"/>
      </cdr:nvSpPr>
      <cdr:spPr>
        <a:xfrm xmlns:a="http://schemas.openxmlformats.org/drawingml/2006/main">
          <a:off x="6872652" y="0"/>
          <a:ext cx="703384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0"/>
            <a:t>Support</a:t>
          </a:r>
        </a:p>
      </cdr:txBody>
    </cdr:sp>
  </cdr:relSizeAnchor>
  <cdr:relSizeAnchor xmlns:cdr="http://schemas.openxmlformats.org/drawingml/2006/chartDrawing">
    <cdr:from>
      <cdr:x>0.91418</cdr:x>
      <cdr:y>0</cdr:y>
    </cdr:from>
    <cdr:to>
      <cdr:x>0.99966</cdr:x>
      <cdr:y>0.04908</cdr:y>
    </cdr:to>
    <cdr:sp macro="" textlink="">
      <cdr:nvSpPr>
        <cdr:cNvPr id="47" name="TextBox 1"/>
        <cdr:cNvSpPr txBox="1"/>
      </cdr:nvSpPr>
      <cdr:spPr>
        <a:xfrm xmlns:a="http://schemas.openxmlformats.org/drawingml/2006/main">
          <a:off x="7523366" y="0"/>
          <a:ext cx="703466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0"/>
            <a:t>Other</a:t>
          </a:r>
        </a:p>
      </cdr:txBody>
    </cdr:sp>
  </cdr:relSizeAnchor>
  <cdr:relSizeAnchor xmlns:cdr="http://schemas.openxmlformats.org/drawingml/2006/chartDrawing">
    <cdr:from>
      <cdr:x>0.04713</cdr:x>
      <cdr:y>0.92177</cdr:y>
    </cdr:from>
    <cdr:to>
      <cdr:x>0.17656</cdr:x>
      <cdr:y>0.97438</cdr:y>
    </cdr:to>
    <cdr:sp macro="" textlink="">
      <cdr:nvSpPr>
        <cdr:cNvPr id="48" name="TextBox 1"/>
        <cdr:cNvSpPr txBox="1"/>
      </cdr:nvSpPr>
      <cdr:spPr>
        <a:xfrm xmlns:a="http://schemas.openxmlformats.org/drawingml/2006/main">
          <a:off x="387854" y="4214328"/>
          <a:ext cx="1065184" cy="24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Cost Increase</a:t>
          </a:r>
        </a:p>
      </cdr:txBody>
    </cdr:sp>
  </cdr:relSizeAnchor>
  <cdr:relSizeAnchor xmlns:cdr="http://schemas.openxmlformats.org/drawingml/2006/chartDrawing">
    <cdr:from>
      <cdr:x>0.30915</cdr:x>
      <cdr:y>0.92814</cdr:y>
    </cdr:from>
    <cdr:to>
      <cdr:x>0.96197</cdr:x>
      <cdr:y>1</cdr:y>
    </cdr:to>
    <cdr:sp macro="" textlink="">
      <cdr:nvSpPr>
        <cdr:cNvPr id="49" name="TextBox 1"/>
        <cdr:cNvSpPr txBox="1"/>
      </cdr:nvSpPr>
      <cdr:spPr>
        <a:xfrm xmlns:a="http://schemas.openxmlformats.org/drawingml/2006/main">
          <a:off x="2544214" y="4243471"/>
          <a:ext cx="5372421" cy="328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Note:</a:t>
          </a:r>
          <a:r>
            <a:rPr lang="en-US" sz="1100" baseline="0"/>
            <a:t> Adjusting for quantity does not merely mean ignoring changes in the quantity category. For example, C-130J quantity related increases also changes support costs.</a:t>
          </a:r>
          <a:endParaRPr lang="en-US" sz="1100"/>
        </a:p>
      </cdr:txBody>
    </cdr:sp>
  </cdr:relSizeAnchor>
  <cdr:relSizeAnchor xmlns:cdr="http://schemas.openxmlformats.org/drawingml/2006/chartDrawing">
    <cdr:from>
      <cdr:x>0.18378</cdr:x>
      <cdr:y>0.91552</cdr:y>
    </cdr:from>
    <cdr:to>
      <cdr:x>0.3254</cdr:x>
      <cdr:y>0.99098</cdr:y>
    </cdr:to>
    <cdr:sp macro="" textlink="">
      <cdr:nvSpPr>
        <cdr:cNvPr id="50" name="TextBox 1"/>
        <cdr:cNvSpPr txBox="1"/>
      </cdr:nvSpPr>
      <cdr:spPr>
        <a:xfrm xmlns:a="http://schemas.openxmlformats.org/drawingml/2006/main">
          <a:off x="1512446" y="4185753"/>
          <a:ext cx="1165439" cy="345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Cost Decreases</a:t>
          </a:r>
        </a:p>
      </cdr:txBody>
    </cdr:sp>
  </cdr:relSizeAnchor>
  <cdr:relSizeAnchor xmlns:cdr="http://schemas.openxmlformats.org/drawingml/2006/chartDrawing">
    <cdr:from>
      <cdr:x>0.03858</cdr:x>
      <cdr:y>0.9365</cdr:y>
    </cdr:from>
    <cdr:to>
      <cdr:x>0.05372</cdr:x>
      <cdr:y>0.95755</cdr:y>
    </cdr:to>
    <cdr:sp macro="" textlink="">
      <cdr:nvSpPr>
        <cdr:cNvPr id="51" name="Rectangle 15"/>
        <cdr:cNvSpPr/>
      </cdr:nvSpPr>
      <cdr:spPr>
        <a:xfrm xmlns:a="http://schemas.openxmlformats.org/drawingml/2006/main">
          <a:off x="317526" y="4281683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0.16387</cdr:x>
      <cdr:y>0.94071</cdr:y>
    </cdr:from>
    <cdr:to>
      <cdr:x>0.17901</cdr:x>
      <cdr:y>0.96176</cdr:y>
    </cdr:to>
    <cdr:sp macro="" textlink="">
      <cdr:nvSpPr>
        <cdr:cNvPr id="52" name="Rectangle 18"/>
        <cdr:cNvSpPr/>
      </cdr:nvSpPr>
      <cdr:spPr>
        <a:xfrm xmlns:a="http://schemas.openxmlformats.org/drawingml/2006/main">
          <a:off x="1348563" y="4300927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0.212</cdr:x>
      <cdr:y>0.00211</cdr:y>
    </cdr:from>
    <cdr:to>
      <cdr:x>0.30299</cdr:x>
      <cdr:y>0.05119</cdr:y>
    </cdr:to>
    <cdr:sp macro="" textlink="">
      <cdr:nvSpPr>
        <cdr:cNvPr id="53" name="TextBox 1"/>
        <cdr:cNvSpPr txBox="1"/>
      </cdr:nvSpPr>
      <cdr:spPr>
        <a:xfrm xmlns:a="http://schemas.openxmlformats.org/drawingml/2006/main">
          <a:off x="1744703" y="9525"/>
          <a:ext cx="748811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Economic</a:t>
          </a:r>
        </a:p>
      </cdr:txBody>
    </cdr:sp>
  </cdr:relSizeAnchor>
  <cdr:relSizeAnchor xmlns:cdr="http://schemas.openxmlformats.org/drawingml/2006/chartDrawing">
    <cdr:from>
      <cdr:x>0.69051</cdr:x>
      <cdr:y>0</cdr:y>
    </cdr:from>
    <cdr:to>
      <cdr:x>0.80356</cdr:x>
      <cdr:y>0.04908</cdr:y>
    </cdr:to>
    <cdr:sp macro="" textlink="">
      <cdr:nvSpPr>
        <cdr:cNvPr id="54" name="TextBox 1"/>
        <cdr:cNvSpPr txBox="1"/>
      </cdr:nvSpPr>
      <cdr:spPr>
        <a:xfrm xmlns:a="http://schemas.openxmlformats.org/drawingml/2006/main">
          <a:off x="5682597" y="0"/>
          <a:ext cx="930356" cy="221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Estimating</a:t>
          </a:r>
        </a:p>
      </cdr:txBody>
    </cdr:sp>
  </cdr:relSizeAnchor>
  <cdr:relSizeAnchor xmlns:cdr="http://schemas.openxmlformats.org/drawingml/2006/chartDrawing">
    <cdr:from>
      <cdr:x>0.04713</cdr:x>
      <cdr:y>0.92177</cdr:y>
    </cdr:from>
    <cdr:to>
      <cdr:x>0.17656</cdr:x>
      <cdr:y>0.97438</cdr:y>
    </cdr:to>
    <cdr:sp macro="" textlink="">
      <cdr:nvSpPr>
        <cdr:cNvPr id="55" name="TextBox 1"/>
        <cdr:cNvSpPr txBox="1"/>
      </cdr:nvSpPr>
      <cdr:spPr>
        <a:xfrm xmlns:a="http://schemas.openxmlformats.org/drawingml/2006/main">
          <a:off x="387854" y="4214328"/>
          <a:ext cx="1065184" cy="24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Cost Increase</a:t>
          </a:r>
        </a:p>
      </cdr:txBody>
    </cdr:sp>
  </cdr:relSizeAnchor>
  <cdr:relSizeAnchor xmlns:cdr="http://schemas.openxmlformats.org/drawingml/2006/chartDrawing">
    <cdr:from>
      <cdr:x>0.30915</cdr:x>
      <cdr:y>0.92814</cdr:y>
    </cdr:from>
    <cdr:to>
      <cdr:x>0.96197</cdr:x>
      <cdr:y>1</cdr:y>
    </cdr:to>
    <cdr:sp macro="" textlink="">
      <cdr:nvSpPr>
        <cdr:cNvPr id="56" name="TextBox 1"/>
        <cdr:cNvSpPr txBox="1"/>
      </cdr:nvSpPr>
      <cdr:spPr>
        <a:xfrm xmlns:a="http://schemas.openxmlformats.org/drawingml/2006/main">
          <a:off x="2544214" y="4243471"/>
          <a:ext cx="5372421" cy="328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Note:</a:t>
          </a:r>
          <a:r>
            <a:rPr lang="en-US" sz="1100" baseline="0"/>
            <a:t> Adjusting for quantity does not merely mean ignoring changes in the quantity category. For example, C-130J quantity related increases also changes support costs.</a:t>
          </a:r>
          <a:endParaRPr lang="en-US" sz="1100"/>
        </a:p>
      </cdr:txBody>
    </cdr:sp>
  </cdr:relSizeAnchor>
  <cdr:relSizeAnchor xmlns:cdr="http://schemas.openxmlformats.org/drawingml/2006/chartDrawing">
    <cdr:from>
      <cdr:x>0.18378</cdr:x>
      <cdr:y>0.91552</cdr:y>
    </cdr:from>
    <cdr:to>
      <cdr:x>0.3254</cdr:x>
      <cdr:y>0.99098</cdr:y>
    </cdr:to>
    <cdr:sp macro="" textlink="">
      <cdr:nvSpPr>
        <cdr:cNvPr id="57" name="TextBox 1"/>
        <cdr:cNvSpPr txBox="1"/>
      </cdr:nvSpPr>
      <cdr:spPr>
        <a:xfrm xmlns:a="http://schemas.openxmlformats.org/drawingml/2006/main">
          <a:off x="1512446" y="4185753"/>
          <a:ext cx="1165439" cy="345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Cost Decreases</a:t>
          </a:r>
        </a:p>
      </cdr:txBody>
    </cdr:sp>
  </cdr:relSizeAnchor>
  <cdr:relSizeAnchor xmlns:cdr="http://schemas.openxmlformats.org/drawingml/2006/chartDrawing">
    <cdr:from>
      <cdr:x>0.03858</cdr:x>
      <cdr:y>0.9365</cdr:y>
    </cdr:from>
    <cdr:to>
      <cdr:x>0.05372</cdr:x>
      <cdr:y>0.95755</cdr:y>
    </cdr:to>
    <cdr:sp macro="" textlink="">
      <cdr:nvSpPr>
        <cdr:cNvPr id="58" name="Rectangle 15"/>
        <cdr:cNvSpPr/>
      </cdr:nvSpPr>
      <cdr:spPr>
        <a:xfrm xmlns:a="http://schemas.openxmlformats.org/drawingml/2006/main">
          <a:off x="317526" y="4281683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0.16387</cdr:x>
      <cdr:y>0.94071</cdr:y>
    </cdr:from>
    <cdr:to>
      <cdr:x>0.17901</cdr:x>
      <cdr:y>0.96176</cdr:y>
    </cdr:to>
    <cdr:sp macro="" textlink="">
      <cdr:nvSpPr>
        <cdr:cNvPr id="59" name="Rectangle 18"/>
        <cdr:cNvSpPr/>
      </cdr:nvSpPr>
      <cdr:spPr>
        <a:xfrm xmlns:a="http://schemas.openxmlformats.org/drawingml/2006/main">
          <a:off x="1348563" y="4300927"/>
          <a:ext cx="124591" cy="962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75000"/>
          </a:schemeClr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0.15862</cdr:x>
      <cdr:y>0.04999</cdr:y>
    </cdr:to>
    <cdr:sp macro="" textlink="">
      <cdr:nvSpPr>
        <cdr:cNvPr id="60" name="TextBox 1"/>
        <cdr:cNvSpPr txBox="1"/>
      </cdr:nvSpPr>
      <cdr:spPr>
        <a:xfrm xmlns:a="http://schemas.openxmlformats.org/drawingml/2006/main">
          <a:off x="0" y="0"/>
          <a:ext cx="1353910" cy="227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Baseline-Weighted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572058</xdr:colOff>
      <xdr:row>16</xdr:row>
      <xdr:rowOff>176857</xdr:rowOff>
    </xdr:from>
    <xdr:to>
      <xdr:col>20</xdr:col>
      <xdr:colOff>117099</xdr:colOff>
      <xdr:row>32</xdr:row>
      <xdr:rowOff>100657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0.14832</cdr:x>
      <cdr:y>0.03235</cdr:y>
    </cdr:from>
    <cdr:to>
      <cdr:x>0.3962</cdr:x>
      <cdr:y>0.08978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81536" y="123045"/>
          <a:ext cx="1473299" cy="218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0"/>
            <a:t>Cost Increase</a:t>
          </a:r>
        </a:p>
      </cdr:txBody>
    </cdr:sp>
  </cdr:relSizeAnchor>
  <cdr:relSizeAnchor xmlns:cdr="http://schemas.openxmlformats.org/drawingml/2006/chartDrawing">
    <cdr:from>
      <cdr:x>0.25292</cdr:x>
      <cdr:y>0.73667</cdr:y>
    </cdr:from>
    <cdr:to>
      <cdr:x>0.4567</cdr:x>
      <cdr:y>0.8082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503244" y="2189248"/>
          <a:ext cx="1211187" cy="212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/>
            <a:t>Cost Decrease</a:t>
          </a:r>
        </a:p>
        <a:p xmlns:a="http://schemas.openxmlformats.org/drawingml/2006/main">
          <a:endParaRPr lang="en-US" sz="1100" b="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196333</xdr:colOff>
      <xdr:row>6</xdr:row>
      <xdr:rowOff>34257</xdr:rowOff>
    </xdr:from>
    <xdr:to>
      <xdr:col>17</xdr:col>
      <xdr:colOff>16719</xdr:colOff>
      <xdr:row>27</xdr:row>
      <xdr:rowOff>57117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163285</xdr:colOff>
      <xdr:row>32</xdr:row>
      <xdr:rowOff>122464</xdr:rowOff>
    </xdr:from>
    <xdr:to>
      <xdr:col>17</xdr:col>
      <xdr:colOff>595992</xdr:colOff>
      <xdr:row>53</xdr:row>
      <xdr:rowOff>145324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0.74307</cdr:x>
      <cdr:y>0.5398</cdr:y>
    </cdr:from>
    <cdr:to>
      <cdr:x>0.84182</cdr:x>
      <cdr:y>0.59687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16489" y="2171815"/>
          <a:ext cx="586930" cy="2296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EEFV</a:t>
          </a:r>
        </a:p>
      </cdr:txBody>
    </cdr:sp>
  </cdr:relSizeAnchor>
  <cdr:relSizeAnchor xmlns:cdr="http://schemas.openxmlformats.org/drawingml/2006/chartDrawing">
    <cdr:from>
      <cdr:x>0.79938</cdr:x>
      <cdr:y>0.57962</cdr:y>
    </cdr:from>
    <cdr:to>
      <cdr:x>0.85067</cdr:x>
      <cdr:y>0.61885</cdr:y>
    </cdr:to>
    <cdr:sp macro="" textlink="">
      <cdr:nvSpPr>
        <cdr:cNvPr id="7" name="Straight Arrow Connector 6"/>
        <cdr:cNvSpPr/>
      </cdr:nvSpPr>
      <cdr:spPr>
        <a:xfrm xmlns:a="http://schemas.openxmlformats.org/drawingml/2006/main">
          <a:off x="4729419" y="2332018"/>
          <a:ext cx="303473" cy="1578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513432</xdr:colOff>
      <xdr:row>8</xdr:row>
      <xdr:rowOff>72327</xdr:rowOff>
    </xdr:from>
    <xdr:to>
      <xdr:col>9</xdr:col>
      <xdr:colOff>240008</xdr:colOff>
      <xdr:row>27</xdr:row>
      <xdr:rowOff>110427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10545</xdr:colOff>
      <xdr:row>8</xdr:row>
      <xdr:rowOff>96218</xdr:rowOff>
    </xdr:from>
    <xdr:to>
      <xdr:col>14</xdr:col>
      <xdr:colOff>434127</xdr:colOff>
      <xdr:row>27</xdr:row>
      <xdr:rowOff>134318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0.52094</cdr:x>
      <cdr:y>0.05746</cdr:y>
    </cdr:from>
    <cdr:to>
      <cdr:x>0.7569</cdr:x>
      <cdr:y>0.10988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77199" y="308673"/>
          <a:ext cx="1076739" cy="281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F-35</a:t>
          </a:r>
        </a:p>
      </cdr:txBody>
    </cdr:sp>
  </cdr:relSizeAnchor>
  <cdr:relSizeAnchor xmlns:cdr="http://schemas.openxmlformats.org/drawingml/2006/chartDrawing">
    <cdr:from>
      <cdr:x>0.65344</cdr:x>
      <cdr:y>0.62754</cdr:y>
    </cdr:from>
    <cdr:to>
      <cdr:x>0.96199</cdr:x>
      <cdr:y>0.67996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091269" y="2295299"/>
          <a:ext cx="987484" cy="191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CHEM DEMIL-ACWA</a:t>
          </a:r>
        </a:p>
      </cdr:txBody>
    </cdr:sp>
  </cdr:relSizeAnchor>
  <cdr:relSizeAnchor xmlns:cdr="http://schemas.openxmlformats.org/drawingml/2006/chartDrawing">
    <cdr:from>
      <cdr:x>0.51534</cdr:x>
      <cdr:y>0.09138</cdr:y>
    </cdr:from>
    <cdr:to>
      <cdr:x>0.53909</cdr:x>
      <cdr:y>0.11503</cdr:y>
    </cdr:to>
    <cdr:sp macro="" textlink="">
      <cdr:nvSpPr>
        <cdr:cNvPr id="6" name="Straight Arrow Connector 5"/>
        <cdr:cNvSpPr/>
      </cdr:nvSpPr>
      <cdr:spPr>
        <a:xfrm xmlns:a="http://schemas.openxmlformats.org/drawingml/2006/main" rot="10800000" flipV="1">
          <a:off x="1649304" y="334231"/>
          <a:ext cx="76000" cy="865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0.77868</cdr:x>
      <cdr:y>0.60787</cdr:y>
    </cdr:from>
    <cdr:to>
      <cdr:x>0.82043</cdr:x>
      <cdr:y>0.64025</cdr:y>
    </cdr:to>
    <cdr:sp macro="" textlink="">
      <cdr:nvSpPr>
        <cdr:cNvPr id="8" name="Straight Arrow Connector 7"/>
        <cdr:cNvSpPr/>
      </cdr:nvSpPr>
      <cdr:spPr>
        <a:xfrm xmlns:a="http://schemas.openxmlformats.org/drawingml/2006/main" rot="10800000">
          <a:off x="3553328" y="3265565"/>
          <a:ext cx="190501" cy="17393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414618</xdr:colOff>
      <xdr:row>13</xdr:row>
      <xdr:rowOff>11206</xdr:rowOff>
    </xdr:from>
    <xdr:to>
      <xdr:col>13</xdr:col>
      <xdr:colOff>264459</xdr:colOff>
      <xdr:row>32</xdr:row>
      <xdr:rowOff>49306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5%20MDAP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s%20-%20Unu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O"/>
      <sheetName val="FPDS Full Crosstabs"/>
      <sheetName val="MDAP final"/>
      <sheetName val="Firm Data"/>
      <sheetName val="Contractors"/>
      <sheetName val="MDAPs"/>
      <sheetName val="PNO Lookup"/>
      <sheetName val="SARS Sub-Components"/>
      <sheetName val="SARS Unified"/>
      <sheetName val="Key Information"/>
      <sheetName val="SARS Topline"/>
      <sheetName val="SARS Change Breakdown"/>
      <sheetName val="SARS Year-by-Year"/>
      <sheetName val="Deflators"/>
      <sheetName val="TRLS"/>
      <sheetName val="Bloomberg"/>
    </sheetNames>
    <definedNames>
      <definedName name="LOOKUP_Key_Information2" refersTo="='Key Information'!$A$2:$AJ$180"/>
      <definedName name="LOOKUP_MDAPs" refersTo="='MDAPs'!$A$3:$BI$177"/>
      <definedName name="LOOKUP_SARS_2009"/>
      <definedName name="LOOKUP_SARS_2009.2" refersTo="='SARS Topline'!$D$821:$Q$923"/>
      <definedName name="LOOKUP_SARS_2009_Change_Breakdown"/>
      <definedName name="LOOKUP_SARS_2009_Change_Breakdown2" refersTo="='SARS Change Breakdown'!$D$820:$AI$923"/>
      <definedName name="LOOKUP_SARS_Unified"/>
      <definedName name="LOOKUP_SARS_Unified2" refersTo="='SARS Unified'!$A$5:$BQ$183"/>
    </definedNames>
    <sheetDataSet>
      <sheetData sheetId="0">
        <row r="2">
          <cell r="A2" t="str">
            <v>APPENDIX III, Table 5: Current Cost Estimates and Baseline Cost Estimates for DOD’s 2010 Portfolio of Major Defense Acquisition Programs</v>
          </cell>
        </row>
        <row r="3">
          <cell r="A3" t="str">
            <v>FY2011 dollars in millions</v>
          </cell>
        </row>
        <row r="4">
          <cell r="A4" t="str">
            <v>http://www.gao.gov/assets/590/589695.pdf</v>
          </cell>
        </row>
        <row r="5">
          <cell r="A5" t="str">
            <v>Program</v>
          </cell>
          <cell r="B5" t="str">
            <v>Current total acquisition cost</v>
          </cell>
          <cell r="C5" t="str">
            <v>Baseline total acquisition cost</v>
          </cell>
          <cell r="D5" t="str">
            <v>Change in total acquisition cost from baseline (%)</v>
          </cell>
          <cell r="E5" t="str">
            <v>Change in total acquisition cost within the past 2 years (%)</v>
          </cell>
          <cell r="F5" t="str">
            <v>Change in total acquisition cost within the past 5 years (%)</v>
          </cell>
        </row>
        <row r="6">
          <cell r="A6" t="str">
            <v>Advanced Extremely High Frequency (AEHF) Satellite</v>
          </cell>
          <cell r="B6">
            <v>14083</v>
          </cell>
          <cell r="C6">
            <v>6370</v>
          </cell>
          <cell r="D6">
            <v>1.2110000000000001</v>
          </cell>
          <cell r="E6">
            <v>7.3999999999999996E-2</v>
          </cell>
          <cell r="F6">
            <v>1.0660000000000001</v>
          </cell>
          <cell r="G6" t="str">
            <v>AEHF</v>
          </cell>
        </row>
        <row r="7">
          <cell r="A7" t="str">
            <v>Advanced Threat Infrared Countermeasure/Common Missile Warning System (ATIRCM/CMWS)</v>
          </cell>
          <cell r="B7">
            <v>4853</v>
          </cell>
          <cell r="C7">
            <v>3414</v>
          </cell>
          <cell r="D7">
            <v>0.42200000000000004</v>
          </cell>
          <cell r="E7">
            <v>1.7000000000000001E-2</v>
          </cell>
          <cell r="F7">
            <v>-0.11599999999999999</v>
          </cell>
          <cell r="G7" t="str">
            <v>ATIRCM/CMWS</v>
          </cell>
        </row>
        <row r="8">
          <cell r="A8" t="str">
            <v>AGM-88E Advanced Anti-Radiation Guided Missile (AARGM)</v>
          </cell>
          <cell r="B8">
            <v>1902</v>
          </cell>
          <cell r="C8">
            <v>1601</v>
          </cell>
          <cell r="D8">
            <v>0.188</v>
          </cell>
          <cell r="E8">
            <v>2.7000000000000003E-2</v>
          </cell>
          <cell r="F8">
            <v>0.20699999999999999</v>
          </cell>
          <cell r="G8" t="str">
            <v>AGM-88E</v>
          </cell>
        </row>
        <row r="9">
          <cell r="A9" t="str">
            <v>AH-64D Longbow Apache</v>
          </cell>
          <cell r="B9">
            <v>14773</v>
          </cell>
          <cell r="C9">
            <v>6132</v>
          </cell>
          <cell r="D9">
            <v>1.409</v>
          </cell>
          <cell r="E9">
            <v>3.0000000000000001E-3</v>
          </cell>
          <cell r="F9">
            <v>0.34799999999999998</v>
          </cell>
          <cell r="G9" t="str">
            <v>LONGBOW APACHE</v>
          </cell>
        </row>
        <row r="10">
          <cell r="A10" t="str">
            <v>AIM-120 Advanced Medium Range Air-to-Air Missile (AMRAAM)</v>
          </cell>
          <cell r="B10">
            <v>23582</v>
          </cell>
          <cell r="C10">
            <v>10931</v>
          </cell>
          <cell r="D10">
            <v>1.157</v>
          </cell>
          <cell r="E10">
            <v>-2.7999999999999997E-2</v>
          </cell>
          <cell r="F10">
            <v>0.38200000000000001</v>
          </cell>
          <cell r="G10" t="str">
            <v>AMRAAM</v>
          </cell>
        </row>
        <row r="11">
          <cell r="A11" t="str">
            <v>AIM-9X/Air-to-Air Missile</v>
          </cell>
          <cell r="B11">
            <v>3750</v>
          </cell>
          <cell r="C11">
            <v>3144</v>
          </cell>
          <cell r="D11">
            <v>0.193</v>
          </cell>
          <cell r="E11">
            <v>2.8999999999999998E-2</v>
          </cell>
          <cell r="F11">
            <v>0.125</v>
          </cell>
          <cell r="G11" t="str">
            <v>AIM-9X</v>
          </cell>
        </row>
        <row r="12">
          <cell r="A12" t="str">
            <v>Airborne and Maritime/Fixed Station Joint Tactical Radio System (AMF JTRS)</v>
          </cell>
          <cell r="B12">
            <v>8221</v>
          </cell>
          <cell r="C12">
            <v>8154</v>
          </cell>
          <cell r="D12">
            <v>8.0000000000000002E-3</v>
          </cell>
          <cell r="E12">
            <v>-1.3999999999999999E-2</v>
          </cell>
          <cell r="F12">
            <v>8.0000000000000002E-3</v>
          </cell>
          <cell r="G12" t="str">
            <v>AMF JTRS</v>
          </cell>
        </row>
        <row r="13">
          <cell r="A13" t="str">
            <v>Airborne Signals Intelligence Payload (ASIP) – Baseline</v>
          </cell>
          <cell r="B13">
            <v>554</v>
          </cell>
          <cell r="C13">
            <v>347</v>
          </cell>
          <cell r="D13">
            <v>0.59499999999999997</v>
          </cell>
          <cell r="E13">
            <v>-1E-3</v>
          </cell>
          <cell r="F13" t="str">
            <v>NA</v>
          </cell>
          <cell r="G13" t="str">
            <v>ASIP</v>
          </cell>
        </row>
        <row r="14">
          <cell r="A14" t="str">
            <v>Apache Block IIIA (AB3A)</v>
          </cell>
          <cell r="B14">
            <v>10737</v>
          </cell>
          <cell r="C14">
            <v>7242</v>
          </cell>
          <cell r="D14">
            <v>0.48299999999999998</v>
          </cell>
          <cell r="E14">
            <v>0</v>
          </cell>
          <cell r="F14">
            <v>0.48299999999999998</v>
          </cell>
          <cell r="G14" t="str">
            <v>AB3 APACHE Block III</v>
          </cell>
        </row>
        <row r="15">
          <cell r="A15" t="str">
            <v>Apache Block IIIB New Build</v>
          </cell>
          <cell r="B15">
            <v>2215</v>
          </cell>
          <cell r="C15">
            <v>2370</v>
          </cell>
          <cell r="D15">
            <v>-6.5000000000000002E-2</v>
          </cell>
          <cell r="E15">
            <v>-6.5000000000000002E-2</v>
          </cell>
          <cell r="F15">
            <v>-6.5000000000000002E-2</v>
          </cell>
          <cell r="G15" t="str">
            <v>AB3B NEW BUILD</v>
          </cell>
        </row>
        <row r="16">
          <cell r="A16" t="str">
            <v>Army Integrated Air &amp; Missile Defense (Army IAMD)</v>
          </cell>
          <cell r="B16">
            <v>5529</v>
          </cell>
          <cell r="C16">
            <v>5029</v>
          </cell>
          <cell r="D16">
            <v>9.9000000000000005E-2</v>
          </cell>
          <cell r="E16">
            <v>9.9000000000000005E-2</v>
          </cell>
          <cell r="F16">
            <v>9.9000000000000005E-2</v>
          </cell>
          <cell r="G16" t="str">
            <v>IAMD</v>
          </cell>
        </row>
        <row r="17">
          <cell r="A17" t="str">
            <v>B-2 Extremely High Frequency SATCOM Capability, Increment 1</v>
          </cell>
          <cell r="B17">
            <v>625</v>
          </cell>
          <cell r="C17">
            <v>710</v>
          </cell>
          <cell r="D17">
            <v>-0.11900000000000001</v>
          </cell>
          <cell r="E17">
            <v>-4.0000000000000001E-3</v>
          </cell>
          <cell r="F17">
            <v>-0.11900000000000001</v>
          </cell>
          <cell r="G17" t="str">
            <v>B-2 EHF Increment I</v>
          </cell>
        </row>
        <row r="18">
          <cell r="A18" t="str">
            <v>B-2 Radar Modernization Program (RMP)</v>
          </cell>
          <cell r="B18">
            <v>1284</v>
          </cell>
          <cell r="C18">
            <v>1339</v>
          </cell>
          <cell r="D18">
            <v>-4.0999999999999995E-2</v>
          </cell>
          <cell r="E18">
            <v>-3.1E-2</v>
          </cell>
          <cell r="F18">
            <v>2.3E-2</v>
          </cell>
          <cell r="G18" t="str">
            <v>B-2 RMP</v>
          </cell>
        </row>
        <row r="19">
          <cell r="A19" t="str">
            <v>Black Hawk (UH-60M)</v>
          </cell>
          <cell r="B19">
            <v>25169</v>
          </cell>
          <cell r="C19">
            <v>12970</v>
          </cell>
          <cell r="D19">
            <v>0.94099999999999995</v>
          </cell>
          <cell r="E19">
            <v>0.13</v>
          </cell>
          <cell r="F19">
            <v>0.19899999999999998</v>
          </cell>
          <cell r="G19" t="str">
            <v>UH-60M Black Hawk Upgrade</v>
          </cell>
        </row>
        <row r="20">
          <cell r="A20" t="str">
            <v>Block IV Tomahawk (Tactical Tomahawk)</v>
          </cell>
          <cell r="B20">
            <v>6943</v>
          </cell>
          <cell r="C20">
            <v>2116</v>
          </cell>
          <cell r="D20">
            <v>2.2810000000000001</v>
          </cell>
          <cell r="E20">
            <v>-1E-3</v>
          </cell>
          <cell r="F20">
            <v>0.54799999999999993</v>
          </cell>
          <cell r="G20" t="str">
            <v>TACTICAL TOMAHAWK</v>
          </cell>
        </row>
        <row r="21">
          <cell r="A21" t="str">
            <v>Broad Area Maritime Surveillance (BAMS) Unmanned Aircraft System (UAS)</v>
          </cell>
          <cell r="B21">
            <v>13052</v>
          </cell>
          <cell r="C21">
            <v>12848</v>
          </cell>
          <cell r="D21">
            <v>1.6E-2</v>
          </cell>
          <cell r="E21">
            <v>-1.3000000000000001E-2</v>
          </cell>
          <cell r="F21">
            <v>1.6E-2</v>
          </cell>
          <cell r="G21" t="str">
            <v>BAMS</v>
          </cell>
        </row>
        <row r="22">
          <cell r="A22" t="str">
            <v>C-130 Avionics Modernization Program (AMP)</v>
          </cell>
          <cell r="B22">
            <v>6204</v>
          </cell>
          <cell r="C22">
            <v>4132</v>
          </cell>
          <cell r="D22">
            <v>0.501</v>
          </cell>
          <cell r="E22">
            <v>0.01</v>
          </cell>
          <cell r="F22">
            <v>0.25700000000000001</v>
          </cell>
          <cell r="G22" t="str">
            <v>C-130AMP</v>
          </cell>
        </row>
        <row r="23">
          <cell r="A23" t="str">
            <v>C-130J Hercules</v>
          </cell>
          <cell r="B23">
            <v>15397</v>
          </cell>
          <cell r="C23">
            <v>949</v>
          </cell>
          <cell r="D23">
            <v>15.225</v>
          </cell>
          <cell r="E23">
            <v>-0.01</v>
          </cell>
          <cell r="F23">
            <v>0.79500000000000004</v>
          </cell>
          <cell r="G23" t="str">
            <v>C-130J</v>
          </cell>
        </row>
        <row r="24">
          <cell r="A24" t="str">
            <v>C-27J Spartan</v>
          </cell>
          <cell r="B24">
            <v>2260</v>
          </cell>
          <cell r="C24">
            <v>3912</v>
          </cell>
          <cell r="D24">
            <v>-0.42200000000000004</v>
          </cell>
          <cell r="E24">
            <v>0.13200000000000001</v>
          </cell>
          <cell r="F24">
            <v>-0.42200000000000004</v>
          </cell>
          <cell r="G24" t="str">
            <v>JCA</v>
          </cell>
        </row>
        <row r="25">
          <cell r="A25" t="str">
            <v>C-5 Avionics Modernization Program (AMP)</v>
          </cell>
          <cell r="B25">
            <v>1282</v>
          </cell>
          <cell r="C25">
            <v>1103</v>
          </cell>
          <cell r="D25">
            <v>0.16200000000000001</v>
          </cell>
          <cell r="E25">
            <v>-4.2999999999999997E-2</v>
          </cell>
          <cell r="F25">
            <v>0.30099999999999999</v>
          </cell>
          <cell r="G25" t="str">
            <v>C-5 AMP</v>
          </cell>
        </row>
        <row r="26">
          <cell r="A26" t="str">
            <v>C-5 Reliability Enhancement and Reengining Program (RERP)</v>
          </cell>
          <cell r="B26">
            <v>7442</v>
          </cell>
          <cell r="C26">
            <v>10905</v>
          </cell>
          <cell r="D26">
            <v>-0.318</v>
          </cell>
          <cell r="E26">
            <v>-2E-3</v>
          </cell>
          <cell r="F26">
            <v>-0.29299999999999998</v>
          </cell>
          <cell r="G26" t="str">
            <v>C-5 RERP</v>
          </cell>
        </row>
        <row r="27">
          <cell r="A27" t="str">
            <v>CH-47F Improved Cargo Helicopter (CH-47F)</v>
          </cell>
          <cell r="B27">
            <v>14475</v>
          </cell>
          <cell r="C27">
            <v>3220</v>
          </cell>
          <cell r="D27">
            <v>3.4960000000000004</v>
          </cell>
          <cell r="E27">
            <v>5.4000000000000006E-2</v>
          </cell>
          <cell r="F27">
            <v>0.16</v>
          </cell>
          <cell r="G27" t="str">
            <v>CH-47F</v>
          </cell>
        </row>
        <row r="28">
          <cell r="A28" t="str">
            <v>CH-53K - Heavy Lift Replacement</v>
          </cell>
          <cell r="B28">
            <v>22440</v>
          </cell>
          <cell r="C28">
            <v>16557</v>
          </cell>
          <cell r="D28">
            <v>0.35499999999999998</v>
          </cell>
          <cell r="E28">
            <v>9.0000000000000011E-3</v>
          </cell>
          <cell r="F28">
            <v>0.35600000000000004</v>
          </cell>
          <cell r="G28" t="str">
            <v>CH-53K</v>
          </cell>
        </row>
        <row r="29">
          <cell r="A29" t="str">
            <v>Chemical Demilitarization-Assembled Chemical Weapons Alternatives (Chem Demil-ACWA)</v>
          </cell>
          <cell r="B29">
            <v>10173</v>
          </cell>
          <cell r="C29">
            <v>2642</v>
          </cell>
          <cell r="D29">
            <v>2.85</v>
          </cell>
          <cell r="E29">
            <v>0.26200000000000001</v>
          </cell>
          <cell r="F29">
            <v>1.1830000000000001</v>
          </cell>
          <cell r="G29" t="str">
            <v>CHEM DEMIL-ACWA</v>
          </cell>
        </row>
        <row r="30">
          <cell r="A30" t="str">
            <v>Chemical Demilitarization-U.S. Army Chemical Materials Agency (Chem Demil-CMA)</v>
          </cell>
          <cell r="B30">
            <v>27743</v>
          </cell>
          <cell r="C30">
            <v>15542</v>
          </cell>
          <cell r="D30">
            <v>0.78500000000000003</v>
          </cell>
          <cell r="E30">
            <v>-0.04</v>
          </cell>
          <cell r="F30">
            <v>-0.03</v>
          </cell>
          <cell r="G30" t="str">
            <v>CHEM DEMIL-CMA</v>
          </cell>
        </row>
        <row r="31">
          <cell r="A31" t="str">
            <v>Cobra Judy Replacement (CJR)</v>
          </cell>
          <cell r="B31">
            <v>1825</v>
          </cell>
          <cell r="C31">
            <v>1631</v>
          </cell>
          <cell r="D31">
            <v>0.11900000000000001</v>
          </cell>
          <cell r="E31">
            <v>1E-3</v>
          </cell>
          <cell r="F31">
            <v>0.126</v>
          </cell>
          <cell r="G31" t="str">
            <v>COBRA JUDY REPLACEMENT</v>
          </cell>
        </row>
        <row r="32">
          <cell r="A32" t="str">
            <v>Cooperative Engagement Capability (CEC)</v>
          </cell>
          <cell r="B32">
            <v>5209</v>
          </cell>
          <cell r="C32">
            <v>2943</v>
          </cell>
          <cell r="D32">
            <v>0.77</v>
          </cell>
          <cell r="E32">
            <v>1.3999999999999999E-2</v>
          </cell>
          <cell r="F32">
            <v>2.5000000000000001E-2</v>
          </cell>
          <cell r="G32" t="str">
            <v>CEC</v>
          </cell>
        </row>
        <row r="33">
          <cell r="A33" t="str">
            <v>CVN 78 Class</v>
          </cell>
          <cell r="B33">
            <v>33994</v>
          </cell>
          <cell r="C33">
            <v>35574</v>
          </cell>
          <cell r="D33">
            <v>-4.4000000000000004E-2</v>
          </cell>
          <cell r="E33">
            <v>-0.02</v>
          </cell>
          <cell r="F33">
            <v>0.04</v>
          </cell>
          <cell r="G33" t="str">
            <v>CVN 78</v>
          </cell>
        </row>
        <row r="34">
          <cell r="A34" t="str">
            <v>DDG 1000 Destroyer</v>
          </cell>
          <cell r="B34">
            <v>20986</v>
          </cell>
          <cell r="C34">
            <v>34800</v>
          </cell>
          <cell r="D34">
            <v>-0.39700000000000002</v>
          </cell>
          <cell r="E34">
            <v>4.4000000000000004E-2</v>
          </cell>
          <cell r="F34">
            <v>-0.41700000000000004</v>
          </cell>
          <cell r="G34" t="str">
            <v>DDG 1000</v>
          </cell>
        </row>
        <row r="35">
          <cell r="A35" t="str">
            <v>DDG 51 Destroyer</v>
          </cell>
          <cell r="B35">
            <v>101819</v>
          </cell>
          <cell r="C35">
            <v>15186</v>
          </cell>
          <cell r="D35">
            <v>5.7050000000000001</v>
          </cell>
          <cell r="E35">
            <v>6.3E-2</v>
          </cell>
          <cell r="F35">
            <v>0.29299999999999998</v>
          </cell>
          <cell r="G35" t="str">
            <v>DDG 51</v>
          </cell>
        </row>
        <row r="36">
          <cell r="A36" t="str">
            <v>E-2D Advanced Hawkeye (E-2D AHE)</v>
          </cell>
          <cell r="B36">
            <v>17747</v>
          </cell>
          <cell r="C36">
            <v>14752</v>
          </cell>
          <cell r="D36">
            <v>0.20300000000000001</v>
          </cell>
          <cell r="E36">
            <v>-1.9E-2</v>
          </cell>
          <cell r="F36">
            <v>0.19899999999999998</v>
          </cell>
          <cell r="G36" t="str">
            <v>E-2D AHE</v>
          </cell>
        </row>
        <row r="37">
          <cell r="A37" t="str">
            <v>EA-18G Growler</v>
          </cell>
          <cell r="B37">
            <v>11411</v>
          </cell>
          <cell r="C37">
            <v>8976</v>
          </cell>
          <cell r="D37">
            <v>0.27100000000000002</v>
          </cell>
          <cell r="E37">
            <v>-3.1E-2</v>
          </cell>
          <cell r="F37">
            <v>0.22699999999999998</v>
          </cell>
          <cell r="G37" t="str">
            <v>EA-18G</v>
          </cell>
        </row>
        <row r="38">
          <cell r="A38" t="str">
            <v>Expeditionary Fighting Vehicle (EFV)</v>
          </cell>
          <cell r="B38">
            <v>3705</v>
          </cell>
          <cell r="C38">
            <v>9157</v>
          </cell>
          <cell r="D38">
            <v>-0.59499999999999997</v>
          </cell>
          <cell r="E38">
            <v>-0.74</v>
          </cell>
          <cell r="F38">
            <v>-0.69700000000000006</v>
          </cell>
          <cell r="G38" t="str">
            <v>EFV</v>
          </cell>
        </row>
        <row r="39">
          <cell r="A39" t="str">
            <v>F/A-18E/F Super Hornet</v>
          </cell>
          <cell r="B39">
            <v>57805</v>
          </cell>
          <cell r="C39">
            <v>81732</v>
          </cell>
          <cell r="D39">
            <v>-0.29299999999999998</v>
          </cell>
          <cell r="E39">
            <v>4.2999999999999997E-2</v>
          </cell>
          <cell r="F39">
            <v>0.125</v>
          </cell>
          <cell r="G39" t="str">
            <v>F/A-18E/F</v>
          </cell>
        </row>
        <row r="40">
          <cell r="A40" t="str">
            <v>F-22 Raptor</v>
          </cell>
          <cell r="B40">
            <v>79152</v>
          </cell>
          <cell r="C40">
            <v>91291</v>
          </cell>
          <cell r="D40">
            <v>-0.13300000000000001</v>
          </cell>
          <cell r="E40">
            <v>8.0000000000000002E-3</v>
          </cell>
          <cell r="F40">
            <v>6.0999999999999999E-2</v>
          </cell>
          <cell r="G40" t="str">
            <v>F-22</v>
          </cell>
        </row>
        <row r="41">
          <cell r="A41" t="str">
            <v>F-35 Lightning II (Joint Strike Fighter)</v>
          </cell>
          <cell r="B41">
            <v>326535</v>
          </cell>
          <cell r="C41">
            <v>213708</v>
          </cell>
          <cell r="D41">
            <v>0.52800000000000002</v>
          </cell>
          <cell r="E41">
            <v>0.13400000000000001</v>
          </cell>
          <cell r="F41">
            <v>0.34100000000000003</v>
          </cell>
          <cell r="G41" t="str">
            <v>F-35</v>
          </cell>
        </row>
        <row r="42">
          <cell r="A42" t="str">
            <v>Family of Advanced Beyond Line-of-Sight Terminals (FAB-T)</v>
          </cell>
          <cell r="B42">
            <v>4503</v>
          </cell>
          <cell r="C42">
            <v>3188</v>
          </cell>
          <cell r="D42">
            <v>0.41200000000000003</v>
          </cell>
          <cell r="E42">
            <v>0.129</v>
          </cell>
          <cell r="F42">
            <v>0.41200000000000003</v>
          </cell>
          <cell r="G42" t="str">
            <v>FAB-T</v>
          </cell>
        </row>
        <row r="43">
          <cell r="A43" t="str">
            <v>Family of Medium Tactical Vehicles (FMTV)</v>
          </cell>
          <cell r="B43">
            <v>20048</v>
          </cell>
          <cell r="C43">
            <v>10447</v>
          </cell>
          <cell r="D43">
            <v>0.91900000000000004</v>
          </cell>
          <cell r="E43">
            <v>-7.2999999999999995E-2</v>
          </cell>
          <cell r="F43">
            <v>0.13699999999999998</v>
          </cell>
          <cell r="G43" t="str">
            <v>FMTV</v>
          </cell>
        </row>
        <row r="44">
          <cell r="A44" t="str">
            <v>Force XXI Battle Command Brigade and Below (FBCB2)</v>
          </cell>
          <cell r="B44">
            <v>4147</v>
          </cell>
          <cell r="C44">
            <v>2827</v>
          </cell>
          <cell r="D44">
            <v>0.46700000000000003</v>
          </cell>
          <cell r="E44">
            <v>-6.9999999999999993E-3</v>
          </cell>
          <cell r="F44">
            <v>0.51800000000000002</v>
          </cell>
          <cell r="G44" t="str">
            <v>FBCB2</v>
          </cell>
        </row>
        <row r="45">
          <cell r="A45" t="str">
            <v>Global Broadcast Service (GBS)</v>
          </cell>
          <cell r="B45">
            <v>1152</v>
          </cell>
          <cell r="C45">
            <v>576</v>
          </cell>
          <cell r="D45">
            <v>1</v>
          </cell>
          <cell r="E45">
            <v>1.3999999999999999E-2</v>
          </cell>
          <cell r="F45">
            <v>0.32700000000000001</v>
          </cell>
          <cell r="G45" t="str">
            <v>GBS</v>
          </cell>
        </row>
        <row r="46">
          <cell r="A46" t="str">
            <v>Global Hawk (RQ-4A/B)</v>
          </cell>
          <cell r="B46">
            <v>13992</v>
          </cell>
          <cell r="C46">
            <v>5392</v>
          </cell>
          <cell r="D46">
            <v>1.595</v>
          </cell>
          <cell r="E46">
            <v>1.4999999999999999E-2</v>
          </cell>
          <cell r="F46">
            <v>0.68400000000000005</v>
          </cell>
          <cell r="G46" t="str">
            <v>RQ-4 GLOBAL HAWK</v>
          </cell>
        </row>
        <row r="47">
          <cell r="A47" t="str">
            <v>Global Positioning System (GPS) III</v>
          </cell>
          <cell r="B47">
            <v>4332</v>
          </cell>
          <cell r="C47">
            <v>3941</v>
          </cell>
          <cell r="D47">
            <v>9.9000000000000005E-2</v>
          </cell>
          <cell r="E47">
            <v>3.1E-2</v>
          </cell>
          <cell r="F47">
            <v>9.9000000000000005E-2</v>
          </cell>
          <cell r="G47" t="str">
            <v>GPS IIIA</v>
          </cell>
        </row>
        <row r="48">
          <cell r="A48" t="str">
            <v>Guided Multiple Launch Rocket System (GMLRS)</v>
          </cell>
          <cell r="B48">
            <v>5827</v>
          </cell>
          <cell r="C48">
            <v>1768</v>
          </cell>
          <cell r="D48">
            <v>2.2949999999999999</v>
          </cell>
          <cell r="E48">
            <v>-4.0000000000000001E-3</v>
          </cell>
          <cell r="F48">
            <v>-0.57499999999999996</v>
          </cell>
          <cell r="G48" t="str">
            <v>GMLRS</v>
          </cell>
        </row>
        <row r="49">
          <cell r="A49" t="str">
            <v>H-1 Upgrades (4BW/4BN)</v>
          </cell>
          <cell r="B49">
            <v>12557</v>
          </cell>
          <cell r="C49">
            <v>3627</v>
          </cell>
          <cell r="D49">
            <v>2.4630000000000001</v>
          </cell>
          <cell r="E49">
            <v>4.2999999999999997E-2</v>
          </cell>
          <cell r="F49">
            <v>0.55500000000000005</v>
          </cell>
          <cell r="G49" t="str">
            <v>H-1 Upgrades</v>
          </cell>
        </row>
        <row r="50">
          <cell r="A50" t="str">
            <v>HC/MC-130 Recapitalization Program</v>
          </cell>
          <cell r="B50">
            <v>13091</v>
          </cell>
          <cell r="C50">
            <v>8364</v>
          </cell>
          <cell r="D50">
            <v>0.56499999999999995</v>
          </cell>
          <cell r="E50">
            <v>0.56499999999999995</v>
          </cell>
          <cell r="F50">
            <v>0.56499999999999995</v>
          </cell>
          <cell r="G50" t="str">
            <v>HC/MC-130 RECAP</v>
          </cell>
        </row>
        <row r="51">
          <cell r="A51" t="str">
            <v>High Mobility Artillery Rocket System (HIMARS)</v>
          </cell>
          <cell r="B51">
            <v>2130</v>
          </cell>
          <cell r="C51">
            <v>4361</v>
          </cell>
          <cell r="D51">
            <v>-0.51200000000000001</v>
          </cell>
          <cell r="E51">
            <v>-1.3000000000000001E-2</v>
          </cell>
          <cell r="F51">
            <v>-0.35799999999999998</v>
          </cell>
          <cell r="G51" t="str">
            <v>HIMARS</v>
          </cell>
        </row>
        <row r="52">
          <cell r="A52" t="str">
            <v>Increment 1 Early-Infantry Brigade Combat Team</v>
          </cell>
          <cell r="B52">
            <v>1277</v>
          </cell>
          <cell r="C52">
            <v>3235</v>
          </cell>
          <cell r="D52">
            <v>-0.60499999999999998</v>
          </cell>
          <cell r="E52">
            <v>-0.59099999999999997</v>
          </cell>
          <cell r="F52">
            <v>-0.60499999999999998</v>
          </cell>
          <cell r="G52" t="str">
            <v>E-IBCT</v>
          </cell>
        </row>
        <row r="53">
          <cell r="A53" t="str">
            <v>Integrated Defensive Electronic Countermeasures (IDECM)</v>
          </cell>
          <cell r="B53">
            <v>2379</v>
          </cell>
          <cell r="C53">
            <v>2177</v>
          </cell>
          <cell r="D53">
            <v>0.23300000000000001</v>
          </cell>
          <cell r="E53">
            <v>0.17100000000000001</v>
          </cell>
          <cell r="F53">
            <v>0.23300000000000001</v>
          </cell>
          <cell r="G53" t="str">
            <v>IDECM</v>
          </cell>
        </row>
        <row r="54">
          <cell r="A54" t="str">
            <v>Integrated Defensive Electronic Countermeasures (IDECM) Blocks 2/3</v>
          </cell>
          <cell r="B54">
            <v>1558</v>
          </cell>
          <cell r="C54">
            <v>1483</v>
          </cell>
          <cell r="D54">
            <v>0.05</v>
          </cell>
          <cell r="E54">
            <v>2E-3</v>
          </cell>
          <cell r="F54">
            <v>0.05</v>
          </cell>
          <cell r="G54" t="str">
            <v>IDECM Split</v>
          </cell>
        </row>
        <row r="55">
          <cell r="A55" t="str">
            <v>Integrated Defensive Electronic Countermeasures (IDECM) Block 4</v>
          </cell>
          <cell r="B55">
            <v>822</v>
          </cell>
          <cell r="C55">
            <v>694</v>
          </cell>
          <cell r="D55">
            <v>0.183</v>
          </cell>
          <cell r="E55">
            <v>0.16899999999999998</v>
          </cell>
          <cell r="F55">
            <v>0.183</v>
          </cell>
          <cell r="G55" t="str">
            <v>IDECM Split</v>
          </cell>
        </row>
        <row r="56">
          <cell r="A56" t="str">
            <v>Joint Air-to-Surface Standoff Missile (JASSM)</v>
          </cell>
          <cell r="B56">
            <v>7509</v>
          </cell>
          <cell r="C56">
            <v>2318</v>
          </cell>
          <cell r="D56">
            <v>2.2400000000000002</v>
          </cell>
          <cell r="E56">
            <v>2.7000000000000003E-2</v>
          </cell>
          <cell r="F56">
            <v>0.499</v>
          </cell>
          <cell r="G56" t="str">
            <v>JASSM</v>
          </cell>
        </row>
        <row r="57">
          <cell r="A57" t="str">
            <v>Joint Direct Attack Munition</v>
          </cell>
          <cell r="B57">
            <v>6578</v>
          </cell>
          <cell r="C57">
            <v>3419</v>
          </cell>
          <cell r="D57">
            <v>0.92400000000000004</v>
          </cell>
          <cell r="E57">
            <v>1.6E-2</v>
          </cell>
          <cell r="F57">
            <v>0.11599999999999999</v>
          </cell>
          <cell r="G57" t="str">
            <v>JDAM</v>
          </cell>
        </row>
        <row r="58">
          <cell r="A58" t="str">
            <v>Joint High Speed Vessel (JHSV)</v>
          </cell>
          <cell r="B58">
            <v>3674</v>
          </cell>
          <cell r="C58">
            <v>3636</v>
          </cell>
          <cell r="D58">
            <v>0.01</v>
          </cell>
          <cell r="E58">
            <v>-1.3000000000000001E-2</v>
          </cell>
          <cell r="F58">
            <v>0.01</v>
          </cell>
          <cell r="G58" t="str">
            <v>JHSV</v>
          </cell>
        </row>
        <row r="59">
          <cell r="A59" t="str">
            <v>Joint Land Attack Cruise Missile Defense Elevated Netted Sensor System (JLENS)</v>
          </cell>
          <cell r="B59">
            <v>7858</v>
          </cell>
          <cell r="C59">
            <v>6666</v>
          </cell>
          <cell r="D59">
            <v>0.17899999999999999</v>
          </cell>
          <cell r="E59">
            <v>4.9000000000000002E-2</v>
          </cell>
          <cell r="F59">
            <v>0.153</v>
          </cell>
          <cell r="G59" t="str">
            <v>JLENS</v>
          </cell>
        </row>
        <row r="60">
          <cell r="A60" t="str">
            <v>Joint Mine Resistant Ambush Protected (MRAP)</v>
          </cell>
          <cell r="B60">
            <v>41585</v>
          </cell>
          <cell r="C60">
            <v>23136</v>
          </cell>
          <cell r="D60">
            <v>0.79700000000000004</v>
          </cell>
          <cell r="E60">
            <v>0.126</v>
          </cell>
          <cell r="F60">
            <v>0.79700000000000004</v>
          </cell>
          <cell r="G60" t="str">
            <v>Joint MRAP</v>
          </cell>
        </row>
        <row r="61">
          <cell r="A61" t="str">
            <v>Joint Precision Approach and Landing System (JPALS)</v>
          </cell>
          <cell r="B61">
            <v>983</v>
          </cell>
          <cell r="C61">
            <v>1012</v>
          </cell>
          <cell r="D61">
            <v>-2.8999999999999998E-2</v>
          </cell>
          <cell r="E61">
            <v>-3.0000000000000001E-3</v>
          </cell>
          <cell r="F61">
            <v>-2.8999999999999998E-2</v>
          </cell>
          <cell r="G61" t="str">
            <v>JPALS</v>
          </cell>
        </row>
        <row r="62">
          <cell r="A62" t="str">
            <v>Joint Primary Aircraft Training System (JPATS)</v>
          </cell>
          <cell r="B62">
            <v>5724</v>
          </cell>
          <cell r="C62">
            <v>3725</v>
          </cell>
          <cell r="D62">
            <v>0.53700000000000003</v>
          </cell>
          <cell r="E62">
            <v>-0.03</v>
          </cell>
          <cell r="F62">
            <v>-3.0000000000000001E-3</v>
          </cell>
          <cell r="G62" t="str">
            <v>JPATS</v>
          </cell>
        </row>
        <row r="63">
          <cell r="A63" t="str">
            <v>Joint Standoff Weapon (JSOW)</v>
          </cell>
          <cell r="B63">
            <v>5589</v>
          </cell>
          <cell r="C63">
            <v>7947</v>
          </cell>
          <cell r="D63">
            <v>-0.55399999999999994</v>
          </cell>
          <cell r="E63">
            <v>0.06</v>
          </cell>
          <cell r="F63">
            <v>0.191</v>
          </cell>
          <cell r="G63" t="str">
            <v>JSOW</v>
          </cell>
        </row>
        <row r="64">
          <cell r="A64" t="str">
            <v>Joint Standoff Weapon (JSOW) Baseline</v>
          </cell>
          <cell r="B64">
            <v>2269</v>
          </cell>
          <cell r="C64">
            <v>2856</v>
          </cell>
          <cell r="D64">
            <v>-0.20600000000000002</v>
          </cell>
          <cell r="E64">
            <v>1.3000000000000001E-2</v>
          </cell>
          <cell r="F64">
            <v>1.3000000000000001E-2</v>
          </cell>
          <cell r="G64" t="str">
            <v>JSOW Split</v>
          </cell>
        </row>
        <row r="65">
          <cell r="A65" t="str">
            <v>Joint Standoff Weapon (JSOW) Unitary</v>
          </cell>
          <cell r="B65">
            <v>3321</v>
          </cell>
          <cell r="C65">
            <v>5091</v>
          </cell>
          <cell r="D65">
            <v>-0.34799999999999998</v>
          </cell>
          <cell r="E65">
            <v>4.7E-2</v>
          </cell>
          <cell r="F65">
            <v>0.17800000000000002</v>
          </cell>
          <cell r="G65" t="str">
            <v>JSOW Split</v>
          </cell>
        </row>
        <row r="66">
          <cell r="A66" t="str">
            <v>Joint Tactical Radio System (JTRS) Ground Mobile Radios (GMR)</v>
          </cell>
          <cell r="B66">
            <v>16414</v>
          </cell>
          <cell r="C66">
            <v>17422</v>
          </cell>
          <cell r="D66">
            <v>-5.7999999999999996E-2</v>
          </cell>
          <cell r="E66">
            <v>1.9E-2</v>
          </cell>
          <cell r="F66">
            <v>6.0000000000000001E-3</v>
          </cell>
          <cell r="G66" t="str">
            <v>JTRS GMR</v>
          </cell>
        </row>
        <row r="67">
          <cell r="A67" t="str">
            <v>Joint Tactical Radio System (JTRS) Handheld, Manpack, and Small Form Fit (HMS)</v>
          </cell>
          <cell r="B67">
            <v>5382</v>
          </cell>
          <cell r="C67">
            <v>10037</v>
          </cell>
          <cell r="D67">
            <v>-0.46399999999999997</v>
          </cell>
          <cell r="E67">
            <v>0.10800000000000001</v>
          </cell>
          <cell r="F67">
            <v>-0.47399999999999998</v>
          </cell>
          <cell r="G67" t="str">
            <v>JTRS HMS</v>
          </cell>
        </row>
        <row r="68">
          <cell r="A68" t="str">
            <v>Joint Tactical Radio System (JTRS) Network Enterprise Domain (NED)</v>
          </cell>
          <cell r="B68">
            <v>2073</v>
          </cell>
          <cell r="C68">
            <v>981</v>
          </cell>
          <cell r="D68">
            <v>1.1140000000000001</v>
          </cell>
          <cell r="E68">
            <v>2.4E-2</v>
          </cell>
          <cell r="F68">
            <v>7.400000000000001E-2</v>
          </cell>
          <cell r="G68" t="str">
            <v>JTRS NED</v>
          </cell>
        </row>
        <row r="69">
          <cell r="A69" t="str">
            <v>KC-130J</v>
          </cell>
          <cell r="B69">
            <v>9389</v>
          </cell>
          <cell r="C69">
            <v>9485</v>
          </cell>
          <cell r="D69">
            <v>-0.01</v>
          </cell>
          <cell r="E69">
            <v>-0.01</v>
          </cell>
          <cell r="F69">
            <v>-0.01</v>
          </cell>
          <cell r="G69" t="str">
            <v>KC-130J</v>
          </cell>
        </row>
        <row r="70">
          <cell r="A70" t="str">
            <v>Large Aircraft Infrared Countermeasures (LAIRCM)</v>
          </cell>
          <cell r="B70">
            <v>459</v>
          </cell>
          <cell r="C70">
            <v>403</v>
          </cell>
          <cell r="D70">
            <v>0.13800000000000001</v>
          </cell>
          <cell r="E70">
            <v>-5.0000000000000001E-3</v>
          </cell>
          <cell r="F70">
            <v>0.13800000000000001</v>
          </cell>
          <cell r="G70" t="str">
            <v>LAIRCM</v>
          </cell>
        </row>
        <row r="71">
          <cell r="A71" t="str">
            <v>Lewis and Clark Class (T-AKE) Dry Cargo/Ammunition Ship</v>
          </cell>
          <cell r="B71">
            <v>6605</v>
          </cell>
          <cell r="C71">
            <v>5283</v>
          </cell>
          <cell r="D71">
            <v>0.25</v>
          </cell>
          <cell r="E71">
            <v>-1.2E-2</v>
          </cell>
          <cell r="F71">
            <v>0.37</v>
          </cell>
          <cell r="G71" t="str">
            <v>T-AKE</v>
          </cell>
        </row>
        <row r="72">
          <cell r="A72" t="str">
            <v>LHA Replacement Amphibious Assault Ship</v>
          </cell>
          <cell r="B72">
            <v>10095</v>
          </cell>
          <cell r="C72">
            <v>3180</v>
          </cell>
          <cell r="D72">
            <v>2.1739999999999999</v>
          </cell>
          <cell r="E72">
            <v>0.55700000000000005</v>
          </cell>
          <cell r="F72">
            <v>2.1739999999999999</v>
          </cell>
          <cell r="G72" t="str">
            <v>LHA Replacement</v>
          </cell>
        </row>
        <row r="73">
          <cell r="A73" t="str">
            <v>Light Utility Helicopter (LUH), UH-72A Lakota</v>
          </cell>
          <cell r="B73">
            <v>2000</v>
          </cell>
          <cell r="C73">
            <v>1811</v>
          </cell>
          <cell r="D73">
            <v>0.10400000000000001</v>
          </cell>
          <cell r="E73">
            <v>1E-3</v>
          </cell>
          <cell r="F73">
            <v>0.106</v>
          </cell>
          <cell r="G73" t="str">
            <v>LUH</v>
          </cell>
        </row>
        <row r="74">
          <cell r="A74" t="str">
            <v>Littoral Combat Ship (LCS)</v>
          </cell>
          <cell r="B74">
            <v>32868</v>
          </cell>
          <cell r="C74">
            <v>2244</v>
          </cell>
          <cell r="D74" t="str">
            <v>NA</v>
          </cell>
          <cell r="E74" t="str">
            <v>NA</v>
          </cell>
          <cell r="F74" t="str">
            <v>NA</v>
          </cell>
          <cell r="G74" t="str">
            <v>LCS</v>
          </cell>
        </row>
        <row r="75">
          <cell r="A75" t="str">
            <v>LPD 17 Amphibious Transport Dock</v>
          </cell>
          <cell r="B75">
            <v>18674</v>
          </cell>
          <cell r="C75">
            <v>11712</v>
          </cell>
          <cell r="D75">
            <v>0.59399999999999997</v>
          </cell>
          <cell r="E75">
            <v>2E-3</v>
          </cell>
          <cell r="F75">
            <v>0.38100000000000001</v>
          </cell>
          <cell r="G75" t="str">
            <v>LPD 17</v>
          </cell>
        </row>
        <row r="76">
          <cell r="A76" t="str">
            <v>M982 155mm Precision Guided Extended Range Artillery Projectile (Excalibur)</v>
          </cell>
          <cell r="B76">
            <v>1813</v>
          </cell>
          <cell r="C76">
            <v>4776</v>
          </cell>
          <cell r="D76">
            <v>-0.62</v>
          </cell>
          <cell r="E76">
            <v>-0.26700000000000002</v>
          </cell>
          <cell r="F76">
            <v>-0.192</v>
          </cell>
          <cell r="G76" t="str">
            <v>EXCALIBUR</v>
          </cell>
        </row>
        <row r="77">
          <cell r="A77" t="str">
            <v>MH-60R Multi-Mission Helicopter</v>
          </cell>
          <cell r="B77">
            <v>14703</v>
          </cell>
          <cell r="C77">
            <v>5536</v>
          </cell>
          <cell r="D77">
            <v>1.6559999999999999</v>
          </cell>
          <cell r="E77">
            <v>0.01</v>
          </cell>
          <cell r="F77">
            <v>0.24199999999999999</v>
          </cell>
          <cell r="G77" t="str">
            <v>MH-60R</v>
          </cell>
        </row>
        <row r="78">
          <cell r="A78" t="str">
            <v>MH-60S Fleet Combat Support Helicopter</v>
          </cell>
          <cell r="B78">
            <v>8417</v>
          </cell>
          <cell r="C78">
            <v>3508</v>
          </cell>
          <cell r="D78">
            <v>1.399</v>
          </cell>
          <cell r="E78">
            <v>-3.0000000000000001E-3</v>
          </cell>
          <cell r="F78">
            <v>2.2000000000000002E-2</v>
          </cell>
          <cell r="G78" t="str">
            <v>MH-60S</v>
          </cell>
        </row>
        <row r="79">
          <cell r="A79" t="str">
            <v>Mobile User Objective System (MUOS)</v>
          </cell>
          <cell r="B79">
            <v>6978</v>
          </cell>
          <cell r="C79">
            <v>6721</v>
          </cell>
          <cell r="D79">
            <v>3.7999999999999999E-2</v>
          </cell>
          <cell r="E79">
            <v>6.9999999999999993E-3</v>
          </cell>
          <cell r="F79">
            <v>0.17499999999999999</v>
          </cell>
          <cell r="G79" t="str">
            <v>MUOS</v>
          </cell>
        </row>
        <row r="80">
          <cell r="A80" t="str">
            <v>MQ-1C UAS Gray Eagle</v>
          </cell>
          <cell r="B80">
            <v>5159</v>
          </cell>
          <cell r="C80">
            <v>1015</v>
          </cell>
          <cell r="D80">
            <v>4.0819999999999999</v>
          </cell>
          <cell r="E80">
            <v>0.02</v>
          </cell>
          <cell r="F80">
            <v>1.599</v>
          </cell>
          <cell r="G80" t="str">
            <v>MQ-1C GRAY EAGLE</v>
          </cell>
        </row>
        <row r="81">
          <cell r="A81" t="str">
            <v>Multifunctional Information Distribution System (MIDS)</v>
          </cell>
          <cell r="B81">
            <v>3024</v>
          </cell>
          <cell r="C81">
            <v>1304</v>
          </cell>
          <cell r="D81">
            <v>1.3180000000000001</v>
          </cell>
          <cell r="E81">
            <v>1.3999999999999999E-2</v>
          </cell>
          <cell r="F81">
            <v>0.19699999999999998</v>
          </cell>
          <cell r="G81" t="str">
            <v>MIDS JTRS</v>
          </cell>
        </row>
        <row r="82">
          <cell r="A82" t="str">
            <v>Multi-Platform Radar Technology Insertion Program (MP-RTIP)</v>
          </cell>
          <cell r="B82">
            <v>1427</v>
          </cell>
          <cell r="C82">
            <v>1796</v>
          </cell>
          <cell r="D82">
            <v>-0.20600000000000002</v>
          </cell>
          <cell r="E82">
            <v>3.1E-2</v>
          </cell>
          <cell r="F82">
            <v>-0.17699999999999999</v>
          </cell>
          <cell r="G82" t="str">
            <v>MP RTIP</v>
          </cell>
        </row>
        <row r="83">
          <cell r="A83" t="str">
            <v>National Airspace System (NAS)</v>
          </cell>
          <cell r="B83">
            <v>1658</v>
          </cell>
          <cell r="C83">
            <v>868</v>
          </cell>
          <cell r="D83">
            <v>0.90900000000000003</v>
          </cell>
          <cell r="E83">
            <v>2.2000000000000002E-2</v>
          </cell>
          <cell r="F83">
            <v>5.5999999999999994E-2</v>
          </cell>
          <cell r="G83" t="str">
            <v>NAS</v>
          </cell>
        </row>
        <row r="84">
          <cell r="A84" t="str">
            <v>National Polar-orbiting Operational Environmental Satellite System (NPOESS)</v>
          </cell>
          <cell r="B84">
            <v>7272</v>
          </cell>
          <cell r="C84">
            <v>6683</v>
          </cell>
          <cell r="D84">
            <v>8.8000000000000009E-2</v>
          </cell>
          <cell r="E84">
            <v>0.13600000000000001</v>
          </cell>
          <cell r="F84">
            <v>-0.47299999999999998</v>
          </cell>
          <cell r="G84" t="str">
            <v>NPOESS</v>
          </cell>
        </row>
        <row r="85">
          <cell r="A85" t="str">
            <v>Navstar Global Positioning System (GPS)</v>
          </cell>
          <cell r="B85">
            <v>9110</v>
          </cell>
          <cell r="C85">
            <v>7206</v>
          </cell>
          <cell r="D85">
            <v>0.748</v>
          </cell>
          <cell r="E85">
            <v>-0.29699999999999999</v>
          </cell>
          <cell r="F85">
            <v>-2.1000000000000001E-2</v>
          </cell>
          <cell r="G85" t="str">
            <v>NAVSTAR GPS</v>
          </cell>
        </row>
        <row r="86">
          <cell r="A86" t="str">
            <v>Navstar Global Positioning System (GPS) Space &amp; Control</v>
          </cell>
          <cell r="B86">
            <v>7602</v>
          </cell>
          <cell r="C86">
            <v>6217</v>
          </cell>
          <cell r="D86">
            <v>0.223</v>
          </cell>
          <cell r="E86">
            <v>1.7000000000000001E-2</v>
          </cell>
          <cell r="F86">
            <v>0.01</v>
          </cell>
          <cell r="G86" t="str">
            <v>NAVSTAR GPS SPLIT</v>
          </cell>
        </row>
        <row r="87">
          <cell r="A87" t="str">
            <v>Navstar Global Positioning System (GPS) User Equipment</v>
          </cell>
          <cell r="B87">
            <v>1508</v>
          </cell>
          <cell r="C87">
            <v>989</v>
          </cell>
          <cell r="D87">
            <v>0.52500000000000002</v>
          </cell>
          <cell r="E87">
            <v>-0.314</v>
          </cell>
          <cell r="F87">
            <v>-3.1E-2</v>
          </cell>
          <cell r="G87" t="str">
            <v>NAVSTAR GPS SPLIT</v>
          </cell>
        </row>
        <row r="88">
          <cell r="A88" t="str">
            <v>Navy Multiband Terminal</v>
          </cell>
          <cell r="B88">
            <v>1881</v>
          </cell>
          <cell r="C88">
            <v>2321</v>
          </cell>
          <cell r="D88">
            <v>-0.19</v>
          </cell>
          <cell r="E88">
            <v>-7.5999999999999998E-2</v>
          </cell>
          <cell r="F88">
            <v>-0.19</v>
          </cell>
          <cell r="G88" t="str">
            <v>NMT</v>
          </cell>
        </row>
        <row r="89">
          <cell r="A89" t="str">
            <v>P-8A Poseidon</v>
          </cell>
          <cell r="B89">
            <v>32969</v>
          </cell>
          <cell r="C89">
            <v>31034</v>
          </cell>
          <cell r="D89">
            <v>6.2E-2</v>
          </cell>
          <cell r="E89">
            <v>4.0000000000000001E-3</v>
          </cell>
          <cell r="F89">
            <v>8.6999999999999994E-2</v>
          </cell>
          <cell r="G89" t="str">
            <v>P-8A</v>
          </cell>
        </row>
        <row r="90">
          <cell r="A90" t="str">
            <v>Patriot Advanced Capability-3 (PAC-3)</v>
          </cell>
          <cell r="B90">
            <v>11581</v>
          </cell>
          <cell r="C90">
            <v>5213</v>
          </cell>
          <cell r="D90">
            <v>1.222</v>
          </cell>
          <cell r="E90">
            <v>0.06</v>
          </cell>
          <cell r="F90">
            <v>0.14099999999999999</v>
          </cell>
          <cell r="G90" t="str">
            <v>PATRIOT PAC-3</v>
          </cell>
        </row>
        <row r="91">
          <cell r="A91" t="str">
            <v>PATRIOT/Medium Extended Air Defense System (MEADS) Combined Aggregate Program (CAP)</v>
          </cell>
          <cell r="B91">
            <v>11310</v>
          </cell>
          <cell r="C91">
            <v>26650</v>
          </cell>
          <cell r="D91">
            <v>-0.73699999999999999</v>
          </cell>
          <cell r="E91">
            <v>-0.80200000000000005</v>
          </cell>
          <cell r="F91">
            <v>-0.70299999999999996</v>
          </cell>
          <cell r="G91" t="str">
            <v>PATRIOT/MEADS CAP</v>
          </cell>
        </row>
        <row r="92">
          <cell r="A92" t="str">
            <v>PATRIOT/Medium Extended Air Defense System (MEADS) Combined Aggregate Program (CAP) Fire Unit</v>
          </cell>
          <cell r="B92">
            <v>3373</v>
          </cell>
          <cell r="C92">
            <v>19363</v>
          </cell>
          <cell r="D92">
            <v>-0.82599999999999996</v>
          </cell>
          <cell r="E92">
            <v>-0.82099999999999995</v>
          </cell>
          <cell r="F92">
            <v>-0.82099999999999995</v>
          </cell>
          <cell r="G92" t="str">
            <v>PATRIOT/MEADS CAP SPLIT</v>
          </cell>
        </row>
        <row r="93">
          <cell r="A93" t="str">
            <v>PATRIOT/Medium Extended Air Defense System (MEADS) Combined Aggregate Program (CAP) Missile</v>
          </cell>
          <cell r="B93">
            <v>7937</v>
          </cell>
          <cell r="C93">
            <v>7287</v>
          </cell>
          <cell r="D93">
            <v>8.900000000000001E-2</v>
          </cell>
          <cell r="E93">
            <v>1.9E-2</v>
          </cell>
          <cell r="F93">
            <v>0.11800000000000001</v>
          </cell>
          <cell r="G93" t="str">
            <v>PATRIOT/MEADS CAP SPLIT</v>
          </cell>
        </row>
        <row r="94">
          <cell r="A94" t="str">
            <v>Reaper Unmanned Aircraft System (UAS)</v>
          </cell>
          <cell r="B94">
            <v>11892</v>
          </cell>
          <cell r="C94">
            <v>2637</v>
          </cell>
          <cell r="D94">
            <v>3.51</v>
          </cell>
          <cell r="E94">
            <v>5.2000000000000005E-2</v>
          </cell>
          <cell r="F94">
            <v>3.51</v>
          </cell>
          <cell r="G94" t="str">
            <v>MQ-9 REAPER</v>
          </cell>
        </row>
        <row r="95">
          <cell r="A95" t="str">
            <v>Remote Minehunting System</v>
          </cell>
          <cell r="B95">
            <v>1414</v>
          </cell>
          <cell r="C95">
            <v>1442</v>
          </cell>
          <cell r="D95">
            <v>-1.9E-2</v>
          </cell>
          <cell r="E95">
            <v>9.1999999999999998E-2</v>
          </cell>
          <cell r="F95">
            <v>-1.9E-2</v>
          </cell>
          <cell r="G95" t="str">
            <v>RMS</v>
          </cell>
        </row>
        <row r="96">
          <cell r="A96" t="str">
            <v>Sea Launched Ballistic Missile - UGM 133A Trident II (D-5) Missile</v>
          </cell>
          <cell r="B96">
            <v>53232</v>
          </cell>
          <cell r="C96">
            <v>51724</v>
          </cell>
          <cell r="D96">
            <v>2.8999999999999998E-2</v>
          </cell>
          <cell r="E96">
            <v>0.02</v>
          </cell>
          <cell r="F96">
            <v>4.9000000000000002E-2</v>
          </cell>
          <cell r="G96" t="str">
            <v>TRIDENT II</v>
          </cell>
        </row>
        <row r="97">
          <cell r="A97" t="str">
            <v>Small Diameter Bomb (SDB) Increment II</v>
          </cell>
          <cell r="B97">
            <v>4696</v>
          </cell>
          <cell r="C97">
            <v>4702</v>
          </cell>
          <cell r="D97">
            <v>-1E-3</v>
          </cell>
          <cell r="E97">
            <v>-1E-3</v>
          </cell>
          <cell r="F97">
            <v>-1E-3</v>
          </cell>
          <cell r="G97" t="str">
            <v>SDB II</v>
          </cell>
        </row>
        <row r="98">
          <cell r="A98" t="str">
            <v>Space Based Infrared System (SBIRS) High Program</v>
          </cell>
          <cell r="B98">
            <v>18339</v>
          </cell>
          <cell r="C98">
            <v>4597</v>
          </cell>
          <cell r="D98">
            <v>2.99</v>
          </cell>
          <cell r="E98">
            <v>0.13200000000000001</v>
          </cell>
          <cell r="F98">
            <v>0.61599999999999999</v>
          </cell>
          <cell r="G98" t="str">
            <v>SBIRS</v>
          </cell>
        </row>
        <row r="99">
          <cell r="A99" t="str">
            <v>Space Based Space Surveillance (SBSS) Block 10</v>
          </cell>
          <cell r="B99">
            <v>972</v>
          </cell>
          <cell r="C99">
            <v>872</v>
          </cell>
          <cell r="D99">
            <v>0.114</v>
          </cell>
          <cell r="E99">
            <v>3.7999999999999999E-2</v>
          </cell>
          <cell r="F99">
            <v>0.114</v>
          </cell>
          <cell r="G99" t="str">
            <v>SBSS B10</v>
          </cell>
        </row>
        <row r="100">
          <cell r="A100" t="str">
            <v>Standard Missile-6 (SM-6) Extended Range Active Missile (ERAM)</v>
          </cell>
          <cell r="B100">
            <v>6297</v>
          </cell>
          <cell r="C100">
            <v>5700</v>
          </cell>
          <cell r="D100">
            <v>0.105</v>
          </cell>
          <cell r="E100">
            <v>1.2E-2</v>
          </cell>
          <cell r="F100">
            <v>0.13800000000000001</v>
          </cell>
          <cell r="G100" t="str">
            <v>SM-6</v>
          </cell>
        </row>
        <row r="101">
          <cell r="A101" t="str">
            <v>Stryker Family of Vehicles (Stryker)</v>
          </cell>
          <cell r="B101">
            <v>18213</v>
          </cell>
          <cell r="C101">
            <v>8033</v>
          </cell>
          <cell r="D101">
            <v>1.2670000000000001</v>
          </cell>
          <cell r="E101">
            <v>0.111</v>
          </cell>
          <cell r="F101">
            <v>0.47399999999999998</v>
          </cell>
          <cell r="G101" t="str">
            <v>STRYKER</v>
          </cell>
        </row>
        <row r="102">
          <cell r="A102" t="str">
            <v>V-22 Joint Services Advanced Vertical Lift Aircraft (OSPREY)</v>
          </cell>
          <cell r="B102">
            <v>57211</v>
          </cell>
          <cell r="C102">
            <v>40099</v>
          </cell>
          <cell r="D102">
            <v>0.42700000000000005</v>
          </cell>
          <cell r="E102">
            <v>5.0000000000000001E-3</v>
          </cell>
          <cell r="F102">
            <v>5.2000000000000005E-2</v>
          </cell>
          <cell r="G102" t="str">
            <v>V-22</v>
          </cell>
        </row>
        <row r="103">
          <cell r="A103" t="str">
            <v>Vertical Take-off and Landing Tactical Unmanned Aerial Vehicle (VTUAV)</v>
          </cell>
          <cell r="B103">
            <v>2615</v>
          </cell>
          <cell r="C103">
            <v>2615</v>
          </cell>
          <cell r="D103">
            <v>0</v>
          </cell>
          <cell r="E103">
            <v>4.2999999999999997E-2</v>
          </cell>
          <cell r="F103">
            <v>0</v>
          </cell>
          <cell r="G103" t="str">
            <v>VTUAV</v>
          </cell>
        </row>
        <row r="104">
          <cell r="A104" t="str">
            <v>Virginia Class Submarine (SSN 774)</v>
          </cell>
          <cell r="B104">
            <v>83746</v>
          </cell>
          <cell r="C104">
            <v>60449</v>
          </cell>
          <cell r="D104">
            <v>0.38500000000000001</v>
          </cell>
          <cell r="E104">
            <v>4.0000000000000001E-3</v>
          </cell>
          <cell r="F104">
            <v>-0.06</v>
          </cell>
          <cell r="G104" t="str">
            <v>SSN 774</v>
          </cell>
        </row>
        <row r="105">
          <cell r="A105" t="str">
            <v>Warfighter Information Network-Tactical (WIN-T) Increment 1</v>
          </cell>
          <cell r="B105">
            <v>4505</v>
          </cell>
          <cell r="C105">
            <v>4087</v>
          </cell>
          <cell r="D105">
            <v>0.10199999999999999</v>
          </cell>
          <cell r="E105">
            <v>0.10800000000000001</v>
          </cell>
          <cell r="F105">
            <v>0.10199999999999999</v>
          </cell>
          <cell r="G105" t="str">
            <v>WIN-T Increment 1</v>
          </cell>
        </row>
        <row r="106">
          <cell r="A106" t="str">
            <v>Warfighter Information Network-Tactical (WIN-T) Increment 2</v>
          </cell>
          <cell r="B106">
            <v>6053</v>
          </cell>
          <cell r="C106">
            <v>3708</v>
          </cell>
          <cell r="D106">
            <v>0.63200000000000001</v>
          </cell>
          <cell r="E106">
            <v>0.25700000000000001</v>
          </cell>
          <cell r="F106">
            <v>0.63200000000000001</v>
          </cell>
          <cell r="G106" t="str">
            <v>WIN-T Increment 2</v>
          </cell>
        </row>
        <row r="107">
          <cell r="A107" t="str">
            <v>Warfighter Information Network-Tactical (WIN-T) Increment 3</v>
          </cell>
          <cell r="B107">
            <v>13871</v>
          </cell>
          <cell r="C107">
            <v>16368</v>
          </cell>
          <cell r="D107">
            <v>-0.153</v>
          </cell>
          <cell r="E107">
            <v>8.0000000000000002E-3</v>
          </cell>
          <cell r="F107">
            <v>-0.153</v>
          </cell>
          <cell r="G107" t="str">
            <v>WIN-T Increment 3</v>
          </cell>
        </row>
        <row r="108">
          <cell r="A108" t="str">
            <v>Wideband Global SATCOM (WGS)</v>
          </cell>
          <cell r="B108">
            <v>3674</v>
          </cell>
          <cell r="C108">
            <v>1194</v>
          </cell>
          <cell r="D108">
            <v>2.0780000000000003</v>
          </cell>
          <cell r="E108">
            <v>1.7000000000000001E-2</v>
          </cell>
          <cell r="F108">
            <v>0.67799999999999994</v>
          </cell>
          <cell r="G108" t="str">
            <v>WGS</v>
          </cell>
        </row>
        <row r="110">
          <cell r="A110" t="str">
            <v>Source: GAO analysis of DOD data.</v>
          </cell>
        </row>
        <row r="111">
          <cell r="A111" t="str">
            <v>Notes: Data were obtained from DOD’s SARs, acquisition program baselines, and, in some cases, program offices. NA indicates data were not available to make the assessment.</v>
          </cell>
        </row>
      </sheetData>
      <sheetData sheetId="1">
        <row r="2">
          <cell r="J2">
            <v>0</v>
          </cell>
          <cell r="K2">
            <v>0</v>
          </cell>
          <cell r="L2">
            <v>0.5</v>
          </cell>
          <cell r="M2">
            <v>0</v>
          </cell>
          <cell r="N2">
            <v>0.5</v>
          </cell>
          <cell r="O2">
            <v>0</v>
          </cell>
          <cell r="P2">
            <v>0.5</v>
          </cell>
          <cell r="Q2">
            <v>0.5</v>
          </cell>
          <cell r="R2">
            <v>1</v>
          </cell>
          <cell r="S2">
            <v>1</v>
          </cell>
          <cell r="T2">
            <v>1</v>
          </cell>
          <cell r="U2">
            <v>0</v>
          </cell>
          <cell r="V2">
            <v>0</v>
          </cell>
          <cell r="W2">
            <v>0.5</v>
          </cell>
          <cell r="X2">
            <v>1</v>
          </cell>
          <cell r="Y2">
            <v>0</v>
          </cell>
          <cell r="Z2">
            <v>0</v>
          </cell>
          <cell r="AA2">
            <v>40656042.039999992</v>
          </cell>
        </row>
        <row r="3">
          <cell r="J3">
            <v>0</v>
          </cell>
          <cell r="K3">
            <v>0</v>
          </cell>
          <cell r="L3">
            <v>1</v>
          </cell>
          <cell r="M3">
            <v>0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M3" t="e">
            <v>#VALUE!</v>
          </cell>
        </row>
        <row r="4">
          <cell r="J4" t="str">
            <v>Unclear Type</v>
          </cell>
          <cell r="K4" t="str">
            <v>Unclear Type</v>
          </cell>
          <cell r="L4" t="str">
            <v>Combination</v>
          </cell>
          <cell r="M4" t="str">
            <v>Unclear Type</v>
          </cell>
          <cell r="N4" t="str">
            <v>Fixed Price</v>
          </cell>
          <cell r="O4" t="str">
            <v>Fixed Price</v>
          </cell>
          <cell r="P4" t="str">
            <v>Fixed Price</v>
          </cell>
          <cell r="Q4" t="str">
            <v>Fixed Price</v>
          </cell>
          <cell r="R4" t="str">
            <v>Fixed Price</v>
          </cell>
          <cell r="S4" t="str">
            <v>Fixed Price</v>
          </cell>
          <cell r="T4" t="str">
            <v>Cost Plus Award/Incentive</v>
          </cell>
          <cell r="U4" t="str">
            <v>Cost (All Other; Including Time and Materials and Labor)</v>
          </cell>
          <cell r="V4" t="str">
            <v>Cost (All Other; Including Time and Materials and Labor)</v>
          </cell>
          <cell r="W4" t="str">
            <v>Cost (All Other; Including Time and Materials and Labor)</v>
          </cell>
          <cell r="X4" t="str">
            <v>Cost Plus Award/Incentive</v>
          </cell>
          <cell r="Y4" t="str">
            <v>Cost (All Other; Including Time and Materials and Labor)</v>
          </cell>
          <cell r="Z4" t="str">
            <v>Cost (All Other; Including Time and Materials and Labor)</v>
          </cell>
          <cell r="AA4">
            <v>3.3969958200000004E-2</v>
          </cell>
          <cell r="AB4">
            <v>6.0644553900000009E-3</v>
          </cell>
          <cell r="AC4">
            <v>6.2160544999999995E-4</v>
          </cell>
          <cell r="AD4">
            <v>0</v>
          </cell>
          <cell r="AE4">
            <v>0</v>
          </cell>
          <cell r="AF4">
            <v>3.3431041255000002E-2</v>
          </cell>
          <cell r="AG4">
            <v>1.8670156035E-2</v>
          </cell>
          <cell r="AH4">
            <v>4.0656019039999991E-2</v>
          </cell>
          <cell r="AK4">
            <v>1.2304373120000002E-2</v>
          </cell>
          <cell r="AL4">
            <v>3.6961937230000005E-2</v>
          </cell>
          <cell r="AM4" t="e">
            <v>#VALUE!</v>
          </cell>
        </row>
        <row r="5">
          <cell r="A5" t="str">
            <v>FYear</v>
          </cell>
          <cell r="B5" t="str">
            <v>PNO</v>
          </cell>
          <cell r="C5" t="str">
            <v>extentCompeted</v>
          </cell>
          <cell r="D5" t="str">
            <v>reasonNotCompeted</v>
          </cell>
          <cell r="E5" t="str">
            <v>numberOfOffersReceived</v>
          </cell>
          <cell r="F5" t="str">
            <v>FY</v>
          </cell>
          <cell r="G5" t="str">
            <v>FY_Current</v>
          </cell>
          <cell r="H5" t="str">
            <v>SumOfOBLAMOUNT1</v>
          </cell>
          <cell r="I5" t="str">
            <v>Override_Spend</v>
          </cell>
          <cell r="J5" t="str">
            <v>&lt;&gt;</v>
          </cell>
          <cell r="K5" t="str">
            <v>1</v>
          </cell>
          <cell r="L5" t="str">
            <v>2</v>
          </cell>
          <cell r="M5" t="str">
            <v>3</v>
          </cell>
          <cell r="N5" t="str">
            <v>A</v>
          </cell>
          <cell r="O5" t="str">
            <v>B</v>
          </cell>
          <cell r="P5" t="str">
            <v>J</v>
          </cell>
          <cell r="Q5" t="str">
            <v>K</v>
          </cell>
          <cell r="R5" t="str">
            <v>L</v>
          </cell>
          <cell r="S5" t="str">
            <v>M</v>
          </cell>
          <cell r="T5" t="str">
            <v>R</v>
          </cell>
          <cell r="U5" t="str">
            <v>S</v>
          </cell>
          <cell r="V5" t="str">
            <v>T</v>
          </cell>
          <cell r="W5" t="str">
            <v>U</v>
          </cell>
          <cell r="X5" t="str">
            <v>V</v>
          </cell>
          <cell r="Y5" t="str">
            <v>Y</v>
          </cell>
          <cell r="Z5" t="str">
            <v>Z</v>
          </cell>
          <cell r="AA5" t="str">
            <v>Fixed Price</v>
          </cell>
          <cell r="AB5" t="str">
            <v>Cost (All Other; Including Time and Materials and Labor)</v>
          </cell>
          <cell r="AC5" t="str">
            <v>Combination</v>
          </cell>
          <cell r="AD5" t="str">
            <v>Cost Plus Award/Incentive</v>
          </cell>
          <cell r="AE5" t="str">
            <v>Unclear Type</v>
          </cell>
          <cell r="AF5" t="str">
            <v>Fixed Score</v>
          </cell>
          <cell r="AG5" t="str">
            <v>Bonus Score</v>
          </cell>
          <cell r="AH5" t="str">
            <v>Include in Sample</v>
          </cell>
          <cell r="AI5" t="str">
            <v>Competition Cat</v>
          </cell>
          <cell r="AJ5" t="str">
            <v>Competition and Bidders Cat</v>
          </cell>
          <cell r="AK5" t="str">
            <v>Competition Score</v>
          </cell>
          <cell r="AL5" t="str">
            <v>Include in sample</v>
          </cell>
          <cell r="AM5" t="str">
            <v>Start Year * Dollars</v>
          </cell>
          <cell r="AN5" t="str">
            <v>Obla (2000 $)</v>
          </cell>
          <cell r="AP5" t="str">
            <v>Type of Contract</v>
          </cell>
          <cell r="AQ5" t="str">
            <v>Proper Name</v>
          </cell>
          <cell r="AR5" t="str">
            <v>Category</v>
          </cell>
          <cell r="AS5" t="str">
            <v>Fixed Score</v>
          </cell>
          <cell r="AT5" t="str">
            <v>Bonus Score</v>
          </cell>
          <cell r="AU5" t="str">
            <v>Include in Sample</v>
          </cell>
          <cell r="AV5" t="str">
            <v>Subtotal</v>
          </cell>
          <cell r="AW5" t="str">
            <v>Category total</v>
          </cell>
          <cell r="AX5" t="str">
            <v>Comments</v>
          </cell>
          <cell r="AY5" t="str">
            <v>URL for details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  <cell r="V6">
            <v>13</v>
          </cell>
          <cell r="W6">
            <v>14</v>
          </cell>
          <cell r="X6">
            <v>15</v>
          </cell>
          <cell r="Y6">
            <v>16</v>
          </cell>
          <cell r="Z6">
            <v>17</v>
          </cell>
          <cell r="AA6">
            <v>1</v>
          </cell>
          <cell r="AB6">
            <v>2</v>
          </cell>
          <cell r="AC6">
            <v>3</v>
          </cell>
          <cell r="AD6">
            <v>4</v>
          </cell>
          <cell r="AE6">
            <v>5</v>
          </cell>
          <cell r="AP6" t="str">
            <v>&lt;&gt;</v>
          </cell>
          <cell r="AQ6" t="str">
            <v>Blank</v>
          </cell>
          <cell r="AR6" t="str">
            <v>Unclear Type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A7">
            <v>2011</v>
          </cell>
          <cell r="B7" t="str">
            <v>000</v>
          </cell>
          <cell r="C7" t="str">
            <v/>
          </cell>
          <cell r="D7" t="str">
            <v/>
          </cell>
          <cell r="E7">
            <v>0</v>
          </cell>
          <cell r="F7" t="str">
            <v/>
          </cell>
          <cell r="G7" t="str">
            <v/>
          </cell>
          <cell r="H7">
            <v>-10050.380000000001</v>
          </cell>
          <cell r="I7">
            <v>0</v>
          </cell>
          <cell r="K7">
            <v>0</v>
          </cell>
          <cell r="P7">
            <v>-4382.3800000000019</v>
          </cell>
          <cell r="Q7">
            <v>0</v>
          </cell>
          <cell r="R7">
            <v>0</v>
          </cell>
          <cell r="S7">
            <v>0</v>
          </cell>
          <cell r="U7">
            <v>0</v>
          </cell>
          <cell r="V7">
            <v>0</v>
          </cell>
          <cell r="W7">
            <v>0</v>
          </cell>
          <cell r="Y7">
            <v>0</v>
          </cell>
          <cell r="Z7">
            <v>0</v>
          </cell>
          <cell r="AA7">
            <v>-4382.3800000000019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-4382.3800000000019</v>
          </cell>
          <cell r="AG7">
            <v>-2191.190000000001</v>
          </cell>
          <cell r="AH7">
            <v>-4382.3800000000019</v>
          </cell>
          <cell r="AI7" t="str">
            <v>Unclear Competition</v>
          </cell>
          <cell r="AJ7" t="str">
            <v>Unclear Competition</v>
          </cell>
          <cell r="AK7">
            <v>0</v>
          </cell>
          <cell r="AL7">
            <v>0</v>
          </cell>
          <cell r="AM7" t="e">
            <v>#VALUE!</v>
          </cell>
          <cell r="AN7">
            <v>-10189.982763864951</v>
          </cell>
          <cell r="AP7" t="str">
            <v>1</v>
          </cell>
          <cell r="AQ7" t="str">
            <v>Order Dependent (This applies to IDVs only. IDV allows pricing arrangement to be determined separately for each order)</v>
          </cell>
          <cell r="AR7" t="str">
            <v>Unclear Type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A8">
            <v>2011</v>
          </cell>
          <cell r="B8" t="str">
            <v>000</v>
          </cell>
          <cell r="C8" t="str">
            <v/>
          </cell>
          <cell r="D8" t="str">
            <v/>
          </cell>
          <cell r="E8">
            <v>5</v>
          </cell>
          <cell r="F8" t="str">
            <v/>
          </cell>
          <cell r="G8" t="str">
            <v/>
          </cell>
          <cell r="H8">
            <v>8110.98</v>
          </cell>
          <cell r="I8">
            <v>0</v>
          </cell>
          <cell r="P8">
            <v>8110.98</v>
          </cell>
          <cell r="AA8">
            <v>8110.98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8110.98</v>
          </cell>
          <cell r="AG8">
            <v>4055.49</v>
          </cell>
          <cell r="AH8">
            <v>8110.98</v>
          </cell>
          <cell r="AI8" t="str">
            <v>Unclear Competition</v>
          </cell>
          <cell r="AJ8" t="str">
            <v>Unclear Competition</v>
          </cell>
          <cell r="AK8">
            <v>0</v>
          </cell>
          <cell r="AL8">
            <v>0</v>
          </cell>
          <cell r="AM8" t="e">
            <v>#VALUE!</v>
          </cell>
          <cell r="AN8">
            <v>8223.6439217276693</v>
          </cell>
          <cell r="AP8" t="str">
            <v>2</v>
          </cell>
          <cell r="AQ8" t="str">
            <v>Combination (This applies to Awards only. Applies to Awards where two or more of the above apply)</v>
          </cell>
          <cell r="AR8" t="str">
            <v>Combination</v>
          </cell>
          <cell r="AS8">
            <v>0.5</v>
          </cell>
          <cell r="AT8">
            <v>0.5</v>
          </cell>
          <cell r="AU8">
            <v>1</v>
          </cell>
          <cell r="AV8">
            <v>6.2160544999999995E-4</v>
          </cell>
          <cell r="AW8">
            <v>6.2160544999999995E-4</v>
          </cell>
        </row>
        <row r="9">
          <cell r="A9">
            <v>2011</v>
          </cell>
          <cell r="B9" t="str">
            <v>000</v>
          </cell>
          <cell r="C9" t="str">
            <v/>
          </cell>
          <cell r="D9" t="str">
            <v/>
          </cell>
          <cell r="E9">
            <v>1</v>
          </cell>
          <cell r="F9" t="str">
            <v/>
          </cell>
          <cell r="G9" t="str">
            <v/>
          </cell>
          <cell r="H9">
            <v>651962.37999999989</v>
          </cell>
          <cell r="I9">
            <v>0</v>
          </cell>
          <cell r="P9">
            <v>669962.37999999989</v>
          </cell>
          <cell r="W9">
            <v>-18000</v>
          </cell>
          <cell r="AA9">
            <v>669962.37999999989</v>
          </cell>
          <cell r="AB9">
            <v>-18000</v>
          </cell>
          <cell r="AC9">
            <v>0</v>
          </cell>
          <cell r="AD9">
            <v>0</v>
          </cell>
          <cell r="AE9">
            <v>0</v>
          </cell>
          <cell r="AF9">
            <v>669962.37999999989</v>
          </cell>
          <cell r="AG9">
            <v>325981.18999999994</v>
          </cell>
          <cell r="AH9">
            <v>651962.37999999989</v>
          </cell>
          <cell r="AI9" t="str">
            <v>Unclear Competition</v>
          </cell>
          <cell r="AJ9" t="str">
            <v>Unclear Competition</v>
          </cell>
          <cell r="AK9">
            <v>0</v>
          </cell>
          <cell r="AL9">
            <v>0</v>
          </cell>
          <cell r="AM9" t="e">
            <v>#VALUE!</v>
          </cell>
          <cell r="AN9">
            <v>661018.33113657089</v>
          </cell>
          <cell r="AP9" t="str">
            <v>3</v>
          </cell>
          <cell r="AQ9" t="str">
            <v>Other (This applies to Awards only Applies to Awards where none of the above apply)</v>
          </cell>
          <cell r="AR9" t="str">
            <v>Unclear Type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A10">
            <v>2011</v>
          </cell>
          <cell r="B10" t="str">
            <v>000</v>
          </cell>
          <cell r="C10" t="str">
            <v/>
          </cell>
          <cell r="D10" t="str">
            <v/>
          </cell>
          <cell r="E10">
            <v>2</v>
          </cell>
          <cell r="F10" t="str">
            <v/>
          </cell>
          <cell r="G10" t="str">
            <v/>
          </cell>
          <cell r="H10">
            <v>807926.42</v>
          </cell>
          <cell r="I10">
            <v>0</v>
          </cell>
          <cell r="P10">
            <v>839594.53</v>
          </cell>
          <cell r="AA10">
            <v>839594.53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839594.53</v>
          </cell>
          <cell r="AG10">
            <v>419797.26500000001</v>
          </cell>
          <cell r="AH10">
            <v>839594.53</v>
          </cell>
          <cell r="AI10" t="str">
            <v>Unclear Competition</v>
          </cell>
          <cell r="AJ10" t="str">
            <v>Unclear Competition</v>
          </cell>
          <cell r="AK10">
            <v>0</v>
          </cell>
          <cell r="AL10">
            <v>0</v>
          </cell>
          <cell r="AM10" t="e">
            <v>#VALUE!</v>
          </cell>
          <cell r="AN10">
            <v>819148.75798438617</v>
          </cell>
          <cell r="AP10" t="str">
            <v>A</v>
          </cell>
          <cell r="AQ10" t="str">
            <v>Fixed Price Redetermination</v>
          </cell>
          <cell r="AR10" t="str">
            <v>Fixed Price</v>
          </cell>
          <cell r="AS10">
            <v>0.5</v>
          </cell>
          <cell r="AT10">
            <v>0.5</v>
          </cell>
          <cell r="AU10">
            <v>1</v>
          </cell>
          <cell r="AV10">
            <v>0</v>
          </cell>
          <cell r="AW10">
            <v>3.3969958200000004E-2</v>
          </cell>
          <cell r="AX10" t="str">
            <v>Redetermination can reward performance</v>
          </cell>
          <cell r="AY10" t="str">
            <v>https://www.acquisition.gov/far/html/Subpart%2016_2.html</v>
          </cell>
        </row>
        <row r="11">
          <cell r="A11">
            <v>2011</v>
          </cell>
          <cell r="B11" t="str">
            <v>000</v>
          </cell>
          <cell r="C11" t="str">
            <v/>
          </cell>
          <cell r="D11" t="str">
            <v/>
          </cell>
          <cell r="E11">
            <v>3</v>
          </cell>
          <cell r="F11" t="str">
            <v/>
          </cell>
          <cell r="G11" t="str">
            <v/>
          </cell>
          <cell r="H11">
            <v>2198796.2999999998</v>
          </cell>
          <cell r="I11">
            <v>0</v>
          </cell>
          <cell r="P11">
            <v>2198796.2999999998</v>
          </cell>
          <cell r="AA11">
            <v>2198796.2999999998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2198796.2999999998</v>
          </cell>
          <cell r="AG11">
            <v>1099398.1499999999</v>
          </cell>
          <cell r="AH11">
            <v>2198796.2999999998</v>
          </cell>
          <cell r="AI11" t="str">
            <v>Unclear Competition</v>
          </cell>
          <cell r="AJ11" t="str">
            <v>Unclear Competition</v>
          </cell>
          <cell r="AK11">
            <v>0</v>
          </cell>
          <cell r="AL11">
            <v>0</v>
          </cell>
          <cell r="AM11" t="e">
            <v>#VALUE!</v>
          </cell>
          <cell r="AN11">
            <v>2229338.2338031023</v>
          </cell>
          <cell r="AP11" t="str">
            <v>B</v>
          </cell>
          <cell r="AQ11" t="str">
            <v>Fixed Price Level of Effort</v>
          </cell>
          <cell r="AR11" t="str">
            <v>Fixed Price</v>
          </cell>
          <cell r="AS11">
            <v>1</v>
          </cell>
          <cell r="AT11">
            <v>0</v>
          </cell>
          <cell r="AU11">
            <v>1</v>
          </cell>
          <cell r="AV11">
            <v>0</v>
          </cell>
          <cell r="AW11">
            <v>3.3969958200000004E-2</v>
          </cell>
          <cell r="AY11" t="str">
            <v>https://www.acquisition.gov/far/html/Subpart%2016_2.html</v>
          </cell>
        </row>
        <row r="12">
          <cell r="A12">
            <v>2011</v>
          </cell>
          <cell r="B12" t="str">
            <v>000</v>
          </cell>
          <cell r="C12" t="str">
            <v/>
          </cell>
          <cell r="D12" t="str">
            <v>ONE</v>
          </cell>
          <cell r="E12">
            <v>1</v>
          </cell>
          <cell r="F12" t="str">
            <v/>
          </cell>
          <cell r="G12" t="str">
            <v/>
          </cell>
          <cell r="H12">
            <v>-71245.150000000009</v>
          </cell>
          <cell r="I12">
            <v>0</v>
          </cell>
          <cell r="P12">
            <v>-71245.150000000009</v>
          </cell>
          <cell r="W12">
            <v>0</v>
          </cell>
          <cell r="AA12">
            <v>-71245.150000000009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-71245.150000000009</v>
          </cell>
          <cell r="AG12">
            <v>-35622.575000000004</v>
          </cell>
          <cell r="AH12">
            <v>-71245.150000000009</v>
          </cell>
          <cell r="AI12" t="str">
            <v>None</v>
          </cell>
          <cell r="AJ12" t="str">
            <v>None</v>
          </cell>
          <cell r="AK12">
            <v>0</v>
          </cell>
          <cell r="AL12">
            <v>-71245.150000000009</v>
          </cell>
          <cell r="AM12" t="e">
            <v>#VALUE!</v>
          </cell>
          <cell r="AN12">
            <v>-72234.766298286544</v>
          </cell>
          <cell r="AP12" t="str">
            <v>J</v>
          </cell>
          <cell r="AQ12" t="str">
            <v>Fixed Price</v>
          </cell>
          <cell r="AR12" t="str">
            <v>Fixed Price</v>
          </cell>
          <cell r="AS12">
            <v>1</v>
          </cell>
          <cell r="AT12">
            <v>0.5</v>
          </cell>
          <cell r="AU12">
            <v>1</v>
          </cell>
          <cell r="AV12">
            <v>3.227051886E-2</v>
          </cell>
          <cell r="AW12">
            <v>3.3969958200000004E-2</v>
          </cell>
          <cell r="AX12" t="str">
            <v>The contracting officer may use a firm-fixed-price contract in conjunction with an award-fee incentive (see 16.404) and performance or delivery incentives (see 16.402-2 and 16.402-3) when the award fee or incentive is based solely on factors other than cost. The contract type remains firm-fixed-price when used with these incentives.</v>
          </cell>
          <cell r="AY12" t="str">
            <v>https://www.acquisition.gov/far/html/Subpart%2016_2.html</v>
          </cell>
        </row>
        <row r="13">
          <cell r="A13">
            <v>2011</v>
          </cell>
          <cell r="B13" t="str">
            <v>000</v>
          </cell>
          <cell r="C13" t="str">
            <v/>
          </cell>
          <cell r="D13" t="str">
            <v>OTH</v>
          </cell>
          <cell r="E13">
            <v>6</v>
          </cell>
          <cell r="F13" t="str">
            <v/>
          </cell>
          <cell r="G13" t="str">
            <v/>
          </cell>
          <cell r="H13">
            <v>-53555.77</v>
          </cell>
          <cell r="I13">
            <v>0</v>
          </cell>
          <cell r="P13">
            <v>-53555.77</v>
          </cell>
          <cell r="AA13">
            <v>-53555.77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-53555.77</v>
          </cell>
          <cell r="AG13">
            <v>-26777.884999999998</v>
          </cell>
          <cell r="AH13">
            <v>-53555.77</v>
          </cell>
          <cell r="AI13" t="str">
            <v>None</v>
          </cell>
          <cell r="AJ13" t="str">
            <v>None</v>
          </cell>
          <cell r="AK13">
            <v>0</v>
          </cell>
          <cell r="AL13">
            <v>-53555.77</v>
          </cell>
          <cell r="AM13" t="e">
            <v>#VALUE!</v>
          </cell>
          <cell r="AN13">
            <v>-54299.675555104935</v>
          </cell>
          <cell r="AP13" t="str">
            <v>K</v>
          </cell>
          <cell r="AQ13" t="str">
            <v>Fixed Price with Economic Price Adjustment</v>
          </cell>
          <cell r="AR13" t="str">
            <v>Fixed Price</v>
          </cell>
          <cell r="AS13">
            <v>0.5</v>
          </cell>
          <cell r="AT13">
            <v>0.5</v>
          </cell>
          <cell r="AU13">
            <v>1</v>
          </cell>
          <cell r="AV13">
            <v>1.6994393399999998E-3</v>
          </cell>
          <cell r="AW13">
            <v>3.3969958200000004E-2</v>
          </cell>
          <cell r="AX13" t="str">
            <v>The contracting officer may use a fixed-price contract with economic price adjustment in conjunction with an award-fee incentive (see 16.404) and performance or delivery incentives (see 16.402-2 and 16.402-3) when the award fee or incentive is based solely on factors other than cost. The contract type remains fixed-price with economic price adjustment when used with these incentives.</v>
          </cell>
          <cell r="AY13" t="str">
            <v>https://www.acquisition.gov/far/html/Subpart%2016_2.html</v>
          </cell>
        </row>
        <row r="14">
          <cell r="A14">
            <v>2011</v>
          </cell>
          <cell r="B14" t="str">
            <v>000</v>
          </cell>
          <cell r="C14" t="str">
            <v/>
          </cell>
          <cell r="D14" t="str">
            <v>OTH</v>
          </cell>
          <cell r="E14">
            <v>1</v>
          </cell>
          <cell r="F14" t="str">
            <v/>
          </cell>
          <cell r="G14" t="str">
            <v/>
          </cell>
          <cell r="H14">
            <v>14626921.250000002</v>
          </cell>
          <cell r="I14">
            <v>0</v>
          </cell>
          <cell r="P14">
            <v>14626921.250000002</v>
          </cell>
          <cell r="AA14">
            <v>14626921.250000002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14626921.250000002</v>
          </cell>
          <cell r="AG14">
            <v>7313460.6250000009</v>
          </cell>
          <cell r="AH14">
            <v>14626921.250000002</v>
          </cell>
          <cell r="AI14" t="str">
            <v>None</v>
          </cell>
          <cell r="AJ14" t="str">
            <v>None</v>
          </cell>
          <cell r="AK14">
            <v>0</v>
          </cell>
          <cell r="AL14">
            <v>14626921.250000002</v>
          </cell>
          <cell r="AM14" t="e">
            <v>#VALUE!</v>
          </cell>
          <cell r="AN14">
            <v>14830093.531379906</v>
          </cell>
          <cell r="AP14" t="str">
            <v>L</v>
          </cell>
          <cell r="AQ14" t="str">
            <v>Fixed Price Incentive</v>
          </cell>
          <cell r="AR14" t="str">
            <v>Fixed Price</v>
          </cell>
          <cell r="AS14">
            <v>1</v>
          </cell>
          <cell r="AT14">
            <v>1</v>
          </cell>
          <cell r="AU14">
            <v>1</v>
          </cell>
          <cell r="AV14">
            <v>0</v>
          </cell>
          <cell r="AW14">
            <v>3.3969958200000004E-2</v>
          </cell>
          <cell r="AY14" t="str">
            <v>https://www.acquisition.gov/far/html/Subpart%2016_2.html</v>
          </cell>
        </row>
        <row r="15">
          <cell r="A15">
            <v>2011</v>
          </cell>
          <cell r="B15" t="str">
            <v>000</v>
          </cell>
          <cell r="C15" t="str">
            <v/>
          </cell>
          <cell r="D15" t="str">
            <v>UT</v>
          </cell>
          <cell r="E15">
            <v>1</v>
          </cell>
          <cell r="F15" t="str">
            <v/>
          </cell>
          <cell r="G15" t="str">
            <v/>
          </cell>
          <cell r="H15">
            <v>10155443.779999999</v>
          </cell>
          <cell r="I15">
            <v>0</v>
          </cell>
          <cell r="P15">
            <v>10155443.779999999</v>
          </cell>
          <cell r="AA15">
            <v>10155443.779999999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10155443.779999999</v>
          </cell>
          <cell r="AG15">
            <v>5077721.8899999997</v>
          </cell>
          <cell r="AH15">
            <v>10155443.779999999</v>
          </cell>
          <cell r="AI15" t="str">
            <v>None</v>
          </cell>
          <cell r="AJ15" t="str">
            <v>None</v>
          </cell>
          <cell r="AK15">
            <v>0</v>
          </cell>
          <cell r="AL15">
            <v>10155443.779999999</v>
          </cell>
          <cell r="AM15" t="e">
            <v>#VALUE!</v>
          </cell>
          <cell r="AN15">
            <v>10296505.910980431</v>
          </cell>
          <cell r="AP15" t="str">
            <v>M</v>
          </cell>
          <cell r="AQ15" t="str">
            <v>Fixed Price Award Fee</v>
          </cell>
          <cell r="AR15" t="str">
            <v>Fixed Price</v>
          </cell>
          <cell r="AS15">
            <v>1</v>
          </cell>
          <cell r="AT15">
            <v>1</v>
          </cell>
          <cell r="AU15">
            <v>1</v>
          </cell>
          <cell r="AV15">
            <v>0</v>
          </cell>
          <cell r="AW15">
            <v>3.3969958200000004E-2</v>
          </cell>
          <cell r="AY15" t="str">
            <v>https://www.acquisition.gov/far/html/Subpart%2016_2.html</v>
          </cell>
        </row>
        <row r="16">
          <cell r="A16">
            <v>2011</v>
          </cell>
          <cell r="B16" t="str">
            <v>000</v>
          </cell>
          <cell r="C16" t="str">
            <v>A</v>
          </cell>
          <cell r="D16" t="str">
            <v/>
          </cell>
          <cell r="E16">
            <v>97</v>
          </cell>
          <cell r="F16" t="str">
            <v/>
          </cell>
          <cell r="G16" t="str">
            <v/>
          </cell>
          <cell r="H16">
            <v>-309719.5</v>
          </cell>
          <cell r="I16">
            <v>0</v>
          </cell>
          <cell r="P16">
            <v>-309719.5</v>
          </cell>
          <cell r="AA16">
            <v>-309719.5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-309719.5</v>
          </cell>
          <cell r="AG16">
            <v>-154859.75</v>
          </cell>
          <cell r="AH16">
            <v>-309719.5</v>
          </cell>
          <cell r="AI16" t="str">
            <v>Full and Open</v>
          </cell>
          <cell r="AJ16" t="str">
            <v>Full and Open -Multiple Bidders</v>
          </cell>
          <cell r="AK16">
            <v>-309719.5</v>
          </cell>
          <cell r="AL16">
            <v>-309719.5</v>
          </cell>
          <cell r="AM16" t="e">
            <v>#VALUE!</v>
          </cell>
          <cell r="AN16">
            <v>-314021.59586332762</v>
          </cell>
          <cell r="AP16" t="str">
            <v>R</v>
          </cell>
          <cell r="AQ16" t="str">
            <v>Cost Plus Award Fee</v>
          </cell>
          <cell r="AR16" t="str">
            <v>Cost Plus Award/Incentive</v>
          </cell>
          <cell r="AS16">
            <v>0</v>
          </cell>
          <cell r="AT16">
            <v>1</v>
          </cell>
          <cell r="AU16">
            <v>1</v>
          </cell>
          <cell r="AV16">
            <v>0</v>
          </cell>
          <cell r="AW16">
            <v>0</v>
          </cell>
          <cell r="AY16" t="str">
            <v>https://www.acquisition.gov/far/html/Subpart%2016_3.html</v>
          </cell>
        </row>
        <row r="17">
          <cell r="A17">
            <v>2011</v>
          </cell>
          <cell r="B17" t="str">
            <v>000</v>
          </cell>
          <cell r="C17" t="str">
            <v>A</v>
          </cell>
          <cell r="D17" t="str">
            <v/>
          </cell>
          <cell r="E17">
            <v>80</v>
          </cell>
          <cell r="F17" t="str">
            <v/>
          </cell>
          <cell r="G17" t="str">
            <v/>
          </cell>
          <cell r="H17">
            <v>-25677</v>
          </cell>
          <cell r="I17">
            <v>0</v>
          </cell>
          <cell r="P17">
            <v>-25677</v>
          </cell>
          <cell r="AA17">
            <v>-25677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-25677</v>
          </cell>
          <cell r="AG17">
            <v>-12838.5</v>
          </cell>
          <cell r="AH17">
            <v>-25677</v>
          </cell>
          <cell r="AI17" t="str">
            <v>Full and Open</v>
          </cell>
          <cell r="AJ17" t="str">
            <v>Full and Open -Multiple Bidders</v>
          </cell>
          <cell r="AK17">
            <v>-25677</v>
          </cell>
          <cell r="AL17">
            <v>-25677</v>
          </cell>
          <cell r="AM17" t="e">
            <v>#VALUE!</v>
          </cell>
          <cell r="AN17">
            <v>-26033.66115786272</v>
          </cell>
          <cell r="AP17" t="str">
            <v>S</v>
          </cell>
          <cell r="AQ17" t="str">
            <v>Cost No Fee</v>
          </cell>
          <cell r="AR17" t="str">
            <v>Cost (All Other; Including Time and Materials and Labor)</v>
          </cell>
          <cell r="AS17">
            <v>0</v>
          </cell>
          <cell r="AT17">
            <v>0</v>
          </cell>
          <cell r="AU17">
            <v>1</v>
          </cell>
          <cell r="AV17">
            <v>3.5473560000000002E-3</v>
          </cell>
          <cell r="AW17">
            <v>6.0644553900000009E-3</v>
          </cell>
          <cell r="AY17" t="str">
            <v>https://www.acquisition.gov/far/html/Subpart%2016_3.html</v>
          </cell>
        </row>
        <row r="18">
          <cell r="A18">
            <v>2011</v>
          </cell>
          <cell r="B18" t="str">
            <v>000</v>
          </cell>
          <cell r="C18" t="str">
            <v>A</v>
          </cell>
          <cell r="D18" t="str">
            <v/>
          </cell>
          <cell r="E18">
            <v>72</v>
          </cell>
          <cell r="F18" t="str">
            <v/>
          </cell>
          <cell r="G18" t="str">
            <v/>
          </cell>
          <cell r="H18">
            <v>-2366.5</v>
          </cell>
          <cell r="I18">
            <v>0</v>
          </cell>
          <cell r="P18">
            <v>-1147607.5</v>
          </cell>
          <cell r="U18">
            <v>788185</v>
          </cell>
          <cell r="W18">
            <v>357056</v>
          </cell>
          <cell r="AA18">
            <v>-1147607.5</v>
          </cell>
          <cell r="AB18">
            <v>1145241</v>
          </cell>
          <cell r="AC18">
            <v>0</v>
          </cell>
          <cell r="AD18">
            <v>0</v>
          </cell>
          <cell r="AE18">
            <v>0</v>
          </cell>
          <cell r="AF18">
            <v>-1147607.5</v>
          </cell>
          <cell r="AG18">
            <v>-395275.75</v>
          </cell>
          <cell r="AH18">
            <v>-2366.5</v>
          </cell>
          <cell r="AI18" t="str">
            <v>Full and Open</v>
          </cell>
          <cell r="AJ18" t="str">
            <v>Full and Open -Multiple Bidders</v>
          </cell>
          <cell r="AK18">
            <v>-2366.5</v>
          </cell>
          <cell r="AL18">
            <v>-2366.5</v>
          </cell>
          <cell r="AM18" t="e">
            <v>#VALUE!</v>
          </cell>
          <cell r="AN18">
            <v>-2399.3713880158166</v>
          </cell>
          <cell r="AP18" t="str">
            <v>T</v>
          </cell>
          <cell r="AQ18" t="str">
            <v>Cost Sharing</v>
          </cell>
          <cell r="AR18" t="str">
            <v>Cost (All Other; Including Time and Materials and Labor)</v>
          </cell>
          <cell r="AS18">
            <v>0</v>
          </cell>
          <cell r="AT18">
            <v>0</v>
          </cell>
          <cell r="AU18">
            <v>1</v>
          </cell>
          <cell r="AV18">
            <v>3.0864599999999999E-4</v>
          </cell>
          <cell r="AW18">
            <v>6.0644553900000009E-3</v>
          </cell>
          <cell r="AY18" t="str">
            <v>https://www.acquisition.gov/far/html/Subpart%2016_3.html</v>
          </cell>
        </row>
        <row r="19">
          <cell r="A19">
            <v>2011</v>
          </cell>
          <cell r="B19" t="str">
            <v>000</v>
          </cell>
          <cell r="C19" t="str">
            <v>A</v>
          </cell>
          <cell r="D19" t="str">
            <v/>
          </cell>
          <cell r="E19">
            <v>154</v>
          </cell>
          <cell r="F19" t="str">
            <v/>
          </cell>
          <cell r="G19" t="str">
            <v/>
          </cell>
          <cell r="H19">
            <v>-1724.5</v>
          </cell>
          <cell r="I19">
            <v>0</v>
          </cell>
          <cell r="P19">
            <v>-1724.5</v>
          </cell>
          <cell r="AA19">
            <v>-1724.5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-1724.5</v>
          </cell>
          <cell r="AG19">
            <v>-862.25</v>
          </cell>
          <cell r="AH19">
            <v>-1724.5</v>
          </cell>
          <cell r="AI19" t="str">
            <v>Full and Open</v>
          </cell>
          <cell r="AJ19" t="str">
            <v>Full and Open -Multiple Bidders</v>
          </cell>
          <cell r="AK19">
            <v>-1724.5</v>
          </cell>
          <cell r="AL19">
            <v>-1724.5</v>
          </cell>
          <cell r="AM19" t="e">
            <v>#VALUE!</v>
          </cell>
          <cell r="AN19">
            <v>-1748.4538172969685</v>
          </cell>
          <cell r="AP19" t="str">
            <v>U</v>
          </cell>
          <cell r="AQ19" t="str">
            <v>Cost Plus Fixed Fee</v>
          </cell>
          <cell r="AR19" t="str">
            <v>Cost (All Other; Including Time and Materials and Labor)</v>
          </cell>
          <cell r="AS19">
            <v>0</v>
          </cell>
          <cell r="AT19">
            <v>0.5</v>
          </cell>
          <cell r="AU19">
            <v>1</v>
          </cell>
          <cell r="AV19">
            <v>2.7487484200000001E-3</v>
          </cell>
          <cell r="AW19">
            <v>6.0644553900000009E-3</v>
          </cell>
          <cell r="AY19" t="str">
            <v>https://www.acquisition.gov/far/html/Subpart%2016_3.html</v>
          </cell>
        </row>
        <row r="20">
          <cell r="A20">
            <v>2011</v>
          </cell>
          <cell r="B20" t="str">
            <v>000</v>
          </cell>
          <cell r="C20" t="str">
            <v>A</v>
          </cell>
          <cell r="D20" t="str">
            <v/>
          </cell>
          <cell r="E20">
            <v>110</v>
          </cell>
          <cell r="F20" t="str">
            <v/>
          </cell>
          <cell r="G20" t="str">
            <v/>
          </cell>
          <cell r="H20">
            <v>-108.87</v>
          </cell>
          <cell r="I20">
            <v>0</v>
          </cell>
          <cell r="L20">
            <v>-108.87</v>
          </cell>
          <cell r="AA20">
            <v>0</v>
          </cell>
          <cell r="AB20">
            <v>0</v>
          </cell>
          <cell r="AC20">
            <v>-108.87</v>
          </cell>
          <cell r="AD20">
            <v>0</v>
          </cell>
          <cell r="AE20">
            <v>0</v>
          </cell>
          <cell r="AF20">
            <v>-54.435000000000002</v>
          </cell>
          <cell r="AG20">
            <v>-54.435000000000002</v>
          </cell>
          <cell r="AH20">
            <v>-108.87</v>
          </cell>
          <cell r="AI20" t="str">
            <v>Full and Open</v>
          </cell>
          <cell r="AJ20" t="str">
            <v>Full and Open -Multiple Bidders</v>
          </cell>
          <cell r="AK20">
            <v>-108.87</v>
          </cell>
          <cell r="AL20">
            <v>-108.87</v>
          </cell>
          <cell r="AM20" t="e">
            <v>#VALUE!</v>
          </cell>
          <cell r="AN20">
            <v>-110.38223664199535</v>
          </cell>
          <cell r="AP20" t="str">
            <v>V</v>
          </cell>
          <cell r="AQ20" t="str">
            <v>Cost Plus Incentive</v>
          </cell>
          <cell r="AR20" t="str">
            <v>Cost Plus Award/Incentive</v>
          </cell>
          <cell r="AS20">
            <v>0</v>
          </cell>
          <cell r="AT20">
            <v>1</v>
          </cell>
          <cell r="AU20">
            <v>1</v>
          </cell>
          <cell r="AV20">
            <v>0</v>
          </cell>
          <cell r="AW20">
            <v>0</v>
          </cell>
          <cell r="AY20" t="str">
            <v>https://www.acquisition.gov/far/html/Subpart%2016_3.html</v>
          </cell>
        </row>
        <row r="21">
          <cell r="A21">
            <v>2011</v>
          </cell>
          <cell r="B21" t="str">
            <v>000</v>
          </cell>
          <cell r="C21" t="str">
            <v>A</v>
          </cell>
          <cell r="D21" t="str">
            <v/>
          </cell>
          <cell r="E21">
            <v>600</v>
          </cell>
          <cell r="F21" t="str">
            <v/>
          </cell>
          <cell r="G21" t="str">
            <v/>
          </cell>
          <cell r="H21">
            <v>-2.3199999999999998</v>
          </cell>
          <cell r="I21">
            <v>0</v>
          </cell>
          <cell r="P21">
            <v>-2.3199999999999998</v>
          </cell>
          <cell r="AA21">
            <v>-2.3199999999999998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-2.3199999999999998</v>
          </cell>
          <cell r="AG21">
            <v>-1.1599999999999999</v>
          </cell>
          <cell r="AH21">
            <v>-2.3199999999999998</v>
          </cell>
          <cell r="AI21" t="str">
            <v>Full and Open</v>
          </cell>
          <cell r="AJ21" t="str">
            <v>Full and Open -Multiple Bidders</v>
          </cell>
          <cell r="AK21">
            <v>-2.3199999999999998</v>
          </cell>
          <cell r="AL21">
            <v>-2.3199999999999998</v>
          </cell>
          <cell r="AM21" t="e">
            <v>#VALUE!</v>
          </cell>
          <cell r="AN21">
            <v>-2.3522254892020684</v>
          </cell>
          <cell r="AP21" t="str">
            <v>Y</v>
          </cell>
          <cell r="AQ21" t="str">
            <v>Time and Materials</v>
          </cell>
          <cell r="AR21" t="str">
            <v>Cost (All Other; Including Time and Materials and Labor)</v>
          </cell>
          <cell r="AS21">
            <v>0</v>
          </cell>
          <cell r="AT21">
            <v>0</v>
          </cell>
          <cell r="AU21">
            <v>1</v>
          </cell>
          <cell r="AV21">
            <v>-5.4029502999999998E-4</v>
          </cell>
          <cell r="AW21">
            <v>6.0644553900000009E-3</v>
          </cell>
          <cell r="AY21" t="str">
            <v>https://www.acquisition.gov/far/html/Subpart%2016_6.html</v>
          </cell>
        </row>
        <row r="22">
          <cell r="A22">
            <v>2011</v>
          </cell>
          <cell r="B22" t="str">
            <v>000</v>
          </cell>
          <cell r="C22" t="str">
            <v>A</v>
          </cell>
          <cell r="D22" t="str">
            <v/>
          </cell>
          <cell r="E22">
            <v>86</v>
          </cell>
          <cell r="F22" t="str">
            <v/>
          </cell>
          <cell r="G22" t="str">
            <v/>
          </cell>
          <cell r="H22">
            <v>0</v>
          </cell>
          <cell r="I22">
            <v>0</v>
          </cell>
          <cell r="W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Full and Open</v>
          </cell>
          <cell r="AJ22" t="str">
            <v>Full and Open -Multiple Bidders</v>
          </cell>
          <cell r="AK22">
            <v>0</v>
          </cell>
          <cell r="AL22">
            <v>0</v>
          </cell>
          <cell r="AM22" t="e">
            <v>#VALUE!</v>
          </cell>
          <cell r="AN22">
            <v>0</v>
          </cell>
          <cell r="AP22" t="str">
            <v>Z</v>
          </cell>
          <cell r="AQ22" t="str">
            <v>Labor Hours</v>
          </cell>
          <cell r="AR22" t="str">
            <v>Cost (All Other; Including Time and Materials and Labor)</v>
          </cell>
          <cell r="AS22">
            <v>0</v>
          </cell>
          <cell r="AT22">
            <v>0</v>
          </cell>
          <cell r="AU22">
            <v>1</v>
          </cell>
          <cell r="AV22">
            <v>0</v>
          </cell>
          <cell r="AW22">
            <v>6.0644553900000009E-3</v>
          </cell>
          <cell r="AY22" t="str">
            <v>https://www.acquisition.gov/far/html/Subpart%2016_6.html</v>
          </cell>
        </row>
        <row r="23">
          <cell r="A23">
            <v>2011</v>
          </cell>
          <cell r="B23" t="str">
            <v>000</v>
          </cell>
          <cell r="C23" t="str">
            <v>A</v>
          </cell>
          <cell r="D23" t="str">
            <v/>
          </cell>
          <cell r="E23">
            <v>88</v>
          </cell>
          <cell r="F23" t="str">
            <v/>
          </cell>
          <cell r="G23" t="str">
            <v/>
          </cell>
          <cell r="H23">
            <v>0</v>
          </cell>
          <cell r="I23">
            <v>0</v>
          </cell>
          <cell r="P23">
            <v>0</v>
          </cell>
          <cell r="W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Full and Open</v>
          </cell>
          <cell r="AJ23" t="str">
            <v>Full and Open -Multiple Bidders</v>
          </cell>
          <cell r="AK23">
            <v>0</v>
          </cell>
          <cell r="AL23">
            <v>0</v>
          </cell>
          <cell r="AM23" t="e">
            <v>#VALUE!</v>
          </cell>
          <cell r="AN23">
            <v>0</v>
          </cell>
        </row>
        <row r="24">
          <cell r="A24">
            <v>2011</v>
          </cell>
          <cell r="B24" t="str">
            <v>000</v>
          </cell>
          <cell r="C24" t="str">
            <v>A</v>
          </cell>
          <cell r="D24" t="str">
            <v/>
          </cell>
          <cell r="E24">
            <v>101</v>
          </cell>
          <cell r="F24" t="str">
            <v/>
          </cell>
          <cell r="G24" t="str">
            <v/>
          </cell>
          <cell r="H24">
            <v>0</v>
          </cell>
          <cell r="I24">
            <v>0</v>
          </cell>
          <cell r="U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Full and Open</v>
          </cell>
          <cell r="AJ24" t="str">
            <v>Full and Open -Multiple Bidders</v>
          </cell>
          <cell r="AK24">
            <v>0</v>
          </cell>
          <cell r="AL24">
            <v>0</v>
          </cell>
          <cell r="AM24" t="e">
            <v>#VALUE!</v>
          </cell>
          <cell r="AN24">
            <v>0</v>
          </cell>
        </row>
        <row r="25">
          <cell r="A25">
            <v>2011</v>
          </cell>
          <cell r="B25" t="str">
            <v>000</v>
          </cell>
          <cell r="C25" t="str">
            <v>A</v>
          </cell>
          <cell r="D25" t="str">
            <v/>
          </cell>
          <cell r="E25">
            <v>116</v>
          </cell>
          <cell r="F25" t="str">
            <v/>
          </cell>
          <cell r="G25" t="str">
            <v/>
          </cell>
          <cell r="H25">
            <v>0</v>
          </cell>
          <cell r="I25">
            <v>0</v>
          </cell>
          <cell r="W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Full and Open</v>
          </cell>
          <cell r="AJ25" t="str">
            <v>Full and Open -Multiple Bidders</v>
          </cell>
          <cell r="AK25">
            <v>0</v>
          </cell>
          <cell r="AL25">
            <v>0</v>
          </cell>
          <cell r="AM25" t="e">
            <v>#VALUE!</v>
          </cell>
          <cell r="AN25">
            <v>0</v>
          </cell>
          <cell r="AP25" t="str">
            <v>extentCompeted</v>
          </cell>
          <cell r="AQ25" t="str">
            <v>Proper Name</v>
          </cell>
          <cell r="AR25" t="str">
            <v>Category</v>
          </cell>
          <cell r="AS25" t="str">
            <v>Score</v>
          </cell>
          <cell r="AT25" t="str">
            <v>Include in Sample</v>
          </cell>
          <cell r="AU25" t="str">
            <v>Total</v>
          </cell>
          <cell r="AV25" t="str">
            <v>Category Total</v>
          </cell>
          <cell r="AW25" t="str">
            <v>Include Bidders</v>
          </cell>
          <cell r="AX25" t="str">
            <v>Multiple Bidders</v>
          </cell>
          <cell r="AY25" t="str">
            <v>Single Bidder</v>
          </cell>
        </row>
        <row r="26">
          <cell r="A26">
            <v>2011</v>
          </cell>
          <cell r="B26" t="str">
            <v>000</v>
          </cell>
          <cell r="C26" t="str">
            <v>A</v>
          </cell>
          <cell r="D26" t="str">
            <v/>
          </cell>
          <cell r="E26">
            <v>140</v>
          </cell>
          <cell r="F26" t="str">
            <v/>
          </cell>
          <cell r="G26" t="str">
            <v/>
          </cell>
          <cell r="H26">
            <v>0</v>
          </cell>
          <cell r="I26">
            <v>0</v>
          </cell>
          <cell r="W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Full and Open</v>
          </cell>
          <cell r="AJ26" t="str">
            <v>Full and Open -Multiple Bidders</v>
          </cell>
          <cell r="AK26">
            <v>0</v>
          </cell>
          <cell r="AL26">
            <v>0</v>
          </cell>
          <cell r="AM26" t="e">
            <v>#VALUE!</v>
          </cell>
          <cell r="AN26">
            <v>0</v>
          </cell>
          <cell r="AP26" t="str">
            <v/>
          </cell>
          <cell r="AR26" t="str">
            <v>Unclear Competition</v>
          </cell>
          <cell r="AS26">
            <v>0</v>
          </cell>
          <cell r="AT26">
            <v>0</v>
          </cell>
          <cell r="AU26">
            <v>2.8314309809999987E-2</v>
          </cell>
          <cell r="AV26">
            <v>3.6567456999999997E-3</v>
          </cell>
          <cell r="AW26" t="b">
            <v>0</v>
          </cell>
          <cell r="AX26">
            <v>3.0148336999999996E-3</v>
          </cell>
          <cell r="AY26">
            <v>-1.0050380000000002E-5</v>
          </cell>
        </row>
        <row r="27">
          <cell r="A27">
            <v>2011</v>
          </cell>
          <cell r="B27" t="str">
            <v>000</v>
          </cell>
          <cell r="C27" t="str">
            <v>A</v>
          </cell>
          <cell r="D27" t="str">
            <v/>
          </cell>
          <cell r="E27">
            <v>180</v>
          </cell>
          <cell r="F27" t="str">
            <v/>
          </cell>
          <cell r="G27" t="str">
            <v/>
          </cell>
          <cell r="H27">
            <v>0</v>
          </cell>
          <cell r="I27">
            <v>0</v>
          </cell>
          <cell r="W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Full and Open</v>
          </cell>
          <cell r="AJ27" t="str">
            <v>Full and Open -Multiple Bidders</v>
          </cell>
          <cell r="AK27">
            <v>0</v>
          </cell>
          <cell r="AL27">
            <v>0</v>
          </cell>
          <cell r="AM27" t="e">
            <v>#VALUE!</v>
          </cell>
          <cell r="AN27">
            <v>0</v>
          </cell>
          <cell r="AP27" t="str">
            <v>A</v>
          </cell>
          <cell r="AQ27" t="str">
            <v>Full and Open Competition</v>
          </cell>
          <cell r="AR27" t="str">
            <v>Full and Open</v>
          </cell>
          <cell r="AS27">
            <v>1</v>
          </cell>
          <cell r="AT27">
            <v>1</v>
          </cell>
          <cell r="AU27">
            <v>1.2304373120000002E-2</v>
          </cell>
          <cell r="AV27">
            <v>1.2304373120000002E-2</v>
          </cell>
          <cell r="AW27" t="b">
            <v>1</v>
          </cell>
          <cell r="AX27">
            <v>1.2304373120000002E-2</v>
          </cell>
          <cell r="AY27">
            <v>0</v>
          </cell>
          <cell r="AZ27" t="str">
            <v xml:space="preserve">Report this code if the action resulted from an award pursuant to FAR 6.102(a) - sealed bid, FAR 6.102(b) - competitive proposal, FAR 6.102(c) - Combination, or any other competitive method that did not exclude sources of any type </v>
          </cell>
        </row>
        <row r="28">
          <cell r="A28">
            <v>2011</v>
          </cell>
          <cell r="B28" t="str">
            <v>000</v>
          </cell>
          <cell r="C28" t="str">
            <v>A</v>
          </cell>
          <cell r="D28" t="str">
            <v/>
          </cell>
          <cell r="E28">
            <v>213</v>
          </cell>
          <cell r="F28" t="str">
            <v/>
          </cell>
          <cell r="G28" t="str">
            <v/>
          </cell>
          <cell r="H28">
            <v>0</v>
          </cell>
          <cell r="I28">
            <v>0</v>
          </cell>
          <cell r="U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Full and Open</v>
          </cell>
          <cell r="AJ28" t="str">
            <v>Full and Open -Multiple Bidders</v>
          </cell>
          <cell r="AK28">
            <v>0</v>
          </cell>
          <cell r="AL28">
            <v>0</v>
          </cell>
          <cell r="AM28" t="e">
            <v>#VALUE!</v>
          </cell>
          <cell r="AN28">
            <v>0</v>
          </cell>
          <cell r="AP28" t="str">
            <v>B</v>
          </cell>
          <cell r="AQ28" t="str">
            <v>Not Available for Competition</v>
          </cell>
          <cell r="AR28" t="str">
            <v>None</v>
          </cell>
          <cell r="AS28">
            <v>0</v>
          </cell>
          <cell r="AT28">
            <v>1</v>
          </cell>
          <cell r="AU28">
            <v>0</v>
          </cell>
          <cell r="AV28">
            <v>2.4657564109999999E-2</v>
          </cell>
          <cell r="AW28" t="b">
            <v>0</v>
          </cell>
          <cell r="AX28">
            <v>-5.3555769999999998E-5</v>
          </cell>
          <cell r="AY28">
            <v>2.4711119880000004E-2</v>
          </cell>
          <cell r="AZ28" t="str">
            <v xml:space="preserve">Select this code when the con available for competition </v>
          </cell>
        </row>
        <row r="29">
          <cell r="A29">
            <v>2011</v>
          </cell>
          <cell r="B29" t="str">
            <v>000</v>
          </cell>
          <cell r="C29" t="str">
            <v>A</v>
          </cell>
          <cell r="D29" t="str">
            <v/>
          </cell>
          <cell r="E29">
            <v>261</v>
          </cell>
          <cell r="F29" t="str">
            <v/>
          </cell>
          <cell r="G29" t="str">
            <v/>
          </cell>
          <cell r="H29">
            <v>0</v>
          </cell>
          <cell r="I29">
            <v>0</v>
          </cell>
          <cell r="W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Full and Open</v>
          </cell>
          <cell r="AJ29" t="str">
            <v>Full and Open -Multiple Bidders</v>
          </cell>
          <cell r="AK29">
            <v>0</v>
          </cell>
          <cell r="AL29">
            <v>0</v>
          </cell>
          <cell r="AM29" t="e">
            <v>#VALUE!</v>
          </cell>
          <cell r="AN29">
            <v>0</v>
          </cell>
          <cell r="AP29" t="str">
            <v>C</v>
          </cell>
          <cell r="AQ29" t="str">
            <v>Not Competed</v>
          </cell>
          <cell r="AR29" t="str">
            <v>None</v>
          </cell>
          <cell r="AS29">
            <v>0</v>
          </cell>
          <cell r="AT29">
            <v>1</v>
          </cell>
          <cell r="AU29">
            <v>0</v>
          </cell>
          <cell r="AV29">
            <v>2.4657564109999999E-2</v>
          </cell>
          <cell r="AW29" t="b">
            <v>0</v>
          </cell>
          <cell r="AX29">
            <v>-5.3555769999999998E-5</v>
          </cell>
          <cell r="AY29">
            <v>2.4711119880000004E-2</v>
          </cell>
          <cell r="AZ29" t="str">
            <v xml:space="preserve">Select this code when the contract is not competed.   </v>
          </cell>
        </row>
        <row r="30">
          <cell r="A30">
            <v>2011</v>
          </cell>
          <cell r="B30" t="str">
            <v>000</v>
          </cell>
          <cell r="C30" t="str">
            <v>A</v>
          </cell>
          <cell r="D30" t="str">
            <v/>
          </cell>
          <cell r="E30">
            <v>499</v>
          </cell>
          <cell r="F30" t="str">
            <v/>
          </cell>
          <cell r="G30" t="str">
            <v/>
          </cell>
          <cell r="H30">
            <v>0</v>
          </cell>
          <cell r="I30">
            <v>0</v>
          </cell>
          <cell r="U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Full and Open</v>
          </cell>
          <cell r="AJ30" t="str">
            <v>Full and Open -Multiple Bidders</v>
          </cell>
          <cell r="AK30">
            <v>0</v>
          </cell>
          <cell r="AL30">
            <v>0</v>
          </cell>
          <cell r="AM30" t="e">
            <v>#VALUE!</v>
          </cell>
          <cell r="AN30">
            <v>0</v>
          </cell>
          <cell r="AP30" t="str">
            <v>D</v>
          </cell>
          <cell r="AQ30" t="str">
            <v>Full and Open Competition after exclusion of sources</v>
          </cell>
          <cell r="AR30" t="str">
            <v>Partial</v>
          </cell>
          <cell r="AS30">
            <v>0.5</v>
          </cell>
          <cell r="AT30">
            <v>1</v>
          </cell>
          <cell r="AU30">
            <v>0</v>
          </cell>
          <cell r="AV30">
            <v>0</v>
          </cell>
          <cell r="AW30" t="b">
            <v>1</v>
          </cell>
          <cell r="AX30">
            <v>0</v>
          </cell>
          <cell r="AY30">
            <v>0</v>
          </cell>
          <cell r="AZ30" t="str">
            <v xml:space="preserve">Select this code when some sources are excluded before competition  </v>
          </cell>
        </row>
        <row r="31">
          <cell r="A31">
            <v>2011</v>
          </cell>
          <cell r="B31" t="str">
            <v>000</v>
          </cell>
          <cell r="C31" t="str">
            <v>A</v>
          </cell>
          <cell r="D31" t="str">
            <v/>
          </cell>
          <cell r="E31">
            <v>148</v>
          </cell>
          <cell r="F31" t="str">
            <v/>
          </cell>
          <cell r="G31" t="str">
            <v/>
          </cell>
          <cell r="H31">
            <v>3579.93</v>
          </cell>
          <cell r="I31">
            <v>0</v>
          </cell>
          <cell r="Q31">
            <v>3579.93</v>
          </cell>
          <cell r="AA31">
            <v>3579.93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1789.9649999999999</v>
          </cell>
          <cell r="AG31">
            <v>1789.9649999999999</v>
          </cell>
          <cell r="AH31">
            <v>3579.93</v>
          </cell>
          <cell r="AI31" t="str">
            <v>Full and Open</v>
          </cell>
          <cell r="AJ31" t="str">
            <v>Full and Open -Multiple Bidders</v>
          </cell>
          <cell r="AK31">
            <v>3579.93</v>
          </cell>
          <cell r="AL31">
            <v>3579.93</v>
          </cell>
          <cell r="AM31" t="e">
            <v>#VALUE!</v>
          </cell>
          <cell r="AN31">
            <v>3629.6562911892934</v>
          </cell>
          <cell r="AP31" t="str">
            <v>E</v>
          </cell>
          <cell r="AQ31" t="str">
            <v>Follow On to Competed Action</v>
          </cell>
          <cell r="AR31" t="str">
            <v>Follow-On</v>
          </cell>
          <cell r="AS31">
            <v>0.5</v>
          </cell>
          <cell r="AT31">
            <v>0</v>
          </cell>
          <cell r="AU31">
            <v>0</v>
          </cell>
          <cell r="AV31">
            <v>0</v>
          </cell>
          <cell r="AW31" t="b">
            <v>0</v>
          </cell>
          <cell r="AX31">
            <v>0</v>
          </cell>
          <cell r="AY31">
            <v>0</v>
          </cell>
          <cell r="AZ31" t="str">
            <v xml:space="preserve">Select this code when the action is a follow on to an existing competed contract. FAR 6.302-1     </v>
          </cell>
        </row>
        <row r="32">
          <cell r="A32">
            <v>2011</v>
          </cell>
          <cell r="B32" t="str">
            <v>000</v>
          </cell>
          <cell r="C32" t="str">
            <v>A</v>
          </cell>
          <cell r="D32" t="str">
            <v/>
          </cell>
          <cell r="E32">
            <v>66</v>
          </cell>
          <cell r="F32" t="str">
            <v/>
          </cell>
          <cell r="G32" t="str">
            <v/>
          </cell>
          <cell r="H32">
            <v>9896.3700000000008</v>
          </cell>
          <cell r="I32">
            <v>0</v>
          </cell>
          <cell r="P32">
            <v>9896.3700000000008</v>
          </cell>
          <cell r="AA32">
            <v>9896.3700000000008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9896.3700000000008</v>
          </cell>
          <cell r="AG32">
            <v>4948.1850000000004</v>
          </cell>
          <cell r="AH32">
            <v>9896.3700000000008</v>
          </cell>
          <cell r="AI32" t="str">
            <v>Full and Open</v>
          </cell>
          <cell r="AJ32" t="str">
            <v>Full and Open -Multiple Bidders</v>
          </cell>
          <cell r="AK32">
            <v>9896.3700000000008</v>
          </cell>
          <cell r="AL32">
            <v>9896.3700000000008</v>
          </cell>
          <cell r="AM32" t="e">
            <v>#VALUE!</v>
          </cell>
          <cell r="AN32">
            <v>10033.833519213222</v>
          </cell>
          <cell r="AP32" t="str">
            <v>F</v>
          </cell>
          <cell r="AQ32" t="str">
            <v>Competed under SAT</v>
          </cell>
          <cell r="AR32" t="str">
            <v>Partial</v>
          </cell>
          <cell r="AS32">
            <v>0</v>
          </cell>
          <cell r="AT32">
            <v>1</v>
          </cell>
          <cell r="AU32">
            <v>0</v>
          </cell>
          <cell r="AV32">
            <v>0</v>
          </cell>
          <cell r="AW32" t="b">
            <v>1</v>
          </cell>
          <cell r="AX32">
            <v>0</v>
          </cell>
          <cell r="AY32">
            <v>0</v>
          </cell>
          <cell r="AZ32" t="str">
            <v xml:space="preserve">Select this code when the action is competed under the Simplified Acquisition Threshold.    </v>
          </cell>
        </row>
        <row r="33">
          <cell r="A33">
            <v>2011</v>
          </cell>
          <cell r="B33" t="str">
            <v>000</v>
          </cell>
          <cell r="C33" t="str">
            <v>A</v>
          </cell>
          <cell r="D33" t="str">
            <v/>
          </cell>
          <cell r="E33">
            <v>100</v>
          </cell>
          <cell r="F33" t="str">
            <v/>
          </cell>
          <cell r="G33" t="str">
            <v/>
          </cell>
          <cell r="H33">
            <v>14149.120000000112</v>
          </cell>
          <cell r="I33">
            <v>0</v>
          </cell>
          <cell r="L33">
            <v>371714.32</v>
          </cell>
          <cell r="P33">
            <v>-582544.19999999995</v>
          </cell>
          <cell r="W33">
            <v>224979</v>
          </cell>
          <cell r="AA33">
            <v>-582544.19999999995</v>
          </cell>
          <cell r="AB33">
            <v>224979</v>
          </cell>
          <cell r="AC33">
            <v>371714.32</v>
          </cell>
          <cell r="AD33">
            <v>0</v>
          </cell>
          <cell r="AE33">
            <v>0</v>
          </cell>
          <cell r="AF33">
            <v>-396687.03999999992</v>
          </cell>
          <cell r="AG33">
            <v>7074.5600000000268</v>
          </cell>
          <cell r="AH33">
            <v>14149.120000000054</v>
          </cell>
          <cell r="AI33" t="str">
            <v>Full and Open</v>
          </cell>
          <cell r="AJ33" t="str">
            <v>Full and Open -Multiple Bidders</v>
          </cell>
          <cell r="AK33">
            <v>14149.120000000112</v>
          </cell>
          <cell r="AL33">
            <v>14149.120000000112</v>
          </cell>
          <cell r="AM33" t="e">
            <v>#VALUE!</v>
          </cell>
          <cell r="AN33">
            <v>14345.65548007717</v>
          </cell>
          <cell r="AP33" t="str">
            <v>G</v>
          </cell>
          <cell r="AQ33" t="str">
            <v>Not Competed under SAT</v>
          </cell>
          <cell r="AR33" t="str">
            <v>None</v>
          </cell>
          <cell r="AS33">
            <v>0</v>
          </cell>
          <cell r="AT33">
            <v>1</v>
          </cell>
          <cell r="AU33">
            <v>0</v>
          </cell>
          <cell r="AV33">
            <v>2.4657564109999999E-2</v>
          </cell>
          <cell r="AW33" t="b">
            <v>0</v>
          </cell>
          <cell r="AX33">
            <v>-5.3555769999999998E-5</v>
          </cell>
          <cell r="AY33">
            <v>2.4711119880000004E-2</v>
          </cell>
          <cell r="AZ33" t="str">
            <v xml:space="preserve">Select this code when the action is NOT competed under the Simplified Acquisition Threshold   </v>
          </cell>
        </row>
        <row r="34">
          <cell r="A34">
            <v>2011</v>
          </cell>
          <cell r="B34" t="str">
            <v>000</v>
          </cell>
          <cell r="C34" t="str">
            <v>A</v>
          </cell>
          <cell r="D34" t="str">
            <v/>
          </cell>
          <cell r="E34">
            <v>75</v>
          </cell>
          <cell r="F34" t="str">
            <v/>
          </cell>
          <cell r="G34" t="str">
            <v/>
          </cell>
          <cell r="H34">
            <v>32494</v>
          </cell>
          <cell r="I34">
            <v>0</v>
          </cell>
          <cell r="P34">
            <v>32494</v>
          </cell>
          <cell r="W34">
            <v>0</v>
          </cell>
          <cell r="AA34">
            <v>32494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32494</v>
          </cell>
          <cell r="AG34">
            <v>16247</v>
          </cell>
          <cell r="AH34">
            <v>32494</v>
          </cell>
          <cell r="AI34" t="str">
            <v>Full and Open</v>
          </cell>
          <cell r="AJ34" t="str">
            <v>Full and Open -Multiple Bidders</v>
          </cell>
          <cell r="AK34">
            <v>32494</v>
          </cell>
          <cell r="AL34">
            <v>32494</v>
          </cell>
          <cell r="AM34" t="e">
            <v>#VALUE!</v>
          </cell>
          <cell r="AN34">
            <v>32945.351312987936</v>
          </cell>
          <cell r="AP34" t="str">
            <v>CDO</v>
          </cell>
          <cell r="AQ34" t="str">
            <v>Competitive Delivery Order</v>
          </cell>
          <cell r="AR34" t="str">
            <v>Partial</v>
          </cell>
          <cell r="AS34">
            <v>0.5</v>
          </cell>
          <cell r="AT34">
            <v>1</v>
          </cell>
          <cell r="AU34">
            <v>0</v>
          </cell>
          <cell r="AV34">
            <v>0</v>
          </cell>
          <cell r="AW34" t="b">
            <v>1</v>
          </cell>
          <cell r="AX34">
            <v>0</v>
          </cell>
          <cell r="AY34">
            <v>0</v>
          </cell>
          <cell r="AZ34" t="str">
            <v xml:space="preserve">Apply to Full and Open Competition pursuant to FAR 6.1 and only apply to Delivery Orders) Report this code if the IDV Type is a Federal Schedule. Report this code when the Order delivery/task order award was made pursuant to a process that permitted each contract awardee a fair opportunity to be considered. See FAR Part 16.505(b)(1). Report this code if the action is for the award of a multiple award schedule or an order against a multiple award schedule pursuant to FAR 6.102(d)(3) and the applicable provisions referenced there under.  </v>
          </cell>
        </row>
        <row r="35">
          <cell r="A35">
            <v>2011</v>
          </cell>
          <cell r="B35" t="str">
            <v>000</v>
          </cell>
          <cell r="C35" t="str">
            <v>A</v>
          </cell>
          <cell r="D35" t="str">
            <v/>
          </cell>
          <cell r="E35">
            <v>84</v>
          </cell>
          <cell r="F35" t="str">
            <v/>
          </cell>
          <cell r="G35" t="str">
            <v/>
          </cell>
          <cell r="H35">
            <v>36765</v>
          </cell>
          <cell r="I35">
            <v>0</v>
          </cell>
          <cell r="P35">
            <v>36765</v>
          </cell>
          <cell r="AA35">
            <v>36765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36765</v>
          </cell>
          <cell r="AG35">
            <v>18382.5</v>
          </cell>
          <cell r="AH35">
            <v>36765</v>
          </cell>
          <cell r="AI35" t="str">
            <v>Full and Open</v>
          </cell>
          <cell r="AJ35" t="str">
            <v>Full and Open -Multiple Bidders</v>
          </cell>
          <cell r="AK35">
            <v>36765</v>
          </cell>
          <cell r="AL35">
            <v>36765</v>
          </cell>
          <cell r="AM35" t="e">
            <v>#VALUE!</v>
          </cell>
          <cell r="AN35">
            <v>37275.676771773295</v>
          </cell>
          <cell r="AP35" t="str">
            <v>NDO</v>
          </cell>
          <cell r="AQ35" t="str">
            <v>Non-Competitive Delivery Order</v>
          </cell>
          <cell r="AR35" t="str">
            <v>None</v>
          </cell>
          <cell r="AS35">
            <v>0</v>
          </cell>
          <cell r="AT35">
            <v>1</v>
          </cell>
          <cell r="AU35">
            <v>0</v>
          </cell>
          <cell r="AV35">
            <v>2.4657564109999999E-2</v>
          </cell>
          <cell r="AW35" t="b">
            <v>0</v>
          </cell>
          <cell r="AX35">
            <v>-5.3555769999999998E-5</v>
          </cell>
          <cell r="AY35">
            <v>2.4711119880000004E-2</v>
          </cell>
          <cell r="AZ35" t="str">
            <v xml:space="preserve">Report this code when competitive procedures are not used in awarding the delivery order for a reason not included above (when the action was non-competitive. </v>
          </cell>
        </row>
        <row r="36">
          <cell r="A36">
            <v>2011</v>
          </cell>
          <cell r="B36" t="str">
            <v>000</v>
          </cell>
          <cell r="C36" t="str">
            <v>A</v>
          </cell>
          <cell r="D36" t="str">
            <v/>
          </cell>
          <cell r="E36">
            <v>635</v>
          </cell>
          <cell r="F36" t="str">
            <v/>
          </cell>
          <cell r="G36" t="str">
            <v/>
          </cell>
          <cell r="H36">
            <v>47624.11</v>
          </cell>
          <cell r="I36">
            <v>0</v>
          </cell>
          <cell r="P36">
            <v>47624.11</v>
          </cell>
          <cell r="AA36">
            <v>47624.11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47624.11</v>
          </cell>
          <cell r="AG36">
            <v>23812.055</v>
          </cell>
          <cell r="AH36">
            <v>47624.11</v>
          </cell>
          <cell r="AI36" t="str">
            <v>Full and Open</v>
          </cell>
          <cell r="AJ36" t="str">
            <v>Full and Open -Multiple Bidders</v>
          </cell>
          <cell r="AK36">
            <v>47624.11</v>
          </cell>
          <cell r="AL36">
            <v>47624.11</v>
          </cell>
          <cell r="AM36" t="e">
            <v>#VALUE!</v>
          </cell>
          <cell r="AN36">
            <v>48285.623035587552</v>
          </cell>
        </row>
        <row r="37">
          <cell r="A37">
            <v>2011</v>
          </cell>
          <cell r="B37" t="str">
            <v>000</v>
          </cell>
          <cell r="C37" t="str">
            <v>A</v>
          </cell>
          <cell r="D37" t="str">
            <v/>
          </cell>
          <cell r="E37">
            <v>105</v>
          </cell>
          <cell r="F37" t="str">
            <v/>
          </cell>
          <cell r="G37" t="str">
            <v/>
          </cell>
          <cell r="H37">
            <v>50000</v>
          </cell>
          <cell r="I37">
            <v>0</v>
          </cell>
          <cell r="W37">
            <v>50000</v>
          </cell>
          <cell r="AA37">
            <v>0</v>
          </cell>
          <cell r="AB37">
            <v>50000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25000</v>
          </cell>
          <cell r="AH37">
            <v>50000</v>
          </cell>
          <cell r="AI37" t="str">
            <v>Full and Open</v>
          </cell>
          <cell r="AJ37" t="str">
            <v>Full and Open -Multiple Bidders</v>
          </cell>
          <cell r="AK37">
            <v>50000</v>
          </cell>
          <cell r="AL37">
            <v>50000</v>
          </cell>
          <cell r="AM37" t="e">
            <v>#VALUE!</v>
          </cell>
          <cell r="AN37">
            <v>50694.514853492852</v>
          </cell>
        </row>
        <row r="38">
          <cell r="A38">
            <v>2011</v>
          </cell>
          <cell r="B38" t="str">
            <v>000</v>
          </cell>
          <cell r="C38" t="str">
            <v>A</v>
          </cell>
          <cell r="D38" t="str">
            <v/>
          </cell>
          <cell r="E38">
            <v>146</v>
          </cell>
          <cell r="F38" t="str">
            <v/>
          </cell>
          <cell r="G38" t="str">
            <v/>
          </cell>
          <cell r="H38">
            <v>65200</v>
          </cell>
          <cell r="I38">
            <v>0</v>
          </cell>
          <cell r="P38">
            <v>65200</v>
          </cell>
          <cell r="AA38">
            <v>65200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65200</v>
          </cell>
          <cell r="AG38">
            <v>32600</v>
          </cell>
          <cell r="AH38">
            <v>65200</v>
          </cell>
          <cell r="AI38" t="str">
            <v>Full and Open</v>
          </cell>
          <cell r="AJ38" t="str">
            <v>Full and Open -Multiple Bidders</v>
          </cell>
          <cell r="AK38">
            <v>65200</v>
          </cell>
          <cell r="AL38">
            <v>65200</v>
          </cell>
          <cell r="AM38" t="e">
            <v>#VALUE!</v>
          </cell>
          <cell r="AN38">
            <v>66105.647368954684</v>
          </cell>
          <cell r="AW38" t="str">
            <v>Unclear Competition</v>
          </cell>
          <cell r="AX38" t="b">
            <v>0</v>
          </cell>
          <cell r="AY38">
            <v>3.0148336999999996E-3</v>
          </cell>
          <cell r="AZ38">
            <v>6.4191199999999991E-4</v>
          </cell>
          <cell r="BB38" t="str">
            <v>Unclear Competition</v>
          </cell>
        </row>
        <row r="39">
          <cell r="A39">
            <v>2011</v>
          </cell>
          <cell r="B39" t="str">
            <v>000</v>
          </cell>
          <cell r="C39" t="str">
            <v>A</v>
          </cell>
          <cell r="D39" t="str">
            <v/>
          </cell>
          <cell r="E39">
            <v>119</v>
          </cell>
          <cell r="F39" t="str">
            <v/>
          </cell>
          <cell r="G39" t="str">
            <v/>
          </cell>
          <cell r="H39">
            <v>99993</v>
          </cell>
          <cell r="I39">
            <v>0</v>
          </cell>
          <cell r="P39">
            <v>99993</v>
          </cell>
          <cell r="AA39">
            <v>99993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99993</v>
          </cell>
          <cell r="AG39">
            <v>49996.5</v>
          </cell>
          <cell r="AH39">
            <v>99993</v>
          </cell>
          <cell r="AI39" t="str">
            <v>Full and Open</v>
          </cell>
          <cell r="AJ39" t="str">
            <v>Full and Open -Multiple Bidders</v>
          </cell>
          <cell r="AK39">
            <v>99993</v>
          </cell>
          <cell r="AL39">
            <v>99993</v>
          </cell>
          <cell r="AM39" t="e">
            <v>#VALUE!</v>
          </cell>
          <cell r="AN39">
            <v>101381.93247490622</v>
          </cell>
          <cell r="AW39" t="str">
            <v>Full and Open</v>
          </cell>
          <cell r="AX39" t="b">
            <v>1</v>
          </cell>
          <cell r="AY39">
            <v>1.2304373120000002E-2</v>
          </cell>
          <cell r="AZ39">
            <v>0</v>
          </cell>
          <cell r="BB39" t="str">
            <v>None</v>
          </cell>
        </row>
        <row r="40">
          <cell r="A40">
            <v>2011</v>
          </cell>
          <cell r="B40" t="str">
            <v>000</v>
          </cell>
          <cell r="C40" t="str">
            <v>A</v>
          </cell>
          <cell r="D40" t="str">
            <v/>
          </cell>
          <cell r="E40">
            <v>244</v>
          </cell>
          <cell r="F40" t="str">
            <v/>
          </cell>
          <cell r="G40" t="str">
            <v/>
          </cell>
          <cell r="H40">
            <v>150923</v>
          </cell>
          <cell r="I40">
            <v>0</v>
          </cell>
          <cell r="W40">
            <v>150923</v>
          </cell>
          <cell r="AA40">
            <v>0</v>
          </cell>
          <cell r="AB40">
            <v>150923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75461.5</v>
          </cell>
          <cell r="AH40">
            <v>150923</v>
          </cell>
          <cell r="AI40" t="str">
            <v>Full and Open</v>
          </cell>
          <cell r="AJ40" t="str">
            <v>Full and Open -Multiple Bidders</v>
          </cell>
          <cell r="AK40">
            <v>150923</v>
          </cell>
          <cell r="AL40">
            <v>150923</v>
          </cell>
          <cell r="AM40" t="e">
            <v>#VALUE!</v>
          </cell>
          <cell r="AN40">
            <v>153019.36530467405</v>
          </cell>
          <cell r="AW40" t="str">
            <v>None</v>
          </cell>
          <cell r="AX40" t="b">
            <v>0</v>
          </cell>
          <cell r="AY40">
            <v>-5.3555769999999998E-5</v>
          </cell>
          <cell r="AZ40">
            <v>2.4711119880000004E-2</v>
          </cell>
          <cell r="BA40" t="str">
            <v/>
          </cell>
          <cell r="BB40" t="str">
            <v>Full and Open -Single Bidder</v>
          </cell>
        </row>
        <row r="41">
          <cell r="A41">
            <v>2011</v>
          </cell>
          <cell r="B41" t="str">
            <v>000</v>
          </cell>
          <cell r="C41" t="str">
            <v>A</v>
          </cell>
          <cell r="D41" t="str">
            <v/>
          </cell>
          <cell r="E41">
            <v>92</v>
          </cell>
          <cell r="F41" t="str">
            <v/>
          </cell>
          <cell r="G41" t="str">
            <v/>
          </cell>
          <cell r="H41">
            <v>201751</v>
          </cell>
          <cell r="I41">
            <v>0</v>
          </cell>
          <cell r="U41">
            <v>201751</v>
          </cell>
          <cell r="W41">
            <v>0</v>
          </cell>
          <cell r="AA41">
            <v>0</v>
          </cell>
          <cell r="AB41">
            <v>201751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201751</v>
          </cell>
          <cell r="AI41" t="str">
            <v>Full and Open</v>
          </cell>
          <cell r="AJ41" t="str">
            <v>Full and Open -Multiple Bidders</v>
          </cell>
          <cell r="AK41">
            <v>201751</v>
          </cell>
          <cell r="AL41">
            <v>201751</v>
          </cell>
          <cell r="AM41" t="e">
            <v>#VALUE!</v>
          </cell>
          <cell r="AN41">
            <v>204553.38132414073</v>
          </cell>
          <cell r="AW41" t="str">
            <v>Partial</v>
          </cell>
          <cell r="AX41" t="b">
            <v>1</v>
          </cell>
          <cell r="AY41">
            <v>0</v>
          </cell>
          <cell r="AZ41">
            <v>0</v>
          </cell>
          <cell r="BB41" t="str">
            <v>Full and Open -Multiple Bidders</v>
          </cell>
        </row>
        <row r="42">
          <cell r="A42">
            <v>2011</v>
          </cell>
          <cell r="B42" t="str">
            <v>000</v>
          </cell>
          <cell r="C42" t="str">
            <v>A</v>
          </cell>
          <cell r="D42" t="str">
            <v/>
          </cell>
          <cell r="E42">
            <v>184</v>
          </cell>
          <cell r="F42" t="str">
            <v/>
          </cell>
          <cell r="G42" t="str">
            <v/>
          </cell>
          <cell r="H42">
            <v>211305</v>
          </cell>
          <cell r="I42">
            <v>0</v>
          </cell>
          <cell r="P42">
            <v>211305</v>
          </cell>
          <cell r="AA42">
            <v>211305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211305</v>
          </cell>
          <cell r="AG42">
            <v>105652.5</v>
          </cell>
          <cell r="AH42">
            <v>211305</v>
          </cell>
          <cell r="AI42" t="str">
            <v>Full and Open</v>
          </cell>
          <cell r="AJ42" t="str">
            <v>Full and Open -Multiple Bidders</v>
          </cell>
          <cell r="AK42">
            <v>211305</v>
          </cell>
          <cell r="AL42">
            <v>211305</v>
          </cell>
          <cell r="AM42" t="e">
            <v>#VALUE!</v>
          </cell>
          <cell r="AN42">
            <v>214240.08922234614</v>
          </cell>
          <cell r="AP42" t="str">
            <v>reasonNotCompeted</v>
          </cell>
          <cell r="AQ42" t="str">
            <v>Proper Name</v>
          </cell>
          <cell r="AR42" t="str">
            <v>Category</v>
          </cell>
          <cell r="AS42" t="str">
            <v>Score</v>
          </cell>
          <cell r="AT42" t="str">
            <v>Include in Sample</v>
          </cell>
          <cell r="AW42" t="str">
            <v>Follow-On</v>
          </cell>
          <cell r="AX42" t="b">
            <v>0</v>
          </cell>
          <cell r="AY42">
            <v>0</v>
          </cell>
          <cell r="AZ42">
            <v>0</v>
          </cell>
          <cell r="BB42" t="str">
            <v>Partial -Single Bidder</v>
          </cell>
        </row>
        <row r="43">
          <cell r="A43">
            <v>2011</v>
          </cell>
          <cell r="B43" t="str">
            <v>000</v>
          </cell>
          <cell r="C43" t="str">
            <v>A</v>
          </cell>
          <cell r="D43" t="str">
            <v/>
          </cell>
          <cell r="E43">
            <v>376</v>
          </cell>
          <cell r="F43" t="str">
            <v/>
          </cell>
          <cell r="G43" t="str">
            <v/>
          </cell>
          <cell r="H43">
            <v>220031</v>
          </cell>
          <cell r="I43">
            <v>0</v>
          </cell>
          <cell r="P43">
            <v>220031</v>
          </cell>
          <cell r="AA43">
            <v>220031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220031</v>
          </cell>
          <cell r="AG43">
            <v>110015.5</v>
          </cell>
          <cell r="AH43">
            <v>220031</v>
          </cell>
          <cell r="AI43" t="str">
            <v>Full and Open</v>
          </cell>
          <cell r="AJ43" t="str">
            <v>Full and Open -Multiple Bidders</v>
          </cell>
          <cell r="AK43">
            <v>220031</v>
          </cell>
          <cell r="AL43">
            <v>220031</v>
          </cell>
          <cell r="AM43" t="e">
            <v>#VALUE!</v>
          </cell>
          <cell r="AN43">
            <v>223087.29595457771</v>
          </cell>
          <cell r="AP43" t="str">
            <v/>
          </cell>
          <cell r="AQ43" t="str">
            <v>Unclear Competition</v>
          </cell>
          <cell r="AR43" t="str">
            <v>Unclear Competition</v>
          </cell>
          <cell r="AS43">
            <v>0</v>
          </cell>
          <cell r="AT43">
            <v>0</v>
          </cell>
          <cell r="BB43" t="str">
            <v>Partial -Multiple Bidders</v>
          </cell>
        </row>
        <row r="44">
          <cell r="A44">
            <v>2011</v>
          </cell>
          <cell r="B44" t="str">
            <v>000</v>
          </cell>
          <cell r="C44" t="str">
            <v>A</v>
          </cell>
          <cell r="D44" t="str">
            <v/>
          </cell>
          <cell r="E44">
            <v>425</v>
          </cell>
          <cell r="F44" t="str">
            <v/>
          </cell>
          <cell r="G44" t="str">
            <v/>
          </cell>
          <cell r="H44">
            <v>250000</v>
          </cell>
          <cell r="I44">
            <v>0</v>
          </cell>
          <cell r="L44">
            <v>250000</v>
          </cell>
          <cell r="AA44">
            <v>0</v>
          </cell>
          <cell r="AB44">
            <v>0</v>
          </cell>
          <cell r="AC44">
            <v>250000</v>
          </cell>
          <cell r="AD44">
            <v>0</v>
          </cell>
          <cell r="AE44">
            <v>0</v>
          </cell>
          <cell r="AF44">
            <v>125000</v>
          </cell>
          <cell r="AG44">
            <v>125000</v>
          </cell>
          <cell r="AH44">
            <v>250000</v>
          </cell>
          <cell r="AI44" t="str">
            <v>Full and Open</v>
          </cell>
          <cell r="AJ44" t="str">
            <v>Full and Open -Multiple Bidders</v>
          </cell>
          <cell r="AK44">
            <v>250000</v>
          </cell>
          <cell r="AL44">
            <v>250000</v>
          </cell>
          <cell r="AM44" t="e">
            <v>#VALUE!</v>
          </cell>
          <cell r="AN44">
            <v>253472.57426746428</v>
          </cell>
          <cell r="AP44" t="str">
            <v>ONE</v>
          </cell>
          <cell r="AR44" t="str">
            <v>None</v>
          </cell>
          <cell r="AS44">
            <v>0</v>
          </cell>
          <cell r="AT44">
            <v>1</v>
          </cell>
          <cell r="BB44" t="str">
            <v>Follow-On</v>
          </cell>
        </row>
        <row r="45">
          <cell r="A45">
            <v>2011</v>
          </cell>
          <cell r="B45" t="str">
            <v>000</v>
          </cell>
          <cell r="C45" t="str">
            <v>A</v>
          </cell>
          <cell r="D45" t="str">
            <v/>
          </cell>
          <cell r="E45">
            <v>68</v>
          </cell>
          <cell r="F45" t="str">
            <v/>
          </cell>
          <cell r="G45" t="str">
            <v/>
          </cell>
          <cell r="H45">
            <v>293501.26</v>
          </cell>
          <cell r="I45">
            <v>0</v>
          </cell>
          <cell r="P45">
            <v>203501.26</v>
          </cell>
          <cell r="U45">
            <v>90000</v>
          </cell>
          <cell r="AA45">
            <v>203501.26</v>
          </cell>
          <cell r="AB45">
            <v>90000</v>
          </cell>
          <cell r="AC45">
            <v>0</v>
          </cell>
          <cell r="AD45">
            <v>0</v>
          </cell>
          <cell r="AE45">
            <v>0</v>
          </cell>
          <cell r="AF45">
            <v>203501.26</v>
          </cell>
          <cell r="AG45">
            <v>101750.63</v>
          </cell>
          <cell r="AH45">
            <v>293501.26</v>
          </cell>
          <cell r="AI45" t="str">
            <v>Full and Open</v>
          </cell>
          <cell r="AJ45" t="str">
            <v>Full and Open -Multiple Bidders</v>
          </cell>
          <cell r="AK45">
            <v>293501.26</v>
          </cell>
          <cell r="AL45">
            <v>293501.26</v>
          </cell>
          <cell r="AM45" t="e">
            <v>#VALUE!</v>
          </cell>
          <cell r="AN45">
            <v>297578.07969177736</v>
          </cell>
          <cell r="AP45" t="str">
            <v>OTH</v>
          </cell>
          <cell r="AR45" t="str">
            <v>None</v>
          </cell>
          <cell r="AS45">
            <v>0</v>
          </cell>
          <cell r="AT45">
            <v>1</v>
          </cell>
        </row>
        <row r="46">
          <cell r="A46">
            <v>2011</v>
          </cell>
          <cell r="B46" t="str">
            <v>000</v>
          </cell>
          <cell r="C46" t="str">
            <v>A</v>
          </cell>
          <cell r="D46" t="str">
            <v/>
          </cell>
          <cell r="E46">
            <v>605</v>
          </cell>
          <cell r="F46" t="str">
            <v/>
          </cell>
          <cell r="G46" t="str">
            <v/>
          </cell>
          <cell r="H46">
            <v>488741</v>
          </cell>
          <cell r="I46">
            <v>0</v>
          </cell>
          <cell r="W46">
            <v>488741</v>
          </cell>
          <cell r="AA46">
            <v>0</v>
          </cell>
          <cell r="AB46">
            <v>488741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244370.5</v>
          </cell>
          <cell r="AH46">
            <v>488741</v>
          </cell>
          <cell r="AI46" t="str">
            <v>Full and Open</v>
          </cell>
          <cell r="AJ46" t="str">
            <v>Full and Open -Multiple Bidders</v>
          </cell>
          <cell r="AK46">
            <v>488741</v>
          </cell>
          <cell r="AL46">
            <v>488741</v>
          </cell>
          <cell r="AM46" t="e">
            <v>#VALUE!</v>
          </cell>
          <cell r="AN46">
            <v>495529.75768021902</v>
          </cell>
          <cell r="AP46" t="str">
            <v>FAIR</v>
          </cell>
          <cell r="AR46" t="str">
            <v>None</v>
          </cell>
          <cell r="AS46">
            <v>0</v>
          </cell>
          <cell r="AT46">
            <v>1</v>
          </cell>
        </row>
        <row r="47">
          <cell r="A47">
            <v>2011</v>
          </cell>
          <cell r="B47" t="str">
            <v>000</v>
          </cell>
          <cell r="C47" t="str">
            <v>A</v>
          </cell>
          <cell r="D47" t="str">
            <v/>
          </cell>
          <cell r="E47">
            <v>143</v>
          </cell>
          <cell r="F47" t="str">
            <v/>
          </cell>
          <cell r="G47" t="str">
            <v/>
          </cell>
          <cell r="H47">
            <v>542982</v>
          </cell>
          <cell r="I47">
            <v>0</v>
          </cell>
          <cell r="P47">
            <v>234336</v>
          </cell>
          <cell r="V47">
            <v>308646</v>
          </cell>
          <cell r="W47">
            <v>0</v>
          </cell>
          <cell r="AA47">
            <v>234336</v>
          </cell>
          <cell r="AB47">
            <v>308646</v>
          </cell>
          <cell r="AC47">
            <v>0</v>
          </cell>
          <cell r="AD47">
            <v>0</v>
          </cell>
          <cell r="AE47">
            <v>0</v>
          </cell>
          <cell r="AF47">
            <v>234336</v>
          </cell>
          <cell r="AG47">
            <v>117168</v>
          </cell>
          <cell r="AH47">
            <v>542982</v>
          </cell>
          <cell r="AI47" t="str">
            <v>Full and Open</v>
          </cell>
          <cell r="AJ47" t="str">
            <v>Full and Open -Multiple Bidders</v>
          </cell>
          <cell r="AK47">
            <v>542982</v>
          </cell>
          <cell r="AL47">
            <v>542982</v>
          </cell>
          <cell r="AM47" t="e">
            <v>#VALUE!</v>
          </cell>
          <cell r="AN47">
            <v>550524.18128358515</v>
          </cell>
          <cell r="AP47" t="str">
            <v>8AN</v>
          </cell>
          <cell r="AR47" t="str">
            <v>None</v>
          </cell>
          <cell r="AS47">
            <v>0</v>
          </cell>
          <cell r="AT47">
            <v>1</v>
          </cell>
        </row>
        <row r="48">
          <cell r="A48">
            <v>2011</v>
          </cell>
          <cell r="B48" t="str">
            <v>000</v>
          </cell>
          <cell r="C48" t="str">
            <v>A</v>
          </cell>
          <cell r="D48" t="str">
            <v/>
          </cell>
          <cell r="E48">
            <v>138</v>
          </cell>
          <cell r="F48" t="str">
            <v/>
          </cell>
          <cell r="G48" t="str">
            <v/>
          </cell>
          <cell r="H48">
            <v>554139</v>
          </cell>
          <cell r="I48">
            <v>0</v>
          </cell>
          <cell r="P48">
            <v>554139</v>
          </cell>
          <cell r="AA48">
            <v>554139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554139</v>
          </cell>
          <cell r="AG48">
            <v>277069.5</v>
          </cell>
          <cell r="AH48">
            <v>554139</v>
          </cell>
          <cell r="AI48" t="str">
            <v>Full and Open</v>
          </cell>
          <cell r="AJ48" t="str">
            <v>Full and Open -Multiple Bidders</v>
          </cell>
          <cell r="AK48">
            <v>554139</v>
          </cell>
          <cell r="AL48">
            <v>554139</v>
          </cell>
          <cell r="AM48" t="e">
            <v>#VALUE!</v>
          </cell>
          <cell r="AN48">
            <v>561836.15532799356</v>
          </cell>
          <cell r="AP48" t="str">
            <v>FOC</v>
          </cell>
          <cell r="AR48" t="str">
            <v>None</v>
          </cell>
          <cell r="AS48">
            <v>0</v>
          </cell>
          <cell r="AT48">
            <v>1</v>
          </cell>
        </row>
        <row r="49">
          <cell r="A49">
            <v>2011</v>
          </cell>
          <cell r="B49" t="str">
            <v>000</v>
          </cell>
          <cell r="C49" t="str">
            <v>A</v>
          </cell>
          <cell r="D49" t="str">
            <v/>
          </cell>
          <cell r="E49">
            <v>61</v>
          </cell>
          <cell r="F49" t="str">
            <v/>
          </cell>
          <cell r="G49" t="str">
            <v/>
          </cell>
          <cell r="H49">
            <v>598772</v>
          </cell>
          <cell r="I49">
            <v>0</v>
          </cell>
          <cell r="P49">
            <v>585043</v>
          </cell>
          <cell r="Q49">
            <v>13729</v>
          </cell>
          <cell r="AA49">
            <v>598772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591907.5</v>
          </cell>
          <cell r="AG49">
            <v>299386</v>
          </cell>
          <cell r="AH49">
            <v>598772</v>
          </cell>
          <cell r="AI49" t="str">
            <v>Full and Open</v>
          </cell>
          <cell r="AJ49" t="str">
            <v>Full and Open -Multiple Bidders</v>
          </cell>
          <cell r="AK49">
            <v>598772</v>
          </cell>
          <cell r="AL49">
            <v>598772</v>
          </cell>
          <cell r="AM49" t="e">
            <v>#VALUE!</v>
          </cell>
          <cell r="AN49">
            <v>607089.12095711252</v>
          </cell>
          <cell r="AP49" t="str">
            <v>IA</v>
          </cell>
          <cell r="AR49" t="str">
            <v>None</v>
          </cell>
          <cell r="AS49">
            <v>0</v>
          </cell>
          <cell r="AT49">
            <v>1</v>
          </cell>
        </row>
        <row r="50">
          <cell r="A50">
            <v>2011</v>
          </cell>
          <cell r="B50" t="str">
            <v>000</v>
          </cell>
          <cell r="C50" t="str">
            <v>A</v>
          </cell>
          <cell r="D50" t="str">
            <v/>
          </cell>
          <cell r="E50">
            <v>421</v>
          </cell>
          <cell r="F50" t="str">
            <v/>
          </cell>
          <cell r="G50" t="str">
            <v/>
          </cell>
          <cell r="H50">
            <v>599988</v>
          </cell>
          <cell r="I50">
            <v>0</v>
          </cell>
          <cell r="W50">
            <v>599988</v>
          </cell>
          <cell r="AA50">
            <v>0</v>
          </cell>
          <cell r="AB50">
            <v>599988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299994</v>
          </cell>
          <cell r="AH50">
            <v>599988</v>
          </cell>
          <cell r="AI50" t="str">
            <v>Full and Open</v>
          </cell>
          <cell r="AJ50" t="str">
            <v>Full and Open -Multiple Bidders</v>
          </cell>
          <cell r="AK50">
            <v>599988</v>
          </cell>
          <cell r="AL50">
            <v>599988</v>
          </cell>
          <cell r="AM50" t="e">
            <v>#VALUE!</v>
          </cell>
          <cell r="AN50">
            <v>608322.01155834936</v>
          </cell>
          <cell r="AP50" t="str">
            <v>RES</v>
          </cell>
          <cell r="AR50" t="str">
            <v>None</v>
          </cell>
          <cell r="AS50">
            <v>0</v>
          </cell>
          <cell r="AT50">
            <v>1</v>
          </cell>
        </row>
        <row r="51">
          <cell r="A51">
            <v>2011</v>
          </cell>
          <cell r="B51" t="str">
            <v>000</v>
          </cell>
          <cell r="C51" t="str">
            <v>A</v>
          </cell>
          <cell r="D51" t="str">
            <v/>
          </cell>
          <cell r="E51">
            <v>81</v>
          </cell>
          <cell r="F51" t="str">
            <v/>
          </cell>
          <cell r="G51" t="str">
            <v/>
          </cell>
          <cell r="H51">
            <v>603765.20000000007</v>
          </cell>
          <cell r="I51">
            <v>0</v>
          </cell>
          <cell r="P51">
            <v>0</v>
          </cell>
          <cell r="U51">
            <v>0</v>
          </cell>
          <cell r="W51">
            <v>1143985.42</v>
          </cell>
          <cell r="Y51">
            <v>-540220.22</v>
          </cell>
          <cell r="AA51">
            <v>0</v>
          </cell>
          <cell r="AB51">
            <v>603765.19999999995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571992.71</v>
          </cell>
          <cell r="AH51">
            <v>603765.19999999995</v>
          </cell>
          <cell r="AI51" t="str">
            <v>Full and Open</v>
          </cell>
          <cell r="AJ51" t="str">
            <v>Full and Open -Multiple Bidders</v>
          </cell>
          <cell r="AK51">
            <v>603765.20000000007</v>
          </cell>
          <cell r="AL51">
            <v>603765.20000000007</v>
          </cell>
          <cell r="AM51" t="e">
            <v>#VALUE!</v>
          </cell>
          <cell r="AN51">
            <v>612151.67798844178</v>
          </cell>
          <cell r="AP51" t="str">
            <v>UT</v>
          </cell>
          <cell r="AR51" t="str">
            <v>None</v>
          </cell>
          <cell r="AS51">
            <v>0</v>
          </cell>
          <cell r="AT51">
            <v>1</v>
          </cell>
        </row>
        <row r="52">
          <cell r="A52">
            <v>2011</v>
          </cell>
          <cell r="B52" t="str">
            <v>000</v>
          </cell>
          <cell r="C52" t="str">
            <v>A</v>
          </cell>
          <cell r="D52" t="str">
            <v/>
          </cell>
          <cell r="E52">
            <v>94</v>
          </cell>
          <cell r="F52" t="str">
            <v/>
          </cell>
          <cell r="G52" t="str">
            <v/>
          </cell>
          <cell r="H52">
            <v>611475</v>
          </cell>
          <cell r="I52">
            <v>0</v>
          </cell>
          <cell r="P52">
            <v>611475</v>
          </cell>
          <cell r="AA52">
            <v>611475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611475</v>
          </cell>
          <cell r="AG52">
            <v>305737.5</v>
          </cell>
          <cell r="AH52">
            <v>611475</v>
          </cell>
          <cell r="AI52" t="str">
            <v>Full and Open</v>
          </cell>
          <cell r="AJ52" t="str">
            <v>Full and Open -Multiple Bidders</v>
          </cell>
          <cell r="AK52">
            <v>611475</v>
          </cell>
          <cell r="AL52">
            <v>611475</v>
          </cell>
          <cell r="AM52" t="e">
            <v>#VALUE!</v>
          </cell>
          <cell r="AN52">
            <v>619968.56940079085</v>
          </cell>
          <cell r="AP52" t="str">
            <v>MES</v>
          </cell>
          <cell r="AR52" t="str">
            <v>None</v>
          </cell>
          <cell r="AS52">
            <v>0</v>
          </cell>
          <cell r="AT52">
            <v>1</v>
          </cell>
        </row>
        <row r="53">
          <cell r="A53">
            <v>2011</v>
          </cell>
          <cell r="B53" t="str">
            <v>000</v>
          </cell>
          <cell r="C53" t="str">
            <v>A</v>
          </cell>
          <cell r="D53" t="str">
            <v/>
          </cell>
          <cell r="E53">
            <v>78</v>
          </cell>
          <cell r="F53" t="str">
            <v/>
          </cell>
          <cell r="G53" t="str">
            <v/>
          </cell>
          <cell r="H53">
            <v>641207</v>
          </cell>
          <cell r="I53">
            <v>0</v>
          </cell>
          <cell r="P53">
            <v>641207</v>
          </cell>
          <cell r="AA53">
            <v>641207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641207</v>
          </cell>
          <cell r="AG53">
            <v>320603.5</v>
          </cell>
          <cell r="AH53">
            <v>641207</v>
          </cell>
          <cell r="AI53" t="str">
            <v>Full and Open</v>
          </cell>
          <cell r="AJ53" t="str">
            <v>Full and Open -Multiple Bidders</v>
          </cell>
          <cell r="AK53">
            <v>641207</v>
          </cell>
          <cell r="AL53">
            <v>641207</v>
          </cell>
          <cell r="AM53" t="e">
            <v>#VALUE!</v>
          </cell>
          <cell r="AN53">
            <v>650113.55571327184</v>
          </cell>
          <cell r="AP53" t="str">
            <v>NS</v>
          </cell>
          <cell r="AR53" t="str">
            <v>None</v>
          </cell>
          <cell r="AS53">
            <v>0</v>
          </cell>
          <cell r="AT53">
            <v>1</v>
          </cell>
        </row>
        <row r="54">
          <cell r="A54">
            <v>2011</v>
          </cell>
          <cell r="B54" t="str">
            <v>000</v>
          </cell>
          <cell r="C54" t="str">
            <v>A</v>
          </cell>
          <cell r="D54" t="str">
            <v/>
          </cell>
          <cell r="E54">
            <v>95</v>
          </cell>
          <cell r="F54" t="str">
            <v/>
          </cell>
          <cell r="G54" t="str">
            <v/>
          </cell>
          <cell r="H54">
            <v>641271</v>
          </cell>
          <cell r="I54">
            <v>0</v>
          </cell>
          <cell r="P54">
            <v>71000</v>
          </cell>
          <cell r="Q54">
            <v>0</v>
          </cell>
          <cell r="U54">
            <v>570271</v>
          </cell>
          <cell r="W54">
            <v>0</v>
          </cell>
          <cell r="AA54">
            <v>71000</v>
          </cell>
          <cell r="AB54">
            <v>570271</v>
          </cell>
          <cell r="AC54">
            <v>0</v>
          </cell>
          <cell r="AD54">
            <v>0</v>
          </cell>
          <cell r="AE54">
            <v>0</v>
          </cell>
          <cell r="AF54">
            <v>71000</v>
          </cell>
          <cell r="AG54">
            <v>35500</v>
          </cell>
          <cell r="AH54">
            <v>641271</v>
          </cell>
          <cell r="AI54" t="str">
            <v>Full and Open</v>
          </cell>
          <cell r="AJ54" t="str">
            <v>Full and Open -Multiple Bidders</v>
          </cell>
          <cell r="AK54">
            <v>641271</v>
          </cell>
          <cell r="AL54">
            <v>641271</v>
          </cell>
          <cell r="AM54" t="e">
            <v>#VALUE!</v>
          </cell>
          <cell r="AN54">
            <v>650178.44469228433</v>
          </cell>
          <cell r="AP54" t="str">
            <v>PDR</v>
          </cell>
          <cell r="AR54" t="str">
            <v>None</v>
          </cell>
          <cell r="AS54">
            <v>0</v>
          </cell>
          <cell r="AT54">
            <v>1</v>
          </cell>
        </row>
        <row r="55">
          <cell r="A55">
            <v>2011</v>
          </cell>
          <cell r="B55" t="str">
            <v>000</v>
          </cell>
          <cell r="C55" t="str">
            <v>A</v>
          </cell>
          <cell r="D55" t="str">
            <v/>
          </cell>
          <cell r="E55">
            <v>200</v>
          </cell>
          <cell r="F55" t="str">
            <v/>
          </cell>
          <cell r="G55" t="str">
            <v/>
          </cell>
          <cell r="H55">
            <v>749350.19</v>
          </cell>
          <cell r="I55">
            <v>0</v>
          </cell>
          <cell r="Q55">
            <v>749425</v>
          </cell>
          <cell r="Y55">
            <v>-74.81</v>
          </cell>
          <cell r="AA55">
            <v>749425</v>
          </cell>
          <cell r="AB55">
            <v>-74.81</v>
          </cell>
          <cell r="AC55">
            <v>0</v>
          </cell>
          <cell r="AD55">
            <v>0</v>
          </cell>
          <cell r="AE55">
            <v>0</v>
          </cell>
          <cell r="AF55">
            <v>374712.5</v>
          </cell>
          <cell r="AG55">
            <v>374712.5</v>
          </cell>
          <cell r="AH55">
            <v>749350.19</v>
          </cell>
          <cell r="AI55" t="str">
            <v>Full and Open</v>
          </cell>
          <cell r="AJ55" t="str">
            <v>Full and Open -Multiple Bidders</v>
          </cell>
          <cell r="AK55">
            <v>749350.19</v>
          </cell>
          <cell r="AL55">
            <v>749350.19</v>
          </cell>
          <cell r="AM55" t="e">
            <v>#VALUE!</v>
          </cell>
          <cell r="AN55">
            <v>759758.88674845384</v>
          </cell>
          <cell r="AP55" t="str">
            <v>PI</v>
          </cell>
          <cell r="AR55" t="str">
            <v>None</v>
          </cell>
          <cell r="AS55">
            <v>0</v>
          </cell>
          <cell r="AT55">
            <v>1</v>
          </cell>
        </row>
        <row r="56">
          <cell r="A56">
            <v>2011</v>
          </cell>
          <cell r="B56" t="str">
            <v>000</v>
          </cell>
          <cell r="C56" t="str">
            <v>A</v>
          </cell>
          <cell r="D56" t="str">
            <v/>
          </cell>
          <cell r="E56">
            <v>112</v>
          </cell>
          <cell r="F56" t="str">
            <v/>
          </cell>
          <cell r="G56" t="str">
            <v/>
          </cell>
          <cell r="H56">
            <v>932705.40999999992</v>
          </cell>
          <cell r="I56">
            <v>0</v>
          </cell>
          <cell r="P56">
            <v>0</v>
          </cell>
          <cell r="Q56">
            <v>932705.40999999992</v>
          </cell>
          <cell r="AA56">
            <v>932705.40999999992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466352.70499999996</v>
          </cell>
          <cell r="AG56">
            <v>466352.70499999996</v>
          </cell>
          <cell r="AH56">
            <v>932705.40999999992</v>
          </cell>
          <cell r="AI56" t="str">
            <v>Full and Open</v>
          </cell>
          <cell r="AJ56" t="str">
            <v>Full and Open -Multiple Bidders</v>
          </cell>
          <cell r="AK56">
            <v>932705.40999999992</v>
          </cell>
          <cell r="AL56">
            <v>932705.40999999992</v>
          </cell>
          <cell r="AM56" t="e">
            <v>#VALUE!</v>
          </cell>
          <cell r="AN56">
            <v>945660.96522356279</v>
          </cell>
          <cell r="AP56" t="str">
            <v>STD</v>
          </cell>
          <cell r="AR56" t="str">
            <v>None</v>
          </cell>
          <cell r="AS56">
            <v>0</v>
          </cell>
          <cell r="AT56">
            <v>1</v>
          </cell>
        </row>
        <row r="57">
          <cell r="A57">
            <v>2011</v>
          </cell>
          <cell r="B57" t="str">
            <v>000</v>
          </cell>
          <cell r="C57" t="str">
            <v>A</v>
          </cell>
          <cell r="D57" t="str">
            <v/>
          </cell>
          <cell r="E57">
            <v>174</v>
          </cell>
          <cell r="F57" t="str">
            <v/>
          </cell>
          <cell r="G57" t="str">
            <v/>
          </cell>
          <cell r="H57">
            <v>956713</v>
          </cell>
          <cell r="I57">
            <v>0</v>
          </cell>
          <cell r="P57">
            <v>360027</v>
          </cell>
          <cell r="W57">
            <v>596686</v>
          </cell>
          <cell r="AA57">
            <v>360027</v>
          </cell>
          <cell r="AB57">
            <v>596686</v>
          </cell>
          <cell r="AC57">
            <v>0</v>
          </cell>
          <cell r="AD57">
            <v>0</v>
          </cell>
          <cell r="AE57">
            <v>0</v>
          </cell>
          <cell r="AF57">
            <v>360027</v>
          </cell>
          <cell r="AG57">
            <v>478356.5</v>
          </cell>
          <cell r="AH57">
            <v>956713</v>
          </cell>
          <cell r="AI57" t="str">
            <v>Full and Open</v>
          </cell>
          <cell r="AJ57" t="str">
            <v>Full and Open -Multiple Bidders</v>
          </cell>
          <cell r="AK57">
            <v>956713</v>
          </cell>
          <cell r="AL57">
            <v>956713</v>
          </cell>
          <cell r="AM57" t="e">
            <v>#VALUE!</v>
          </cell>
          <cell r="AN57">
            <v>970002.02778059419</v>
          </cell>
          <cell r="AP57" t="str">
            <v>UNQ</v>
          </cell>
          <cell r="AR57" t="str">
            <v>None</v>
          </cell>
          <cell r="AS57">
            <v>0</v>
          </cell>
          <cell r="AT57">
            <v>1</v>
          </cell>
        </row>
        <row r="58">
          <cell r="A58">
            <v>2011</v>
          </cell>
          <cell r="B58" t="str">
            <v>000</v>
          </cell>
          <cell r="C58" t="str">
            <v>A</v>
          </cell>
          <cell r="D58" t="str">
            <v/>
          </cell>
          <cell r="E58">
            <v>107</v>
          </cell>
          <cell r="F58" t="str">
            <v/>
          </cell>
          <cell r="G58" t="str">
            <v/>
          </cell>
          <cell r="H58">
            <v>987911.22</v>
          </cell>
          <cell r="I58">
            <v>0</v>
          </cell>
          <cell r="P58">
            <v>987911.22</v>
          </cell>
          <cell r="AA58">
            <v>987911.22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987911.22</v>
          </cell>
          <cell r="AG58">
            <v>493955.61</v>
          </cell>
          <cell r="AH58">
            <v>987911.22</v>
          </cell>
          <cell r="AI58" t="str">
            <v>Full and Open</v>
          </cell>
          <cell r="AJ58" t="str">
            <v>Full and Open -Multiple Bidders</v>
          </cell>
          <cell r="AK58">
            <v>987911.22</v>
          </cell>
          <cell r="AL58">
            <v>987911.22</v>
          </cell>
          <cell r="AM58" t="e">
            <v>#VALUE!</v>
          </cell>
          <cell r="AN58">
            <v>1001633.6003244449</v>
          </cell>
          <cell r="AP58" t="str">
            <v>URG</v>
          </cell>
          <cell r="AR58" t="str">
            <v>None</v>
          </cell>
          <cell r="AS58">
            <v>0</v>
          </cell>
          <cell r="AT58">
            <v>1</v>
          </cell>
        </row>
        <row r="59">
          <cell r="A59">
            <v>2011</v>
          </cell>
          <cell r="B59" t="str">
            <v>000</v>
          </cell>
          <cell r="C59" t="str">
            <v>A</v>
          </cell>
          <cell r="D59" t="str">
            <v/>
          </cell>
          <cell r="E59">
            <v>183</v>
          </cell>
          <cell r="F59" t="str">
            <v/>
          </cell>
          <cell r="G59" t="str">
            <v/>
          </cell>
          <cell r="H59">
            <v>996200</v>
          </cell>
          <cell r="I59">
            <v>0</v>
          </cell>
          <cell r="P59">
            <v>996200</v>
          </cell>
          <cell r="AA59">
            <v>996200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996200</v>
          </cell>
          <cell r="AG59">
            <v>498100</v>
          </cell>
          <cell r="AH59">
            <v>996200</v>
          </cell>
          <cell r="AI59" t="str">
            <v>Full and Open</v>
          </cell>
          <cell r="AJ59" t="str">
            <v>Full and Open -Multiple Bidders</v>
          </cell>
          <cell r="AK59">
            <v>996200</v>
          </cell>
          <cell r="AL59">
            <v>996200</v>
          </cell>
          <cell r="AM59" t="e">
            <v>#VALUE!</v>
          </cell>
          <cell r="AN59">
            <v>1010037.5139409916</v>
          </cell>
          <cell r="AP59" t="str">
            <v>BND</v>
          </cell>
          <cell r="AR59" t="str">
            <v>None</v>
          </cell>
          <cell r="AS59">
            <v>0</v>
          </cell>
          <cell r="AT59">
            <v>1</v>
          </cell>
        </row>
        <row r="60">
          <cell r="A60">
            <v>2011</v>
          </cell>
          <cell r="B60" t="str">
            <v>000</v>
          </cell>
          <cell r="C60" t="str">
            <v>A</v>
          </cell>
          <cell r="D60" t="str">
            <v/>
          </cell>
          <cell r="E60">
            <v>130</v>
          </cell>
          <cell r="F60" t="str">
            <v/>
          </cell>
          <cell r="G60" t="str">
            <v/>
          </cell>
          <cell r="H60">
            <v>1051539</v>
          </cell>
          <cell r="I60">
            <v>0</v>
          </cell>
          <cell r="U60">
            <v>1897149</v>
          </cell>
          <cell r="W60">
            <v>-845610</v>
          </cell>
          <cell r="AA60">
            <v>0</v>
          </cell>
          <cell r="AB60">
            <v>1051539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-422805</v>
          </cell>
          <cell r="AH60">
            <v>1051539</v>
          </cell>
          <cell r="AI60" t="str">
            <v>Full and Open</v>
          </cell>
          <cell r="AJ60" t="str">
            <v>Full and Open -Multiple Bidders</v>
          </cell>
          <cell r="AK60">
            <v>1051539</v>
          </cell>
          <cell r="AL60">
            <v>1051539</v>
          </cell>
          <cell r="AM60" t="e">
            <v>#VALUE!</v>
          </cell>
          <cell r="AN60">
            <v>1066145.1890905404</v>
          </cell>
          <cell r="AP60" t="str">
            <v>UR</v>
          </cell>
          <cell r="AR60" t="str">
            <v>None</v>
          </cell>
          <cell r="AS60">
            <v>0</v>
          </cell>
          <cell r="AT60">
            <v>1</v>
          </cell>
        </row>
        <row r="61">
          <cell r="A61">
            <v>2011</v>
          </cell>
          <cell r="B61" t="str">
            <v>000</v>
          </cell>
          <cell r="C61" t="str">
            <v>A</v>
          </cell>
          <cell r="D61" t="str">
            <v/>
          </cell>
          <cell r="E61">
            <v>132</v>
          </cell>
          <cell r="F61" t="str">
            <v/>
          </cell>
          <cell r="G61" t="str">
            <v/>
          </cell>
          <cell r="H61">
            <v>1147950</v>
          </cell>
          <cell r="I61">
            <v>0</v>
          </cell>
          <cell r="P61">
            <v>1147950</v>
          </cell>
          <cell r="AA61">
            <v>1147950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1147950</v>
          </cell>
          <cell r="AG61">
            <v>573975</v>
          </cell>
          <cell r="AH61">
            <v>1147950</v>
          </cell>
          <cell r="AI61" t="str">
            <v>Full and Open</v>
          </cell>
          <cell r="AJ61" t="str">
            <v>Full and Open -Multiple Bidders</v>
          </cell>
          <cell r="AK61">
            <v>1147950</v>
          </cell>
          <cell r="AL61">
            <v>1147950</v>
          </cell>
          <cell r="AM61" t="e">
            <v>#VALUE!</v>
          </cell>
          <cell r="AN61">
            <v>1163895.3665213424</v>
          </cell>
        </row>
        <row r="62">
          <cell r="A62">
            <v>2011</v>
          </cell>
          <cell r="B62" t="str">
            <v>000</v>
          </cell>
          <cell r="C62" t="str">
            <v>A</v>
          </cell>
          <cell r="D62" t="str">
            <v/>
          </cell>
          <cell r="E62">
            <v>199</v>
          </cell>
          <cell r="F62" t="str">
            <v/>
          </cell>
          <cell r="G62" t="str">
            <v/>
          </cell>
          <cell r="H62">
            <v>1196359</v>
          </cell>
          <cell r="I62">
            <v>0</v>
          </cell>
          <cell r="P62">
            <v>1196359</v>
          </cell>
          <cell r="AA62">
            <v>1196359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1196359</v>
          </cell>
          <cell r="AG62">
            <v>598179.5</v>
          </cell>
          <cell r="AH62">
            <v>1196359</v>
          </cell>
          <cell r="AI62" t="str">
            <v>Full and Open</v>
          </cell>
          <cell r="AJ62" t="str">
            <v>Full and Open -Multiple Bidders</v>
          </cell>
          <cell r="AK62">
            <v>1196359</v>
          </cell>
          <cell r="AL62">
            <v>1196359</v>
          </cell>
          <cell r="AM62" t="e">
            <v>#VALUE!</v>
          </cell>
          <cell r="AN62">
            <v>1212976.7819121971</v>
          </cell>
        </row>
        <row r="63">
          <cell r="A63">
            <v>2011</v>
          </cell>
          <cell r="B63" t="str">
            <v>000</v>
          </cell>
          <cell r="C63" t="str">
            <v>A</v>
          </cell>
          <cell r="D63" t="str">
            <v/>
          </cell>
          <cell r="E63">
            <v>115</v>
          </cell>
          <cell r="F63" t="str">
            <v/>
          </cell>
          <cell r="G63" t="str">
            <v/>
          </cell>
          <cell r="H63">
            <v>1200131</v>
          </cell>
          <cell r="I63">
            <v>0</v>
          </cell>
          <cell r="P63">
            <v>1200131</v>
          </cell>
          <cell r="AA63">
            <v>1200131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1200131</v>
          </cell>
          <cell r="AG63">
            <v>600065.5</v>
          </cell>
          <cell r="AH63">
            <v>1200131</v>
          </cell>
          <cell r="AI63" t="str">
            <v>Full and Open</v>
          </cell>
          <cell r="AJ63" t="str">
            <v>Full and Open -Multiple Bidders</v>
          </cell>
          <cell r="AK63">
            <v>1200131</v>
          </cell>
          <cell r="AL63">
            <v>1200131</v>
          </cell>
          <cell r="AM63" t="e">
            <v>#VALUE!</v>
          </cell>
          <cell r="AN63">
            <v>1216801.1761127447</v>
          </cell>
        </row>
        <row r="64">
          <cell r="A64">
            <v>2011</v>
          </cell>
          <cell r="B64" t="str">
            <v>000</v>
          </cell>
          <cell r="C64" t="str">
            <v>A</v>
          </cell>
          <cell r="D64" t="str">
            <v/>
          </cell>
          <cell r="E64">
            <v>69</v>
          </cell>
          <cell r="F64" t="str">
            <v/>
          </cell>
          <cell r="G64" t="str">
            <v/>
          </cell>
          <cell r="H64">
            <v>1241849</v>
          </cell>
          <cell r="I64">
            <v>0</v>
          </cell>
          <cell r="P64">
            <v>1241849</v>
          </cell>
          <cell r="AA64">
            <v>1241849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1241849</v>
          </cell>
          <cell r="AG64">
            <v>620924.5</v>
          </cell>
          <cell r="AH64">
            <v>1241849</v>
          </cell>
          <cell r="AI64" t="str">
            <v>Full and Open</v>
          </cell>
          <cell r="AJ64" t="str">
            <v>Full and Open -Multiple Bidders</v>
          </cell>
          <cell r="AK64">
            <v>1241849</v>
          </cell>
          <cell r="AL64">
            <v>1241849</v>
          </cell>
          <cell r="AM64" t="e">
            <v>#VALUE!</v>
          </cell>
          <cell r="AN64">
            <v>1259098.6515259049</v>
          </cell>
        </row>
        <row r="65">
          <cell r="A65">
            <v>2011</v>
          </cell>
          <cell r="B65" t="str">
            <v>000</v>
          </cell>
          <cell r="C65" t="str">
            <v>A</v>
          </cell>
          <cell r="D65" t="str">
            <v/>
          </cell>
          <cell r="E65">
            <v>126</v>
          </cell>
          <cell r="F65" t="str">
            <v/>
          </cell>
          <cell r="G65" t="str">
            <v/>
          </cell>
          <cell r="H65">
            <v>1245163</v>
          </cell>
          <cell r="I65">
            <v>0</v>
          </cell>
          <cell r="U65">
            <v>1245163</v>
          </cell>
          <cell r="AA65">
            <v>0</v>
          </cell>
          <cell r="AB65">
            <v>1245163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1245163</v>
          </cell>
          <cell r="AI65" t="str">
            <v>Full and Open</v>
          </cell>
          <cell r="AJ65" t="str">
            <v>Full and Open -Multiple Bidders</v>
          </cell>
          <cell r="AK65">
            <v>1245163</v>
          </cell>
          <cell r="AL65">
            <v>1245163</v>
          </cell>
          <cell r="AM65" t="e">
            <v>#VALUE!</v>
          </cell>
          <cell r="AN65">
            <v>1262458.6839703945</v>
          </cell>
        </row>
        <row r="66">
          <cell r="A66">
            <v>2011</v>
          </cell>
          <cell r="B66" t="str">
            <v>000</v>
          </cell>
          <cell r="C66" t="str">
            <v>A</v>
          </cell>
          <cell r="D66" t="str">
            <v/>
          </cell>
          <cell r="E66">
            <v>157</v>
          </cell>
          <cell r="F66" t="str">
            <v/>
          </cell>
          <cell r="G66" t="str">
            <v/>
          </cell>
          <cell r="H66">
            <v>1250766.19</v>
          </cell>
          <cell r="I66">
            <v>0</v>
          </cell>
          <cell r="P66">
            <v>1250766.19</v>
          </cell>
          <cell r="AA66">
            <v>1250766.19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1250766.19</v>
          </cell>
          <cell r="AG66">
            <v>625383.09499999997</v>
          </cell>
          <cell r="AH66">
            <v>1250766.19</v>
          </cell>
          <cell r="AI66" t="str">
            <v>Full and Open</v>
          </cell>
          <cell r="AJ66" t="str">
            <v>Full and Open -Multiple Bidders</v>
          </cell>
          <cell r="AK66">
            <v>1250766.19</v>
          </cell>
          <cell r="AL66">
            <v>1250766.19</v>
          </cell>
          <cell r="AM66" t="e">
            <v>#VALUE!</v>
          </cell>
          <cell r="AN66">
            <v>1268139.7039440332</v>
          </cell>
        </row>
        <row r="67">
          <cell r="A67">
            <v>2011</v>
          </cell>
          <cell r="B67" t="str">
            <v>000</v>
          </cell>
          <cell r="C67" t="str">
            <v>A</v>
          </cell>
          <cell r="D67" t="str">
            <v/>
          </cell>
          <cell r="E67">
            <v>204</v>
          </cell>
          <cell r="F67" t="str">
            <v/>
          </cell>
          <cell r="G67" t="str">
            <v/>
          </cell>
          <cell r="H67">
            <v>1259979</v>
          </cell>
          <cell r="I67">
            <v>0</v>
          </cell>
          <cell r="P67">
            <v>1259979</v>
          </cell>
          <cell r="AA67">
            <v>1259979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1259979</v>
          </cell>
          <cell r="AG67">
            <v>629989.5</v>
          </cell>
          <cell r="AH67">
            <v>1259979</v>
          </cell>
          <cell r="AI67" t="str">
            <v>Full and Open</v>
          </cell>
          <cell r="AJ67" t="str">
            <v>Full and Open -Multiple Bidders</v>
          </cell>
          <cell r="AK67">
            <v>1259979</v>
          </cell>
          <cell r="AL67">
            <v>1259979</v>
          </cell>
          <cell r="AM67" t="e">
            <v>#VALUE!</v>
          </cell>
          <cell r="AN67">
            <v>1277480.4826117815</v>
          </cell>
        </row>
        <row r="68">
          <cell r="A68">
            <v>2011</v>
          </cell>
          <cell r="B68" t="str">
            <v>000</v>
          </cell>
          <cell r="C68" t="str">
            <v>A</v>
          </cell>
          <cell r="D68" t="str">
            <v/>
          </cell>
          <cell r="E68">
            <v>63</v>
          </cell>
          <cell r="F68" t="str">
            <v/>
          </cell>
          <cell r="G68" t="str">
            <v/>
          </cell>
          <cell r="H68">
            <v>1266321.8499999999</v>
          </cell>
          <cell r="I68">
            <v>0</v>
          </cell>
          <cell r="P68">
            <v>666321.85</v>
          </cell>
          <cell r="Q68">
            <v>0</v>
          </cell>
          <cell r="U68">
            <v>600000</v>
          </cell>
          <cell r="AA68">
            <v>666321.85</v>
          </cell>
          <cell r="AB68">
            <v>600000</v>
          </cell>
          <cell r="AC68">
            <v>0</v>
          </cell>
          <cell r="AD68">
            <v>0</v>
          </cell>
          <cell r="AE68">
            <v>0</v>
          </cell>
          <cell r="AF68">
            <v>666321.85</v>
          </cell>
          <cell r="AG68">
            <v>333160.92499999999</v>
          </cell>
          <cell r="AH68">
            <v>1266321.8500000001</v>
          </cell>
          <cell r="AI68" t="str">
            <v>Full and Open</v>
          </cell>
          <cell r="AJ68" t="str">
            <v>Full and Open -Multiple Bidders</v>
          </cell>
          <cell r="AK68">
            <v>1266321.8499999999</v>
          </cell>
          <cell r="AL68">
            <v>1266321.8499999999</v>
          </cell>
          <cell r="AM68" t="e">
            <v>#VALUE!</v>
          </cell>
          <cell r="AN68">
            <v>1283911.4366825509</v>
          </cell>
        </row>
        <row r="69">
          <cell r="A69">
            <v>2011</v>
          </cell>
          <cell r="B69" t="str">
            <v>000</v>
          </cell>
          <cell r="C69" t="str">
            <v>A</v>
          </cell>
          <cell r="D69" t="str">
            <v/>
          </cell>
          <cell r="E69">
            <v>127</v>
          </cell>
          <cell r="F69" t="str">
            <v/>
          </cell>
          <cell r="G69" t="str">
            <v/>
          </cell>
          <cell r="H69">
            <v>1276292</v>
          </cell>
          <cell r="I69">
            <v>0</v>
          </cell>
          <cell r="K69">
            <v>0</v>
          </cell>
          <cell r="P69">
            <v>1276292</v>
          </cell>
          <cell r="AA69">
            <v>1276292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1276292</v>
          </cell>
          <cell r="AG69">
            <v>638146</v>
          </cell>
          <cell r="AH69">
            <v>1276292</v>
          </cell>
          <cell r="AI69" t="str">
            <v>Full and Open</v>
          </cell>
          <cell r="AJ69" t="str">
            <v>Full and Open -Multiple Bidders</v>
          </cell>
          <cell r="AK69">
            <v>1276292</v>
          </cell>
          <cell r="AL69">
            <v>1276292</v>
          </cell>
          <cell r="AM69" t="e">
            <v>#VALUE!</v>
          </cell>
          <cell r="AN69">
            <v>1294020.0750278821</v>
          </cell>
        </row>
        <row r="70">
          <cell r="A70">
            <v>2011</v>
          </cell>
          <cell r="B70" t="str">
            <v>000</v>
          </cell>
          <cell r="C70" t="str">
            <v>A</v>
          </cell>
          <cell r="D70" t="str">
            <v/>
          </cell>
          <cell r="E70">
            <v>137</v>
          </cell>
          <cell r="F70" t="str">
            <v/>
          </cell>
          <cell r="G70" t="str">
            <v/>
          </cell>
          <cell r="H70">
            <v>1287800</v>
          </cell>
          <cell r="I70">
            <v>0</v>
          </cell>
          <cell r="P70">
            <v>1287800</v>
          </cell>
          <cell r="U70">
            <v>0</v>
          </cell>
          <cell r="AA70">
            <v>1287800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1287800</v>
          </cell>
          <cell r="AG70">
            <v>643900</v>
          </cell>
          <cell r="AH70">
            <v>1287800</v>
          </cell>
          <cell r="AI70" t="str">
            <v>Full and Open</v>
          </cell>
          <cell r="AJ70" t="str">
            <v>Full and Open -Multiple Bidders</v>
          </cell>
          <cell r="AK70">
            <v>1287800</v>
          </cell>
          <cell r="AL70">
            <v>1287800</v>
          </cell>
          <cell r="AM70" t="e">
            <v>#VALUE!</v>
          </cell>
          <cell r="AN70">
            <v>1305687.9245665621</v>
          </cell>
        </row>
        <row r="71">
          <cell r="A71">
            <v>2011</v>
          </cell>
          <cell r="B71" t="str">
            <v>000</v>
          </cell>
          <cell r="C71" t="str">
            <v>A</v>
          </cell>
          <cell r="D71" t="str">
            <v/>
          </cell>
          <cell r="E71">
            <v>77</v>
          </cell>
          <cell r="F71" t="str">
            <v/>
          </cell>
          <cell r="G71" t="str">
            <v/>
          </cell>
          <cell r="H71">
            <v>1321450</v>
          </cell>
          <cell r="I71">
            <v>0</v>
          </cell>
          <cell r="P71">
            <v>1071450</v>
          </cell>
          <cell r="U71">
            <v>250000</v>
          </cell>
          <cell r="AA71">
            <v>1071450</v>
          </cell>
          <cell r="AB71">
            <v>250000</v>
          </cell>
          <cell r="AC71">
            <v>0</v>
          </cell>
          <cell r="AD71">
            <v>0</v>
          </cell>
          <cell r="AE71">
            <v>0</v>
          </cell>
          <cell r="AF71">
            <v>1071450</v>
          </cell>
          <cell r="AG71">
            <v>535725</v>
          </cell>
          <cell r="AH71">
            <v>1321450</v>
          </cell>
          <cell r="AI71" t="str">
            <v>Full and Open</v>
          </cell>
          <cell r="AJ71" t="str">
            <v>Full and Open -Multiple Bidders</v>
          </cell>
          <cell r="AK71">
            <v>1321450</v>
          </cell>
          <cell r="AL71">
            <v>1321450</v>
          </cell>
          <cell r="AM71" t="e">
            <v>#VALUE!</v>
          </cell>
          <cell r="AN71">
            <v>1339805.3330629626</v>
          </cell>
        </row>
        <row r="72">
          <cell r="A72">
            <v>2011</v>
          </cell>
          <cell r="B72" t="str">
            <v>000</v>
          </cell>
          <cell r="C72" t="str">
            <v>A</v>
          </cell>
          <cell r="D72" t="str">
            <v/>
          </cell>
          <cell r="E72">
            <v>190</v>
          </cell>
          <cell r="F72" t="str">
            <v/>
          </cell>
          <cell r="G72" t="str">
            <v/>
          </cell>
          <cell r="H72">
            <v>1347687</v>
          </cell>
          <cell r="I72">
            <v>0</v>
          </cell>
          <cell r="U72">
            <v>1347687</v>
          </cell>
          <cell r="AA72">
            <v>0</v>
          </cell>
          <cell r="AB72">
            <v>1347687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1347687</v>
          </cell>
          <cell r="AI72" t="str">
            <v>Full and Open</v>
          </cell>
          <cell r="AJ72" t="str">
            <v>Full and Open -Multiple Bidders</v>
          </cell>
          <cell r="AK72">
            <v>1347687</v>
          </cell>
          <cell r="AL72">
            <v>1347687</v>
          </cell>
          <cell r="AM72" t="e">
            <v>#VALUE!</v>
          </cell>
          <cell r="AN72">
            <v>1366406.7727871845</v>
          </cell>
        </row>
        <row r="73">
          <cell r="A73">
            <v>2011</v>
          </cell>
          <cell r="B73" t="str">
            <v>000</v>
          </cell>
          <cell r="C73" t="str">
            <v>A</v>
          </cell>
          <cell r="D73" t="str">
            <v/>
          </cell>
          <cell r="E73">
            <v>42</v>
          </cell>
          <cell r="F73" t="str">
            <v/>
          </cell>
          <cell r="G73" t="str">
            <v/>
          </cell>
          <cell r="H73">
            <v>1358206.64</v>
          </cell>
          <cell r="I73">
            <v>0</v>
          </cell>
          <cell r="K73">
            <v>0</v>
          </cell>
          <cell r="P73">
            <v>1358206.64</v>
          </cell>
          <cell r="W73">
            <v>0</v>
          </cell>
          <cell r="AA73">
            <v>1358206.64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1358206.64</v>
          </cell>
          <cell r="AG73">
            <v>679103.32</v>
          </cell>
          <cell r="AH73">
            <v>1358206.64</v>
          </cell>
          <cell r="AI73" t="str">
            <v>Full and Open</v>
          </cell>
          <cell r="AJ73" t="str">
            <v>Full and Open -Multiple Bidders</v>
          </cell>
          <cell r="AK73">
            <v>1358206.64</v>
          </cell>
          <cell r="AL73">
            <v>1358206.64</v>
          </cell>
          <cell r="AM73" t="e">
            <v>#VALUE!</v>
          </cell>
          <cell r="AN73">
            <v>1377072.5337118523</v>
          </cell>
        </row>
        <row r="74">
          <cell r="A74">
            <v>2011</v>
          </cell>
          <cell r="B74" t="str">
            <v>000</v>
          </cell>
          <cell r="C74" t="str">
            <v>A</v>
          </cell>
          <cell r="D74" t="str">
            <v/>
          </cell>
          <cell r="E74">
            <v>159</v>
          </cell>
          <cell r="F74" t="str">
            <v/>
          </cell>
          <cell r="G74" t="str">
            <v/>
          </cell>
          <cell r="H74">
            <v>1399000</v>
          </cell>
          <cell r="I74">
            <v>0</v>
          </cell>
          <cell r="P74">
            <v>1399000</v>
          </cell>
          <cell r="AA74">
            <v>1399000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1399000</v>
          </cell>
          <cell r="AG74">
            <v>699500</v>
          </cell>
          <cell r="AH74">
            <v>1399000</v>
          </cell>
          <cell r="AI74" t="str">
            <v>Full and Open</v>
          </cell>
          <cell r="AJ74" t="str">
            <v>Full and Open -Multiple Bidders</v>
          </cell>
          <cell r="AK74">
            <v>1399000</v>
          </cell>
          <cell r="AL74">
            <v>1399000</v>
          </cell>
          <cell r="AM74" t="e">
            <v>#VALUE!</v>
          </cell>
          <cell r="AN74">
            <v>1418432.52560073</v>
          </cell>
        </row>
        <row r="75">
          <cell r="A75">
            <v>2011</v>
          </cell>
          <cell r="B75" t="str">
            <v>000</v>
          </cell>
          <cell r="C75" t="str">
            <v>A</v>
          </cell>
          <cell r="D75" t="str">
            <v/>
          </cell>
          <cell r="E75">
            <v>102</v>
          </cell>
          <cell r="F75" t="str">
            <v/>
          </cell>
          <cell r="G75" t="str">
            <v/>
          </cell>
          <cell r="H75">
            <v>1423505.55</v>
          </cell>
          <cell r="I75">
            <v>0</v>
          </cell>
          <cell r="L75">
            <v>1423505.55</v>
          </cell>
          <cell r="W75">
            <v>0</v>
          </cell>
          <cell r="AA75">
            <v>0</v>
          </cell>
          <cell r="AB75">
            <v>0</v>
          </cell>
          <cell r="AC75">
            <v>1423505.55</v>
          </cell>
          <cell r="AD75">
            <v>0</v>
          </cell>
          <cell r="AE75">
            <v>0</v>
          </cell>
          <cell r="AF75">
            <v>711752.77500000002</v>
          </cell>
          <cell r="AG75">
            <v>711752.77500000002</v>
          </cell>
          <cell r="AH75">
            <v>1423505.55</v>
          </cell>
          <cell r="AI75" t="str">
            <v>Full and Open</v>
          </cell>
          <cell r="AJ75" t="str">
            <v>Full and Open -Multiple Bidders</v>
          </cell>
          <cell r="AK75">
            <v>1423505.55</v>
          </cell>
          <cell r="AL75">
            <v>1423505.55</v>
          </cell>
          <cell r="AM75" t="e">
            <v>#VALUE!</v>
          </cell>
          <cell r="AN75">
            <v>1443278.4649700904</v>
          </cell>
        </row>
        <row r="76">
          <cell r="A76">
            <v>2011</v>
          </cell>
          <cell r="B76" t="str">
            <v>000</v>
          </cell>
          <cell r="C76" t="str">
            <v>A</v>
          </cell>
          <cell r="D76" t="str">
            <v/>
          </cell>
          <cell r="E76">
            <v>128</v>
          </cell>
          <cell r="F76" t="str">
            <v/>
          </cell>
          <cell r="G76" t="str">
            <v/>
          </cell>
          <cell r="H76">
            <v>1428355.44</v>
          </cell>
          <cell r="I76">
            <v>0</v>
          </cell>
          <cell r="P76">
            <v>637072.43999999994</v>
          </cell>
          <cell r="W76">
            <v>791283</v>
          </cell>
          <cell r="AA76">
            <v>637072.43999999994</v>
          </cell>
          <cell r="AB76">
            <v>791283</v>
          </cell>
          <cell r="AC76">
            <v>0</v>
          </cell>
          <cell r="AD76">
            <v>0</v>
          </cell>
          <cell r="AE76">
            <v>0</v>
          </cell>
          <cell r="AF76">
            <v>637072.43999999994</v>
          </cell>
          <cell r="AG76">
            <v>714177.72</v>
          </cell>
          <cell r="AH76">
            <v>1428355.44</v>
          </cell>
          <cell r="AI76" t="str">
            <v>Full and Open</v>
          </cell>
          <cell r="AJ76" t="str">
            <v>Full and Open -Multiple Bidders</v>
          </cell>
          <cell r="AK76">
            <v>1428355.44</v>
          </cell>
          <cell r="AL76">
            <v>1428355.44</v>
          </cell>
          <cell r="AM76" t="e">
            <v>#VALUE!</v>
          </cell>
          <cell r="AN76">
            <v>1448195.7213829465</v>
          </cell>
        </row>
        <row r="77">
          <cell r="A77">
            <v>2011</v>
          </cell>
          <cell r="B77" t="str">
            <v>000</v>
          </cell>
          <cell r="C77" t="str">
            <v>A</v>
          </cell>
          <cell r="D77" t="str">
            <v/>
          </cell>
          <cell r="E77">
            <v>76</v>
          </cell>
          <cell r="F77" t="str">
            <v/>
          </cell>
          <cell r="G77" t="str">
            <v/>
          </cell>
          <cell r="H77">
            <v>1453640.44</v>
          </cell>
          <cell r="I77">
            <v>0</v>
          </cell>
          <cell r="L77">
            <v>0</v>
          </cell>
          <cell r="P77">
            <v>1453640.44</v>
          </cell>
          <cell r="AA77">
            <v>1453640.44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1453640.44</v>
          </cell>
          <cell r="AG77">
            <v>726820.22</v>
          </cell>
          <cell r="AH77">
            <v>1453640.44</v>
          </cell>
          <cell r="AI77" t="str">
            <v>Full and Open</v>
          </cell>
          <cell r="AJ77" t="str">
            <v>Full and Open -Multiple Bidders</v>
          </cell>
          <cell r="AK77">
            <v>1453640.44</v>
          </cell>
          <cell r="AL77">
            <v>1453640.44</v>
          </cell>
          <cell r="AM77" t="e">
            <v>#VALUE!</v>
          </cell>
          <cell r="AN77">
            <v>1473831.9375443577</v>
          </cell>
        </row>
        <row r="78">
          <cell r="A78">
            <v>2011</v>
          </cell>
          <cell r="B78" t="str">
            <v>000</v>
          </cell>
          <cell r="C78" t="str">
            <v>A</v>
          </cell>
          <cell r="D78" t="str">
            <v/>
          </cell>
          <cell r="E78">
            <v>71</v>
          </cell>
          <cell r="F78" t="str">
            <v/>
          </cell>
          <cell r="G78" t="str">
            <v/>
          </cell>
          <cell r="H78">
            <v>1471202.8499999999</v>
          </cell>
          <cell r="I78">
            <v>0</v>
          </cell>
          <cell r="P78">
            <v>1471202.8499999999</v>
          </cell>
          <cell r="AA78">
            <v>1471202.8499999999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1471202.8499999999</v>
          </cell>
          <cell r="AG78">
            <v>735601.42499999993</v>
          </cell>
          <cell r="AH78">
            <v>1471202.8499999999</v>
          </cell>
          <cell r="AI78" t="str">
            <v>Full and Open</v>
          </cell>
          <cell r="AJ78" t="str">
            <v>Full and Open -Multiple Bidders</v>
          </cell>
          <cell r="AK78">
            <v>1471202.8499999999</v>
          </cell>
          <cell r="AL78">
            <v>1471202.8499999999</v>
          </cell>
          <cell r="AM78" t="e">
            <v>#VALUE!</v>
          </cell>
          <cell r="AN78">
            <v>1491638.2946365203</v>
          </cell>
        </row>
        <row r="79">
          <cell r="A79">
            <v>2011</v>
          </cell>
          <cell r="B79" t="str">
            <v>000</v>
          </cell>
          <cell r="C79" t="str">
            <v>A</v>
          </cell>
          <cell r="D79" t="str">
            <v/>
          </cell>
          <cell r="E79">
            <v>135</v>
          </cell>
          <cell r="F79" t="str">
            <v/>
          </cell>
          <cell r="G79" t="str">
            <v/>
          </cell>
          <cell r="H79">
            <v>1544680</v>
          </cell>
          <cell r="I79">
            <v>0</v>
          </cell>
          <cell r="P79">
            <v>1544680</v>
          </cell>
          <cell r="Q79">
            <v>0</v>
          </cell>
          <cell r="AA79">
            <v>1544680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1544680</v>
          </cell>
          <cell r="AG79">
            <v>772340</v>
          </cell>
          <cell r="AH79">
            <v>1544680</v>
          </cell>
          <cell r="AI79" t="str">
            <v>Full and Open</v>
          </cell>
          <cell r="AJ79" t="str">
            <v>Full and Open -Multiple Bidders</v>
          </cell>
          <cell r="AK79">
            <v>1544680</v>
          </cell>
          <cell r="AL79">
            <v>1544680</v>
          </cell>
          <cell r="AM79" t="e">
            <v>#VALUE!</v>
          </cell>
          <cell r="AN79">
            <v>1566136.064077867</v>
          </cell>
        </row>
        <row r="80">
          <cell r="A80">
            <v>2011</v>
          </cell>
          <cell r="B80" t="str">
            <v>000</v>
          </cell>
          <cell r="C80" t="str">
            <v>A</v>
          </cell>
          <cell r="D80" t="str">
            <v/>
          </cell>
          <cell r="E80">
            <v>165</v>
          </cell>
          <cell r="F80" t="str">
            <v/>
          </cell>
          <cell r="G80" t="str">
            <v/>
          </cell>
          <cell r="H80">
            <v>1675420.95</v>
          </cell>
          <cell r="I80">
            <v>0</v>
          </cell>
          <cell r="Q80">
            <v>1675420.95</v>
          </cell>
          <cell r="AA80">
            <v>1675420.95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837710.47499999998</v>
          </cell>
          <cell r="AG80">
            <v>837710.47499999998</v>
          </cell>
          <cell r="AH80">
            <v>1675420.95</v>
          </cell>
          <cell r="AI80" t="str">
            <v>Full and Open</v>
          </cell>
          <cell r="AJ80" t="str">
            <v>Full and Open -Multiple Bidders</v>
          </cell>
          <cell r="AK80">
            <v>1675420.95</v>
          </cell>
          <cell r="AL80">
            <v>1675420.95</v>
          </cell>
          <cell r="AM80" t="e">
            <v>#VALUE!</v>
          </cell>
          <cell r="AN80">
            <v>1698693.0447125621</v>
          </cell>
        </row>
        <row r="81">
          <cell r="A81">
            <v>2011</v>
          </cell>
          <cell r="B81" t="str">
            <v>000</v>
          </cell>
          <cell r="C81" t="str">
            <v>A</v>
          </cell>
          <cell r="D81" t="str">
            <v/>
          </cell>
          <cell r="E81">
            <v>103</v>
          </cell>
          <cell r="F81" t="str">
            <v/>
          </cell>
          <cell r="G81" t="str">
            <v/>
          </cell>
          <cell r="H81">
            <v>1712892.86</v>
          </cell>
          <cell r="I81">
            <v>0</v>
          </cell>
          <cell r="P81">
            <v>1712892.86</v>
          </cell>
          <cell r="AA81">
            <v>1712892.86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1712892.86</v>
          </cell>
          <cell r="AG81">
            <v>856446.43</v>
          </cell>
          <cell r="AH81">
            <v>1712892.86</v>
          </cell>
          <cell r="AI81" t="str">
            <v>Full and Open</v>
          </cell>
          <cell r="AJ81" t="str">
            <v>Full and Open -Multiple Bidders</v>
          </cell>
          <cell r="AK81">
            <v>1712892.86</v>
          </cell>
          <cell r="AL81">
            <v>1712892.86</v>
          </cell>
          <cell r="AM81" t="e">
            <v>#VALUE!</v>
          </cell>
          <cell r="AN81">
            <v>1736685.4506742372</v>
          </cell>
        </row>
        <row r="82">
          <cell r="A82">
            <v>2011</v>
          </cell>
          <cell r="B82" t="str">
            <v>000</v>
          </cell>
          <cell r="C82" t="str">
            <v>A</v>
          </cell>
          <cell r="D82" t="str">
            <v/>
          </cell>
          <cell r="E82">
            <v>170</v>
          </cell>
          <cell r="F82" t="str">
            <v/>
          </cell>
          <cell r="G82" t="str">
            <v/>
          </cell>
          <cell r="H82">
            <v>1766000</v>
          </cell>
          <cell r="I82">
            <v>0</v>
          </cell>
          <cell r="P82">
            <v>1766000</v>
          </cell>
          <cell r="AA82">
            <v>1766000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1766000</v>
          </cell>
          <cell r="AG82">
            <v>883000</v>
          </cell>
          <cell r="AH82">
            <v>1766000</v>
          </cell>
          <cell r="AI82" t="str">
            <v>Full and Open</v>
          </cell>
          <cell r="AJ82" t="str">
            <v>Full and Open -Multiple Bidders</v>
          </cell>
          <cell r="AK82">
            <v>1766000</v>
          </cell>
          <cell r="AL82">
            <v>1766000</v>
          </cell>
          <cell r="AM82" t="e">
            <v>#VALUE!</v>
          </cell>
          <cell r="AN82">
            <v>1790530.2646253677</v>
          </cell>
        </row>
        <row r="83">
          <cell r="A83">
            <v>2011</v>
          </cell>
          <cell r="B83" t="str">
            <v>000</v>
          </cell>
          <cell r="C83" t="str">
            <v>A</v>
          </cell>
          <cell r="D83" t="str">
            <v/>
          </cell>
          <cell r="E83">
            <v>54</v>
          </cell>
          <cell r="F83" t="str">
            <v/>
          </cell>
          <cell r="G83" t="str">
            <v/>
          </cell>
          <cell r="H83">
            <v>1891380.6</v>
          </cell>
          <cell r="I83">
            <v>0</v>
          </cell>
          <cell r="P83">
            <v>1891380.6</v>
          </cell>
          <cell r="AA83">
            <v>1891380.6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1891380.6</v>
          </cell>
          <cell r="AG83">
            <v>945690.3</v>
          </cell>
          <cell r="AH83">
            <v>1891380.6</v>
          </cell>
          <cell r="AI83" t="str">
            <v>Full and Open</v>
          </cell>
          <cell r="AJ83" t="str">
            <v>Full and Open -Multiple Bidders</v>
          </cell>
          <cell r="AK83">
            <v>1891380.6</v>
          </cell>
          <cell r="AL83">
            <v>1891380.6</v>
          </cell>
          <cell r="AM83" t="e">
            <v>#VALUE!</v>
          </cell>
          <cell r="AN83">
            <v>1917652.4384061645</v>
          </cell>
        </row>
        <row r="84">
          <cell r="A84">
            <v>2011</v>
          </cell>
          <cell r="B84" t="str">
            <v>000</v>
          </cell>
          <cell r="C84" t="str">
            <v>A</v>
          </cell>
          <cell r="D84" t="str">
            <v/>
          </cell>
          <cell r="E84">
            <v>53</v>
          </cell>
          <cell r="F84" t="str">
            <v/>
          </cell>
          <cell r="G84" t="str">
            <v/>
          </cell>
          <cell r="H84">
            <v>2070255.02</v>
          </cell>
          <cell r="I84">
            <v>0</v>
          </cell>
          <cell r="P84">
            <v>1793570.02</v>
          </cell>
          <cell r="W84">
            <v>276685</v>
          </cell>
          <cell r="AA84">
            <v>1793570.02</v>
          </cell>
          <cell r="AB84">
            <v>276685</v>
          </cell>
          <cell r="AC84">
            <v>0</v>
          </cell>
          <cell r="AD84">
            <v>0</v>
          </cell>
          <cell r="AE84">
            <v>0</v>
          </cell>
          <cell r="AF84">
            <v>1793570.02</v>
          </cell>
          <cell r="AG84">
            <v>1035127.51</v>
          </cell>
          <cell r="AH84">
            <v>2070255.02</v>
          </cell>
          <cell r="AI84" t="str">
            <v>Full and Open</v>
          </cell>
          <cell r="AJ84" t="str">
            <v>Full and Open -Multiple Bidders</v>
          </cell>
          <cell r="AK84">
            <v>2070255.02</v>
          </cell>
          <cell r="AL84">
            <v>2070255.02</v>
          </cell>
          <cell r="AM84" t="e">
            <v>#VALUE!</v>
          </cell>
          <cell r="AN84">
            <v>2099011.4772381629</v>
          </cell>
        </row>
        <row r="85">
          <cell r="A85">
            <v>2011</v>
          </cell>
          <cell r="B85" t="str">
            <v>000</v>
          </cell>
          <cell r="C85" t="str">
            <v>A</v>
          </cell>
          <cell r="D85" t="str">
            <v/>
          </cell>
          <cell r="E85">
            <v>90</v>
          </cell>
          <cell r="F85" t="str">
            <v/>
          </cell>
          <cell r="G85" t="str">
            <v/>
          </cell>
          <cell r="H85">
            <v>2269125.9200000004</v>
          </cell>
          <cell r="I85">
            <v>0</v>
          </cell>
          <cell r="P85">
            <v>-34830.32</v>
          </cell>
          <cell r="U85">
            <v>0</v>
          </cell>
          <cell r="W85">
            <v>2303956.2400000002</v>
          </cell>
          <cell r="AA85">
            <v>-34830.32</v>
          </cell>
          <cell r="AB85">
            <v>2303956.2400000002</v>
          </cell>
          <cell r="AC85">
            <v>0</v>
          </cell>
          <cell r="AD85">
            <v>0</v>
          </cell>
          <cell r="AE85">
            <v>0</v>
          </cell>
          <cell r="AF85">
            <v>-34830.32</v>
          </cell>
          <cell r="AG85">
            <v>1134562.9600000002</v>
          </cell>
          <cell r="AH85">
            <v>2269125.9200000004</v>
          </cell>
          <cell r="AI85" t="str">
            <v>Full and Open</v>
          </cell>
          <cell r="AJ85" t="str">
            <v>Full and Open -Multiple Bidders</v>
          </cell>
          <cell r="AK85">
            <v>2269125.9200000004</v>
          </cell>
          <cell r="AL85">
            <v>2269125.9200000004</v>
          </cell>
          <cell r="AM85" t="e">
            <v>#VALUE!</v>
          </cell>
          <cell r="AN85">
            <v>2300644.7531177131</v>
          </cell>
        </row>
        <row r="86">
          <cell r="A86">
            <v>2011</v>
          </cell>
          <cell r="B86" t="str">
            <v>000</v>
          </cell>
          <cell r="C86" t="str">
            <v>A</v>
          </cell>
          <cell r="D86" t="str">
            <v/>
          </cell>
          <cell r="E86">
            <v>124</v>
          </cell>
          <cell r="F86" t="str">
            <v/>
          </cell>
          <cell r="G86" t="str">
            <v/>
          </cell>
          <cell r="H86">
            <v>2380258.39</v>
          </cell>
          <cell r="I86">
            <v>0</v>
          </cell>
          <cell r="P86">
            <v>2380258.39</v>
          </cell>
          <cell r="AA86">
            <v>2380258.39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2380258.39</v>
          </cell>
          <cell r="AG86">
            <v>1190129.1950000001</v>
          </cell>
          <cell r="AH86">
            <v>2380258.39</v>
          </cell>
          <cell r="AI86" t="str">
            <v>Full and Open</v>
          </cell>
          <cell r="AJ86" t="str">
            <v>Full and Open -Multiple Bidders</v>
          </cell>
          <cell r="AK86">
            <v>2380258.39</v>
          </cell>
          <cell r="AL86">
            <v>2380258.39</v>
          </cell>
          <cell r="AM86" t="e">
            <v>#VALUE!</v>
          </cell>
          <cell r="AN86">
            <v>2413320.8861401198</v>
          </cell>
        </row>
        <row r="87">
          <cell r="A87">
            <v>2011</v>
          </cell>
          <cell r="B87" t="str">
            <v>000</v>
          </cell>
          <cell r="C87" t="str">
            <v>A</v>
          </cell>
          <cell r="D87" t="str">
            <v/>
          </cell>
          <cell r="E87">
            <v>62</v>
          </cell>
          <cell r="F87" t="str">
            <v/>
          </cell>
          <cell r="G87" t="str">
            <v/>
          </cell>
          <cell r="H87">
            <v>2393774.0800000001</v>
          </cell>
          <cell r="I87">
            <v>0</v>
          </cell>
          <cell r="P87">
            <v>2283800</v>
          </cell>
          <cell r="Q87">
            <v>10352.08</v>
          </cell>
          <cell r="W87">
            <v>99622</v>
          </cell>
          <cell r="AA87">
            <v>2294152.08</v>
          </cell>
          <cell r="AB87">
            <v>99622</v>
          </cell>
          <cell r="AC87">
            <v>0</v>
          </cell>
          <cell r="AD87">
            <v>0</v>
          </cell>
          <cell r="AE87">
            <v>0</v>
          </cell>
          <cell r="AF87">
            <v>2288976.04</v>
          </cell>
          <cell r="AG87">
            <v>1196887.04</v>
          </cell>
          <cell r="AH87">
            <v>2393774.0800000001</v>
          </cell>
          <cell r="AI87" t="str">
            <v>Full and Open</v>
          </cell>
          <cell r="AJ87" t="str">
            <v>Full and Open -Multiple Bidders</v>
          </cell>
          <cell r="AK87">
            <v>2393774.0800000001</v>
          </cell>
          <cell r="AL87">
            <v>2393774.0800000001</v>
          </cell>
          <cell r="AM87" t="e">
            <v>#VALUE!</v>
          </cell>
          <cell r="AN87">
            <v>2427024.3130893237</v>
          </cell>
        </row>
        <row r="88">
          <cell r="A88">
            <v>2011</v>
          </cell>
          <cell r="B88" t="str">
            <v>000</v>
          </cell>
          <cell r="C88" t="str">
            <v>A</v>
          </cell>
          <cell r="D88" t="str">
            <v/>
          </cell>
          <cell r="E88">
            <v>149</v>
          </cell>
          <cell r="F88" t="str">
            <v/>
          </cell>
          <cell r="G88" t="str">
            <v/>
          </cell>
          <cell r="H88">
            <v>2416503.16</v>
          </cell>
          <cell r="I88">
            <v>0</v>
          </cell>
          <cell r="P88">
            <v>2416503.16</v>
          </cell>
          <cell r="Q88">
            <v>0</v>
          </cell>
          <cell r="AA88">
            <v>2416503.16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2416503.16</v>
          </cell>
          <cell r="AG88">
            <v>1208251.58</v>
          </cell>
          <cell r="AH88">
            <v>2416503.16</v>
          </cell>
          <cell r="AI88" t="str">
            <v>Full and Open</v>
          </cell>
          <cell r="AJ88" t="str">
            <v>Full and Open -Multiple Bidders</v>
          </cell>
          <cell r="AK88">
            <v>2416503.16</v>
          </cell>
          <cell r="AL88">
            <v>2416503.16</v>
          </cell>
          <cell r="AM88" t="e">
            <v>#VALUE!</v>
          </cell>
          <cell r="AN88">
            <v>2450069.1067626486</v>
          </cell>
        </row>
        <row r="89">
          <cell r="A89">
            <v>2011</v>
          </cell>
          <cell r="B89" t="str">
            <v>000</v>
          </cell>
          <cell r="C89" t="str">
            <v>A</v>
          </cell>
          <cell r="D89" t="str">
            <v/>
          </cell>
          <cell r="E89">
            <v>74</v>
          </cell>
          <cell r="F89" t="str">
            <v/>
          </cell>
          <cell r="G89" t="str">
            <v/>
          </cell>
          <cell r="H89">
            <v>2519970</v>
          </cell>
          <cell r="I89">
            <v>0</v>
          </cell>
          <cell r="Q89">
            <v>120835</v>
          </cell>
          <cell r="W89">
            <v>2399135</v>
          </cell>
          <cell r="AA89">
            <v>120835</v>
          </cell>
          <cell r="AB89">
            <v>2399135</v>
          </cell>
          <cell r="AC89">
            <v>0</v>
          </cell>
          <cell r="AD89">
            <v>0</v>
          </cell>
          <cell r="AE89">
            <v>0</v>
          </cell>
          <cell r="AF89">
            <v>60417.5</v>
          </cell>
          <cell r="AG89">
            <v>1259985</v>
          </cell>
          <cell r="AH89">
            <v>2519970</v>
          </cell>
          <cell r="AI89" t="str">
            <v>Full and Open</v>
          </cell>
          <cell r="AJ89" t="str">
            <v>Full and Open -Multiple Bidders</v>
          </cell>
          <cell r="AK89">
            <v>2519970</v>
          </cell>
          <cell r="AL89">
            <v>2519970</v>
          </cell>
          <cell r="AM89" t="e">
            <v>#VALUE!</v>
          </cell>
          <cell r="AN89">
            <v>2554973.1319071278</v>
          </cell>
        </row>
        <row r="90">
          <cell r="A90">
            <v>2011</v>
          </cell>
          <cell r="B90" t="str">
            <v>000</v>
          </cell>
          <cell r="C90" t="str">
            <v>A</v>
          </cell>
          <cell r="D90" t="str">
            <v/>
          </cell>
          <cell r="E90">
            <v>113</v>
          </cell>
          <cell r="F90" t="str">
            <v/>
          </cell>
          <cell r="G90" t="str">
            <v/>
          </cell>
          <cell r="H90">
            <v>2528973.21</v>
          </cell>
          <cell r="I90">
            <v>0</v>
          </cell>
          <cell r="P90">
            <v>941935.21</v>
          </cell>
          <cell r="U90">
            <v>0</v>
          </cell>
          <cell r="W90">
            <v>1587038</v>
          </cell>
          <cell r="AA90">
            <v>941935.21</v>
          </cell>
          <cell r="AB90">
            <v>1587038</v>
          </cell>
          <cell r="AC90">
            <v>0</v>
          </cell>
          <cell r="AD90">
            <v>0</v>
          </cell>
          <cell r="AE90">
            <v>0</v>
          </cell>
          <cell r="AF90">
            <v>941935.21</v>
          </cell>
          <cell r="AG90">
            <v>1264486.605</v>
          </cell>
          <cell r="AH90">
            <v>2528973.21</v>
          </cell>
          <cell r="AI90" t="str">
            <v>Full and Open</v>
          </cell>
          <cell r="AJ90" t="str">
            <v>Full and Open -Multiple Bidders</v>
          </cell>
          <cell r="AK90">
            <v>2528973.21</v>
          </cell>
          <cell r="AL90">
            <v>2528973.21</v>
          </cell>
          <cell r="AM90" t="e">
            <v>#VALUE!</v>
          </cell>
          <cell r="AN90">
            <v>2564101.3991686101</v>
          </cell>
        </row>
        <row r="91">
          <cell r="A91">
            <v>2011</v>
          </cell>
          <cell r="B91" t="str">
            <v>000</v>
          </cell>
          <cell r="C91" t="str">
            <v>A</v>
          </cell>
          <cell r="D91" t="str">
            <v/>
          </cell>
          <cell r="E91">
            <v>91</v>
          </cell>
          <cell r="F91" t="str">
            <v/>
          </cell>
          <cell r="G91" t="str">
            <v/>
          </cell>
          <cell r="H91">
            <v>2721886.7600000002</v>
          </cell>
          <cell r="I91">
            <v>0</v>
          </cell>
          <cell r="P91">
            <v>2721886.7600000002</v>
          </cell>
          <cell r="AA91">
            <v>2721886.7600000002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2721886.7600000002</v>
          </cell>
          <cell r="AG91">
            <v>1360943.3800000001</v>
          </cell>
          <cell r="AH91">
            <v>2721886.7600000002</v>
          </cell>
          <cell r="AI91" t="str">
            <v>Full and Open</v>
          </cell>
          <cell r="AJ91" t="str">
            <v>Full and Open -Multiple Bidders</v>
          </cell>
          <cell r="AK91">
            <v>2721886.7600000002</v>
          </cell>
          <cell r="AL91">
            <v>2721886.7600000002</v>
          </cell>
          <cell r="AM91" t="e">
            <v>#VALUE!</v>
          </cell>
          <cell r="AN91">
            <v>2759694.5756869111</v>
          </cell>
        </row>
        <row r="92">
          <cell r="A92">
            <v>2011</v>
          </cell>
          <cell r="B92" t="str">
            <v>000</v>
          </cell>
          <cell r="C92" t="str">
            <v>A</v>
          </cell>
          <cell r="D92" t="str">
            <v/>
          </cell>
          <cell r="E92">
            <v>109</v>
          </cell>
          <cell r="F92" t="str">
            <v/>
          </cell>
          <cell r="G92" t="str">
            <v/>
          </cell>
          <cell r="H92">
            <v>2980708.6900000004</v>
          </cell>
          <cell r="I92">
            <v>0</v>
          </cell>
          <cell r="P92">
            <v>2980708.6900000004</v>
          </cell>
          <cell r="AA92">
            <v>2980708.6900000004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2980708.6900000004</v>
          </cell>
          <cell r="AG92">
            <v>1490354.3450000002</v>
          </cell>
          <cell r="AH92">
            <v>2980708.6900000004</v>
          </cell>
          <cell r="AI92" t="str">
            <v>Full and Open</v>
          </cell>
          <cell r="AJ92" t="str">
            <v>Full and Open -Multiple Bidders</v>
          </cell>
          <cell r="AK92">
            <v>2980708.6900000004</v>
          </cell>
          <cell r="AL92">
            <v>2980708.6900000004</v>
          </cell>
          <cell r="AM92" t="e">
            <v>#VALUE!</v>
          </cell>
          <cell r="AN92">
            <v>3022111.6191828051</v>
          </cell>
        </row>
        <row r="93">
          <cell r="A93">
            <v>2011</v>
          </cell>
          <cell r="B93" t="str">
            <v>000</v>
          </cell>
          <cell r="C93" t="str">
            <v>A</v>
          </cell>
          <cell r="D93" t="str">
            <v/>
          </cell>
          <cell r="E93">
            <v>253</v>
          </cell>
          <cell r="F93" t="str">
            <v/>
          </cell>
          <cell r="G93" t="str">
            <v/>
          </cell>
          <cell r="H93">
            <v>3052346</v>
          </cell>
          <cell r="I93">
            <v>0</v>
          </cell>
          <cell r="K93">
            <v>0</v>
          </cell>
          <cell r="U93">
            <v>2224515</v>
          </cell>
          <cell r="W93">
            <v>827831</v>
          </cell>
          <cell r="AA93">
            <v>0</v>
          </cell>
          <cell r="AB93">
            <v>3052346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413915.5</v>
          </cell>
          <cell r="AH93">
            <v>3052346</v>
          </cell>
          <cell r="AI93" t="str">
            <v>Full and Open</v>
          </cell>
          <cell r="AJ93" t="str">
            <v>Full and Open -Multiple Bidders</v>
          </cell>
          <cell r="AK93">
            <v>3052346</v>
          </cell>
          <cell r="AL93">
            <v>3052346</v>
          </cell>
          <cell r="AM93" t="e">
            <v>#VALUE!</v>
          </cell>
          <cell r="AN93">
            <v>3094743.99269999</v>
          </cell>
        </row>
        <row r="94">
          <cell r="A94">
            <v>2011</v>
          </cell>
          <cell r="B94" t="str">
            <v>000</v>
          </cell>
          <cell r="C94" t="str">
            <v>A</v>
          </cell>
          <cell r="D94" t="str">
            <v/>
          </cell>
          <cell r="E94">
            <v>52</v>
          </cell>
          <cell r="F94" t="str">
            <v/>
          </cell>
          <cell r="G94" t="str">
            <v/>
          </cell>
          <cell r="H94">
            <v>3481714</v>
          </cell>
          <cell r="I94">
            <v>0</v>
          </cell>
          <cell r="P94">
            <v>662928</v>
          </cell>
          <cell r="Q94">
            <v>210160</v>
          </cell>
          <cell r="W94">
            <v>2608626</v>
          </cell>
          <cell r="AA94">
            <v>873088</v>
          </cell>
          <cell r="AB94">
            <v>2608626</v>
          </cell>
          <cell r="AC94">
            <v>0</v>
          </cell>
          <cell r="AD94">
            <v>0</v>
          </cell>
          <cell r="AE94">
            <v>0</v>
          </cell>
          <cell r="AF94">
            <v>768008</v>
          </cell>
          <cell r="AG94">
            <v>1740857</v>
          </cell>
          <cell r="AH94">
            <v>3481714</v>
          </cell>
          <cell r="AI94" t="str">
            <v>Full and Open</v>
          </cell>
          <cell r="AJ94" t="str">
            <v>Full and Open -Multiple Bidders</v>
          </cell>
          <cell r="AK94">
            <v>3481714</v>
          </cell>
          <cell r="AL94">
            <v>3481714</v>
          </cell>
          <cell r="AM94" t="e">
            <v>#VALUE!</v>
          </cell>
          <cell r="AN94">
            <v>3530076.0417722804</v>
          </cell>
        </row>
        <row r="95">
          <cell r="A95">
            <v>2011</v>
          </cell>
          <cell r="B95" t="str">
            <v>000</v>
          </cell>
          <cell r="C95" t="str">
            <v>A</v>
          </cell>
          <cell r="D95" t="str">
            <v/>
          </cell>
          <cell r="E95">
            <v>142</v>
          </cell>
          <cell r="F95" t="str">
            <v/>
          </cell>
          <cell r="G95" t="str">
            <v/>
          </cell>
          <cell r="H95">
            <v>3769635.9699999997</v>
          </cell>
          <cell r="I95">
            <v>0</v>
          </cell>
          <cell r="P95">
            <v>2708654</v>
          </cell>
          <cell r="U95">
            <v>120000</v>
          </cell>
          <cell r="V95">
            <v>0</v>
          </cell>
          <cell r="W95">
            <v>940981.97</v>
          </cell>
          <cell r="AA95">
            <v>2708654</v>
          </cell>
          <cell r="AB95">
            <v>1060981.97</v>
          </cell>
          <cell r="AC95">
            <v>0</v>
          </cell>
          <cell r="AD95">
            <v>0</v>
          </cell>
          <cell r="AE95">
            <v>0</v>
          </cell>
          <cell r="AF95">
            <v>2708654</v>
          </cell>
          <cell r="AG95">
            <v>1824817.9849999999</v>
          </cell>
          <cell r="AH95">
            <v>3769635.9699999997</v>
          </cell>
          <cell r="AI95" t="str">
            <v>Full and Open</v>
          </cell>
          <cell r="AJ95" t="str">
            <v>Full and Open -Multiple Bidders</v>
          </cell>
          <cell r="AK95">
            <v>3769635.9699999997</v>
          </cell>
          <cell r="AL95">
            <v>3769635.9699999997</v>
          </cell>
          <cell r="AM95" t="e">
            <v>#VALUE!</v>
          </cell>
          <cell r="AN95">
            <v>3821997.3334685187</v>
          </cell>
        </row>
        <row r="96">
          <cell r="A96">
            <v>2011</v>
          </cell>
          <cell r="B96" t="str">
            <v>000</v>
          </cell>
          <cell r="C96" t="str">
            <v>A</v>
          </cell>
          <cell r="D96" t="str">
            <v/>
          </cell>
          <cell r="E96">
            <v>57</v>
          </cell>
          <cell r="F96" t="str">
            <v/>
          </cell>
          <cell r="G96" t="str">
            <v/>
          </cell>
          <cell r="H96">
            <v>4148331.9000000008</v>
          </cell>
          <cell r="I96">
            <v>0</v>
          </cell>
          <cell r="P96">
            <v>4148331.9000000008</v>
          </cell>
          <cell r="AA96">
            <v>4148331.9000000008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4148331.9000000008</v>
          </cell>
          <cell r="AG96">
            <v>2074165.9500000004</v>
          </cell>
          <cell r="AH96">
            <v>4148331.9000000008</v>
          </cell>
          <cell r="AI96" t="str">
            <v>Full and Open</v>
          </cell>
          <cell r="AJ96" t="str">
            <v>Full and Open -Multiple Bidders</v>
          </cell>
          <cell r="AK96">
            <v>4148331.9000000008</v>
          </cell>
          <cell r="AL96">
            <v>4148331.9000000008</v>
          </cell>
          <cell r="AM96" t="e">
            <v>#VALUE!</v>
          </cell>
          <cell r="AN96">
            <v>4205953.4624353657</v>
          </cell>
        </row>
        <row r="97">
          <cell r="A97">
            <v>2011</v>
          </cell>
          <cell r="B97" t="str">
            <v>000</v>
          </cell>
          <cell r="C97" t="str">
            <v>A</v>
          </cell>
          <cell r="D97" t="str">
            <v/>
          </cell>
          <cell r="E97">
            <v>576</v>
          </cell>
          <cell r="F97" t="str">
            <v/>
          </cell>
          <cell r="G97" t="str">
            <v/>
          </cell>
          <cell r="H97">
            <v>4282929</v>
          </cell>
          <cell r="I97">
            <v>0</v>
          </cell>
          <cell r="U97">
            <v>4282929</v>
          </cell>
          <cell r="AA97">
            <v>0</v>
          </cell>
          <cell r="AB97">
            <v>4282929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4282929</v>
          </cell>
          <cell r="AI97" t="str">
            <v>Full and Open</v>
          </cell>
          <cell r="AJ97" t="str">
            <v>Full and Open -Multiple Bidders</v>
          </cell>
          <cell r="AK97">
            <v>4282929</v>
          </cell>
          <cell r="AL97">
            <v>4282929</v>
          </cell>
          <cell r="AM97" t="e">
            <v>#VALUE!</v>
          </cell>
          <cell r="AN97">
            <v>4342420.1561391056</v>
          </cell>
        </row>
        <row r="98">
          <cell r="A98">
            <v>2011</v>
          </cell>
          <cell r="B98" t="str">
            <v>000</v>
          </cell>
          <cell r="C98" t="str">
            <v>A</v>
          </cell>
          <cell r="D98" t="str">
            <v/>
          </cell>
          <cell r="E98">
            <v>58</v>
          </cell>
          <cell r="F98" t="str">
            <v/>
          </cell>
          <cell r="G98" t="str">
            <v/>
          </cell>
          <cell r="H98">
            <v>4464609.12</v>
          </cell>
          <cell r="I98">
            <v>0</v>
          </cell>
          <cell r="P98">
            <v>1911272.12</v>
          </cell>
          <cell r="U98">
            <v>2553337</v>
          </cell>
          <cell r="W98">
            <v>0</v>
          </cell>
          <cell r="AA98">
            <v>1911272.12</v>
          </cell>
          <cell r="AB98">
            <v>2553337</v>
          </cell>
          <cell r="AC98">
            <v>0</v>
          </cell>
          <cell r="AD98">
            <v>0</v>
          </cell>
          <cell r="AE98">
            <v>0</v>
          </cell>
          <cell r="AF98">
            <v>1911272.12</v>
          </cell>
          <cell r="AG98">
            <v>955636.06</v>
          </cell>
          <cell r="AH98">
            <v>4464609.12</v>
          </cell>
          <cell r="AI98" t="str">
            <v>Full and Open</v>
          </cell>
          <cell r="AJ98" t="str">
            <v>Full and Open -Multiple Bidders</v>
          </cell>
          <cell r="AK98">
            <v>4464609.12</v>
          </cell>
          <cell r="AL98">
            <v>4464609.12</v>
          </cell>
          <cell r="AM98" t="e">
            <v>#VALUE!</v>
          </cell>
          <cell r="AN98">
            <v>4526623.8669775929</v>
          </cell>
        </row>
        <row r="99">
          <cell r="A99">
            <v>2011</v>
          </cell>
          <cell r="B99" t="str">
            <v>000</v>
          </cell>
          <cell r="C99" t="str">
            <v>A</v>
          </cell>
          <cell r="D99" t="str">
            <v/>
          </cell>
          <cell r="E99">
            <v>123</v>
          </cell>
          <cell r="F99" t="str">
            <v/>
          </cell>
          <cell r="G99" t="str">
            <v/>
          </cell>
          <cell r="H99">
            <v>4464995</v>
          </cell>
          <cell r="I99">
            <v>0</v>
          </cell>
          <cell r="P99">
            <v>0</v>
          </cell>
          <cell r="W99">
            <v>4464995</v>
          </cell>
          <cell r="AA99">
            <v>0</v>
          </cell>
          <cell r="AB99">
            <v>4464995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2232497.5</v>
          </cell>
          <cell r="AH99">
            <v>4464995</v>
          </cell>
          <cell r="AI99" t="str">
            <v>Full and Open</v>
          </cell>
          <cell r="AJ99" t="str">
            <v>Full and Open -Multiple Bidders</v>
          </cell>
          <cell r="AK99">
            <v>4464995</v>
          </cell>
          <cell r="AL99">
            <v>4464995</v>
          </cell>
          <cell r="AM99" t="e">
            <v>#VALUE!</v>
          </cell>
          <cell r="AN99">
            <v>4527015.1069654264</v>
          </cell>
        </row>
        <row r="100">
          <cell r="A100">
            <v>2011</v>
          </cell>
          <cell r="B100" t="str">
            <v>000</v>
          </cell>
          <cell r="C100" t="str">
            <v>A</v>
          </cell>
          <cell r="D100" t="str">
            <v/>
          </cell>
          <cell r="E100">
            <v>83</v>
          </cell>
          <cell r="F100" t="str">
            <v/>
          </cell>
          <cell r="G100" t="str">
            <v/>
          </cell>
          <cell r="H100">
            <v>4642417.0600000005</v>
          </cell>
          <cell r="I100">
            <v>0</v>
          </cell>
          <cell r="P100">
            <v>4642417.0600000005</v>
          </cell>
          <cell r="AA100">
            <v>4642417.0600000005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4642417.0600000005</v>
          </cell>
          <cell r="AG100">
            <v>2321208.5300000003</v>
          </cell>
          <cell r="AH100">
            <v>4642417.0600000005</v>
          </cell>
          <cell r="AI100" t="str">
            <v>Full and Open</v>
          </cell>
          <cell r="AJ100" t="str">
            <v>Full and Open -Multiple Bidders</v>
          </cell>
          <cell r="AK100">
            <v>4642417.0600000005</v>
          </cell>
          <cell r="AL100">
            <v>4642417.0600000005</v>
          </cell>
          <cell r="AM100" t="e">
            <v>#VALUE!</v>
          </cell>
          <cell r="AN100">
            <v>4706901.6120855734</v>
          </cell>
        </row>
        <row r="101">
          <cell r="A101">
            <v>2011</v>
          </cell>
          <cell r="B101" t="str">
            <v>000</v>
          </cell>
          <cell r="C101" t="str">
            <v>A</v>
          </cell>
          <cell r="D101" t="str">
            <v/>
          </cell>
          <cell r="E101">
            <v>46</v>
          </cell>
          <cell r="F101" t="str">
            <v/>
          </cell>
          <cell r="G101" t="str">
            <v/>
          </cell>
          <cell r="H101">
            <v>4710571.6799999988</v>
          </cell>
          <cell r="I101">
            <v>0</v>
          </cell>
          <cell r="P101">
            <v>4710571.6799999988</v>
          </cell>
          <cell r="AA101">
            <v>4710571.6799999988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4710571.6799999988</v>
          </cell>
          <cell r="AG101">
            <v>2355285.8399999994</v>
          </cell>
          <cell r="AH101">
            <v>4710571.6799999988</v>
          </cell>
          <cell r="AI101" t="str">
            <v>Full and Open</v>
          </cell>
          <cell r="AJ101" t="str">
            <v>Full and Open -Multiple Bidders</v>
          </cell>
          <cell r="AK101">
            <v>4710571.6799999988</v>
          </cell>
          <cell r="AL101">
            <v>4710571.6799999988</v>
          </cell>
          <cell r="AM101" t="e">
            <v>#VALUE!</v>
          </cell>
          <cell r="AN101">
            <v>4776002.9200040549</v>
          </cell>
        </row>
        <row r="102">
          <cell r="A102">
            <v>2011</v>
          </cell>
          <cell r="B102" t="str">
            <v>000</v>
          </cell>
          <cell r="C102" t="str">
            <v>A</v>
          </cell>
          <cell r="D102" t="str">
            <v/>
          </cell>
          <cell r="E102">
            <v>73</v>
          </cell>
          <cell r="F102" t="str">
            <v/>
          </cell>
          <cell r="G102" t="str">
            <v/>
          </cell>
          <cell r="H102">
            <v>5528973</v>
          </cell>
          <cell r="I102">
            <v>0</v>
          </cell>
          <cell r="P102">
            <v>5401765</v>
          </cell>
          <cell r="U102">
            <v>72448</v>
          </cell>
          <cell r="W102">
            <v>54760</v>
          </cell>
          <cell r="AA102">
            <v>5401765</v>
          </cell>
          <cell r="AB102">
            <v>127208</v>
          </cell>
          <cell r="AC102">
            <v>0</v>
          </cell>
          <cell r="AD102">
            <v>0</v>
          </cell>
          <cell r="AE102">
            <v>0</v>
          </cell>
          <cell r="AF102">
            <v>5401765</v>
          </cell>
          <cell r="AG102">
            <v>2728262.5</v>
          </cell>
          <cell r="AH102">
            <v>5528973</v>
          </cell>
          <cell r="AI102" t="str">
            <v>Full and Open</v>
          </cell>
          <cell r="AJ102" t="str">
            <v>Full and Open -Multiple Bidders</v>
          </cell>
          <cell r="AK102">
            <v>5528973</v>
          </cell>
          <cell r="AL102">
            <v>5528973</v>
          </cell>
          <cell r="AM102" t="e">
            <v>#VALUE!</v>
          </cell>
          <cell r="AN102">
            <v>5605772.0774612194</v>
          </cell>
        </row>
        <row r="103">
          <cell r="A103">
            <v>2011</v>
          </cell>
          <cell r="B103" t="str">
            <v>000</v>
          </cell>
          <cell r="C103" t="str">
            <v>A</v>
          </cell>
          <cell r="D103" t="str">
            <v/>
          </cell>
          <cell r="E103">
            <v>201</v>
          </cell>
          <cell r="F103" t="str">
            <v/>
          </cell>
          <cell r="G103" t="str">
            <v/>
          </cell>
          <cell r="H103">
            <v>6349385.1099999994</v>
          </cell>
          <cell r="I103">
            <v>0</v>
          </cell>
          <cell r="P103">
            <v>3212940.11</v>
          </cell>
          <cell r="S103">
            <v>3131759</v>
          </cell>
          <cell r="T103">
            <v>4686</v>
          </cell>
          <cell r="U103">
            <v>0</v>
          </cell>
          <cell r="AA103">
            <v>6344699.1099999994</v>
          </cell>
          <cell r="AB103">
            <v>0</v>
          </cell>
          <cell r="AC103">
            <v>0</v>
          </cell>
          <cell r="AD103">
            <v>4686</v>
          </cell>
          <cell r="AE103">
            <v>0</v>
          </cell>
          <cell r="AF103">
            <v>6344699.1099999994</v>
          </cell>
          <cell r="AG103">
            <v>4742915.0549999997</v>
          </cell>
          <cell r="AH103">
            <v>6349385.1099999994</v>
          </cell>
          <cell r="AI103" t="str">
            <v>Full and Open</v>
          </cell>
          <cell r="AJ103" t="str">
            <v>Full and Open -Multiple Bidders</v>
          </cell>
          <cell r="AK103">
            <v>6349385.1099999994</v>
          </cell>
          <cell r="AL103">
            <v>6349385.1099999994</v>
          </cell>
          <cell r="AM103" t="e">
            <v>#VALUE!</v>
          </cell>
          <cell r="AN103">
            <v>6437579.9553888263</v>
          </cell>
        </row>
        <row r="104">
          <cell r="A104">
            <v>2011</v>
          </cell>
          <cell r="B104" t="str">
            <v>000</v>
          </cell>
          <cell r="C104" t="str">
            <v>A</v>
          </cell>
          <cell r="D104" t="str">
            <v/>
          </cell>
          <cell r="E104">
            <v>38</v>
          </cell>
          <cell r="F104" t="str">
            <v/>
          </cell>
          <cell r="G104" t="str">
            <v/>
          </cell>
          <cell r="H104">
            <v>6674566.7800000003</v>
          </cell>
          <cell r="I104">
            <v>0</v>
          </cell>
          <cell r="P104">
            <v>5529566.7800000003</v>
          </cell>
          <cell r="W104">
            <v>1145000</v>
          </cell>
          <cell r="AA104">
            <v>5529566.7800000003</v>
          </cell>
          <cell r="AB104">
            <v>1145000</v>
          </cell>
          <cell r="AC104">
            <v>0</v>
          </cell>
          <cell r="AD104">
            <v>0</v>
          </cell>
          <cell r="AE104">
            <v>0</v>
          </cell>
          <cell r="AF104">
            <v>5529566.7800000003</v>
          </cell>
          <cell r="AG104">
            <v>3337283.39</v>
          </cell>
          <cell r="AH104">
            <v>6674566.7800000003</v>
          </cell>
          <cell r="AI104" t="str">
            <v>Full and Open</v>
          </cell>
          <cell r="AJ104" t="str">
            <v>Full and Open -Multiple Bidders</v>
          </cell>
          <cell r="AK104">
            <v>6674566.7800000003</v>
          </cell>
          <cell r="AL104">
            <v>6674566.7800000003</v>
          </cell>
          <cell r="AM104" t="e">
            <v>#VALUE!</v>
          </cell>
          <cell r="AN104">
            <v>6767278.4953867998</v>
          </cell>
        </row>
        <row r="105">
          <cell r="A105">
            <v>2011</v>
          </cell>
          <cell r="B105" t="str">
            <v>000</v>
          </cell>
          <cell r="C105" t="str">
            <v>A</v>
          </cell>
          <cell r="D105" t="str">
            <v/>
          </cell>
          <cell r="E105">
            <v>111</v>
          </cell>
          <cell r="F105" t="str">
            <v/>
          </cell>
          <cell r="G105" t="str">
            <v/>
          </cell>
          <cell r="H105">
            <v>6805638.5899999877</v>
          </cell>
          <cell r="I105">
            <v>0</v>
          </cell>
          <cell r="P105">
            <v>6805638.5899999877</v>
          </cell>
          <cell r="AA105">
            <v>6805638.5899999877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6805638.5899999877</v>
          </cell>
          <cell r="AG105">
            <v>3402819.2949999939</v>
          </cell>
          <cell r="AH105">
            <v>6805638.5899999877</v>
          </cell>
          <cell r="AI105" t="str">
            <v>Full and Open</v>
          </cell>
          <cell r="AJ105" t="str">
            <v>Full and Open -Multiple Bidders</v>
          </cell>
          <cell r="AK105">
            <v>6805638.5899999877</v>
          </cell>
          <cell r="AL105">
            <v>6805638.5899999877</v>
          </cell>
          <cell r="AM105" t="e">
            <v>#VALUE!</v>
          </cell>
          <cell r="AN105">
            <v>6900170.9317651708</v>
          </cell>
        </row>
        <row r="106">
          <cell r="A106">
            <v>2011</v>
          </cell>
          <cell r="B106" t="str">
            <v>000</v>
          </cell>
          <cell r="C106" t="str">
            <v>A</v>
          </cell>
          <cell r="D106" t="str">
            <v/>
          </cell>
          <cell r="E106">
            <v>129</v>
          </cell>
          <cell r="F106" t="str">
            <v/>
          </cell>
          <cell r="G106" t="str">
            <v/>
          </cell>
          <cell r="H106">
            <v>7006485.4900000002</v>
          </cell>
          <cell r="I106">
            <v>0</v>
          </cell>
          <cell r="Q106">
            <v>7018330.6600000001</v>
          </cell>
          <cell r="W106">
            <v>-11845.17</v>
          </cell>
          <cell r="AA106">
            <v>7018330.6600000001</v>
          </cell>
          <cell r="AB106">
            <v>-11845.17</v>
          </cell>
          <cell r="AC106">
            <v>0</v>
          </cell>
          <cell r="AD106">
            <v>0</v>
          </cell>
          <cell r="AE106">
            <v>0</v>
          </cell>
          <cell r="AF106">
            <v>3509165.33</v>
          </cell>
          <cell r="AG106">
            <v>3503242.7450000001</v>
          </cell>
          <cell r="AH106">
            <v>7006485.4900000002</v>
          </cell>
          <cell r="AI106" t="str">
            <v>Full and Open</v>
          </cell>
          <cell r="AJ106" t="str">
            <v>Full and Open -Multiple Bidders</v>
          </cell>
          <cell r="AK106">
            <v>7006485.4900000002</v>
          </cell>
          <cell r="AL106">
            <v>7006485.4900000002</v>
          </cell>
          <cell r="AM106" t="e">
            <v>#VALUE!</v>
          </cell>
          <cell r="AN106">
            <v>7103807.6548717432</v>
          </cell>
        </row>
        <row r="107">
          <cell r="A107">
            <v>2011</v>
          </cell>
          <cell r="B107" t="str">
            <v>000</v>
          </cell>
          <cell r="C107" t="str">
            <v>A</v>
          </cell>
          <cell r="D107" t="str">
            <v/>
          </cell>
          <cell r="E107">
            <v>55</v>
          </cell>
          <cell r="F107" t="str">
            <v/>
          </cell>
          <cell r="G107" t="str">
            <v/>
          </cell>
          <cell r="H107">
            <v>7225712.3700000001</v>
          </cell>
          <cell r="I107">
            <v>0</v>
          </cell>
          <cell r="P107">
            <v>7220142.3700000001</v>
          </cell>
          <cell r="Q107">
            <v>5570</v>
          </cell>
          <cell r="W107">
            <v>0</v>
          </cell>
          <cell r="AA107">
            <v>7225712.3700000001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7222927.3700000001</v>
          </cell>
          <cell r="AG107">
            <v>3612856.1850000001</v>
          </cell>
          <cell r="AH107">
            <v>7225712.3700000001</v>
          </cell>
          <cell r="AI107" t="str">
            <v>Full and Open</v>
          </cell>
          <cell r="AJ107" t="str">
            <v>Full and Open -Multiple Bidders</v>
          </cell>
          <cell r="AK107">
            <v>7225712.3700000001</v>
          </cell>
          <cell r="AL107">
            <v>7225712.3700000001</v>
          </cell>
          <cell r="AM107" t="e">
            <v>#VALUE!</v>
          </cell>
          <cell r="AN107">
            <v>7326079.661360641</v>
          </cell>
        </row>
        <row r="108">
          <cell r="A108">
            <v>2011</v>
          </cell>
          <cell r="B108" t="str">
            <v>000</v>
          </cell>
          <cell r="C108" t="str">
            <v>A</v>
          </cell>
          <cell r="D108" t="str">
            <v/>
          </cell>
          <cell r="E108">
            <v>82</v>
          </cell>
          <cell r="F108" t="str">
            <v/>
          </cell>
          <cell r="G108" t="str">
            <v/>
          </cell>
          <cell r="H108">
            <v>7793639.8600000003</v>
          </cell>
          <cell r="I108">
            <v>0</v>
          </cell>
          <cell r="P108">
            <v>7559708.8600000003</v>
          </cell>
          <cell r="W108">
            <v>233931</v>
          </cell>
          <cell r="AA108">
            <v>7559708.8600000003</v>
          </cell>
          <cell r="AB108">
            <v>233931</v>
          </cell>
          <cell r="AC108">
            <v>0</v>
          </cell>
          <cell r="AD108">
            <v>0</v>
          </cell>
          <cell r="AE108">
            <v>0</v>
          </cell>
          <cell r="AF108">
            <v>7559708.8600000003</v>
          </cell>
          <cell r="AG108">
            <v>3896819.93</v>
          </cell>
          <cell r="AH108">
            <v>7793639.8600000003</v>
          </cell>
          <cell r="AI108" t="str">
            <v>Full and Open</v>
          </cell>
          <cell r="AJ108" t="str">
            <v>Full and Open -Multiple Bidders</v>
          </cell>
          <cell r="AK108">
            <v>7793639.8600000003</v>
          </cell>
          <cell r="AL108">
            <v>7793639.8600000003</v>
          </cell>
          <cell r="AM108" t="e">
            <v>#VALUE!</v>
          </cell>
          <cell r="AN108">
            <v>7901895.8329108795</v>
          </cell>
        </row>
        <row r="109">
          <cell r="A109">
            <v>2011</v>
          </cell>
          <cell r="B109" t="str">
            <v>000</v>
          </cell>
          <cell r="C109" t="str">
            <v>A</v>
          </cell>
          <cell r="D109" t="str">
            <v/>
          </cell>
          <cell r="E109">
            <v>60</v>
          </cell>
          <cell r="F109" t="str">
            <v/>
          </cell>
          <cell r="G109" t="str">
            <v/>
          </cell>
          <cell r="H109">
            <v>7827964.1500000004</v>
          </cell>
          <cell r="I109">
            <v>0</v>
          </cell>
          <cell r="P109">
            <v>-1092035.8499999987</v>
          </cell>
          <cell r="T109">
            <v>0</v>
          </cell>
          <cell r="W109">
            <v>8920000</v>
          </cell>
          <cell r="AA109">
            <v>-1092035.8499999987</v>
          </cell>
          <cell r="AB109">
            <v>8920000</v>
          </cell>
          <cell r="AC109">
            <v>0</v>
          </cell>
          <cell r="AD109">
            <v>0</v>
          </cell>
          <cell r="AE109">
            <v>0</v>
          </cell>
          <cell r="AF109">
            <v>-1092035.8499999987</v>
          </cell>
          <cell r="AG109">
            <v>3913982.0750000007</v>
          </cell>
          <cell r="AH109">
            <v>7827964.1500000013</v>
          </cell>
          <cell r="AI109" t="str">
            <v>Full and Open</v>
          </cell>
          <cell r="AJ109" t="str">
            <v>Full and Open -Multiple Bidders</v>
          </cell>
          <cell r="AK109">
            <v>7827964.1500000004</v>
          </cell>
          <cell r="AL109">
            <v>7827964.1500000004</v>
          </cell>
          <cell r="AM109" t="e">
            <v>#VALUE!</v>
          </cell>
          <cell r="AN109">
            <v>7936696.8974956917</v>
          </cell>
        </row>
        <row r="110">
          <cell r="A110">
            <v>2011</v>
          </cell>
          <cell r="B110" t="str">
            <v>000</v>
          </cell>
          <cell r="C110" t="str">
            <v>A</v>
          </cell>
          <cell r="D110" t="str">
            <v/>
          </cell>
          <cell r="E110">
            <v>197</v>
          </cell>
          <cell r="F110" t="str">
            <v/>
          </cell>
          <cell r="G110" t="str">
            <v/>
          </cell>
          <cell r="H110">
            <v>7973858</v>
          </cell>
          <cell r="I110">
            <v>0</v>
          </cell>
          <cell r="L110">
            <v>7973858</v>
          </cell>
          <cell r="AA110">
            <v>0</v>
          </cell>
          <cell r="AB110">
            <v>0</v>
          </cell>
          <cell r="AC110">
            <v>7973858</v>
          </cell>
          <cell r="AD110">
            <v>0</v>
          </cell>
          <cell r="AE110">
            <v>0</v>
          </cell>
          <cell r="AF110">
            <v>3986929</v>
          </cell>
          <cell r="AG110">
            <v>3986929</v>
          </cell>
          <cell r="AH110">
            <v>7973858</v>
          </cell>
          <cell r="AI110" t="str">
            <v>Full and Open</v>
          </cell>
          <cell r="AJ110" t="str">
            <v>Full and Open -Multiple Bidders</v>
          </cell>
          <cell r="AK110">
            <v>7973858</v>
          </cell>
          <cell r="AL110">
            <v>7973858</v>
          </cell>
          <cell r="AM110" t="e">
            <v>#VALUE!</v>
          </cell>
          <cell r="AN110">
            <v>8084617.2564128563</v>
          </cell>
        </row>
        <row r="111">
          <cell r="A111">
            <v>2011</v>
          </cell>
          <cell r="B111" t="str">
            <v>000</v>
          </cell>
          <cell r="C111" t="str">
            <v>A</v>
          </cell>
          <cell r="D111" t="str">
            <v/>
          </cell>
          <cell r="E111">
            <v>56</v>
          </cell>
          <cell r="F111" t="str">
            <v/>
          </cell>
          <cell r="G111" t="str">
            <v/>
          </cell>
          <cell r="H111">
            <v>9066298.75</v>
          </cell>
          <cell r="I111">
            <v>0</v>
          </cell>
          <cell r="P111">
            <v>9043618.75</v>
          </cell>
          <cell r="U111">
            <v>22680</v>
          </cell>
          <cell r="AA111">
            <v>9043618.75</v>
          </cell>
          <cell r="AB111">
            <v>22680</v>
          </cell>
          <cell r="AC111">
            <v>0</v>
          </cell>
          <cell r="AD111">
            <v>0</v>
          </cell>
          <cell r="AE111">
            <v>0</v>
          </cell>
          <cell r="AF111">
            <v>9043618.75</v>
          </cell>
          <cell r="AG111">
            <v>4521809.375</v>
          </cell>
          <cell r="AH111">
            <v>9066298.75</v>
          </cell>
          <cell r="AI111" t="str">
            <v>Full and Open</v>
          </cell>
          <cell r="AJ111" t="str">
            <v>Full and Open -Multiple Bidders</v>
          </cell>
          <cell r="AK111">
            <v>9066298.75</v>
          </cell>
          <cell r="AL111">
            <v>9066298.75</v>
          </cell>
          <cell r="AM111" t="e">
            <v>#VALUE!</v>
          </cell>
          <cell r="AN111">
            <v>9192232.3329615742</v>
          </cell>
        </row>
        <row r="112">
          <cell r="A112">
            <v>2011</v>
          </cell>
          <cell r="B112" t="str">
            <v>000</v>
          </cell>
          <cell r="C112" t="str">
            <v>A</v>
          </cell>
          <cell r="D112" t="str">
            <v/>
          </cell>
          <cell r="E112">
            <v>67</v>
          </cell>
          <cell r="F112" t="str">
            <v/>
          </cell>
          <cell r="G112" t="str">
            <v/>
          </cell>
          <cell r="H112">
            <v>9269057.0799999982</v>
          </cell>
          <cell r="I112">
            <v>0</v>
          </cell>
          <cell r="P112">
            <v>6374060.0799999991</v>
          </cell>
          <cell r="S112">
            <v>13497</v>
          </cell>
          <cell r="U112">
            <v>1582065</v>
          </cell>
          <cell r="V112">
            <v>449765</v>
          </cell>
          <cell r="W112">
            <v>849670</v>
          </cell>
          <cell r="AA112">
            <v>6387557.0799999991</v>
          </cell>
          <cell r="AB112">
            <v>2881500</v>
          </cell>
          <cell r="AC112">
            <v>0</v>
          </cell>
          <cell r="AD112">
            <v>0</v>
          </cell>
          <cell r="AE112">
            <v>0</v>
          </cell>
          <cell r="AF112">
            <v>6387557.0799999991</v>
          </cell>
          <cell r="AG112">
            <v>3625362.0399999996</v>
          </cell>
          <cell r="AH112">
            <v>9269057.0799999982</v>
          </cell>
          <cell r="AI112" t="str">
            <v>Full and Open</v>
          </cell>
          <cell r="AJ112" t="str">
            <v>Full and Open -Multiple Bidders</v>
          </cell>
          <cell r="AK112">
            <v>9269057.0799999982</v>
          </cell>
          <cell r="AL112">
            <v>9269057.0799999982</v>
          </cell>
          <cell r="AM112" t="e">
            <v>#VALUE!</v>
          </cell>
          <cell r="AN112">
            <v>9397807.0363986604</v>
          </cell>
        </row>
        <row r="113">
          <cell r="A113">
            <v>2011</v>
          </cell>
          <cell r="B113" t="str">
            <v>000</v>
          </cell>
          <cell r="C113" t="str">
            <v>A</v>
          </cell>
          <cell r="D113" t="str">
            <v/>
          </cell>
          <cell r="E113">
            <v>245</v>
          </cell>
          <cell r="F113" t="str">
            <v/>
          </cell>
          <cell r="G113" t="str">
            <v/>
          </cell>
          <cell r="H113">
            <v>9484178</v>
          </cell>
          <cell r="I113">
            <v>0</v>
          </cell>
          <cell r="W113">
            <v>9484178</v>
          </cell>
          <cell r="AA113">
            <v>0</v>
          </cell>
          <cell r="AB113">
            <v>9484178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4742089</v>
          </cell>
          <cell r="AH113">
            <v>9484178</v>
          </cell>
          <cell r="AI113" t="str">
            <v>Full and Open</v>
          </cell>
          <cell r="AJ113" t="str">
            <v>Full and Open -Multiple Bidders</v>
          </cell>
          <cell r="AK113">
            <v>9484178</v>
          </cell>
          <cell r="AL113">
            <v>9484178</v>
          </cell>
          <cell r="AM113" t="e">
            <v>#VALUE!</v>
          </cell>
          <cell r="AN113">
            <v>9615916.0498834029</v>
          </cell>
        </row>
        <row r="114">
          <cell r="A114">
            <v>2011</v>
          </cell>
          <cell r="B114" t="str">
            <v>000</v>
          </cell>
          <cell r="C114" t="str">
            <v>A</v>
          </cell>
          <cell r="D114" t="str">
            <v/>
          </cell>
          <cell r="E114">
            <v>51</v>
          </cell>
          <cell r="F114" t="str">
            <v/>
          </cell>
          <cell r="G114" t="str">
            <v/>
          </cell>
          <cell r="H114">
            <v>10681129.530000003</v>
          </cell>
          <cell r="I114">
            <v>0</v>
          </cell>
          <cell r="L114">
            <v>-3384.26</v>
          </cell>
          <cell r="P114">
            <v>4014196.4699999997</v>
          </cell>
          <cell r="Q114">
            <v>-38198.57</v>
          </cell>
          <cell r="T114">
            <v>6588877.4700000007</v>
          </cell>
          <cell r="U114">
            <v>-522975.53</v>
          </cell>
          <cell r="W114">
            <v>1059479</v>
          </cell>
          <cell r="Y114">
            <v>-397070.88</v>
          </cell>
          <cell r="Z114">
            <v>-19794.169999999998</v>
          </cell>
          <cell r="AA114">
            <v>3975997.9</v>
          </cell>
          <cell r="AB114">
            <v>119638.41999999997</v>
          </cell>
          <cell r="AC114">
            <v>-3384.26</v>
          </cell>
          <cell r="AD114">
            <v>6588877.4700000007</v>
          </cell>
          <cell r="AE114">
            <v>0</v>
          </cell>
          <cell r="AF114">
            <v>3993405.0549999997</v>
          </cell>
          <cell r="AG114">
            <v>9104923.790000001</v>
          </cell>
          <cell r="AH114">
            <v>10681129.530000001</v>
          </cell>
          <cell r="AI114" t="str">
            <v>Full and Open</v>
          </cell>
          <cell r="AJ114" t="str">
            <v>Full and Open -Multiple Bidders</v>
          </cell>
          <cell r="AK114">
            <v>10681129.530000003</v>
          </cell>
          <cell r="AL114">
            <v>10681129.530000003</v>
          </cell>
          <cell r="AM114" t="e">
            <v>#VALUE!</v>
          </cell>
          <cell r="AN114">
            <v>10829493.592213325</v>
          </cell>
        </row>
        <row r="115">
          <cell r="A115">
            <v>2011</v>
          </cell>
          <cell r="B115" t="str">
            <v>000</v>
          </cell>
          <cell r="C115" t="str">
            <v>A</v>
          </cell>
          <cell r="D115" t="str">
            <v/>
          </cell>
          <cell r="E115">
            <v>64</v>
          </cell>
          <cell r="F115" t="str">
            <v/>
          </cell>
          <cell r="G115" t="str">
            <v/>
          </cell>
          <cell r="H115">
            <v>13153708.109999999</v>
          </cell>
          <cell r="I115">
            <v>0</v>
          </cell>
          <cell r="P115">
            <v>10468078.070000002</v>
          </cell>
          <cell r="U115">
            <v>1526354.04</v>
          </cell>
          <cell r="W115">
            <v>1159276</v>
          </cell>
          <cell r="AA115">
            <v>10468078.070000002</v>
          </cell>
          <cell r="AB115">
            <v>2685630.04</v>
          </cell>
          <cell r="AC115">
            <v>0</v>
          </cell>
          <cell r="AD115">
            <v>0</v>
          </cell>
          <cell r="AE115">
            <v>0</v>
          </cell>
          <cell r="AF115">
            <v>10468078.070000002</v>
          </cell>
          <cell r="AG115">
            <v>5813677.0350000011</v>
          </cell>
          <cell r="AH115">
            <v>13153708.110000003</v>
          </cell>
          <cell r="AI115" t="str">
            <v>Full and Open</v>
          </cell>
          <cell r="AJ115" t="str">
            <v>Full and Open -Multiple Bidders</v>
          </cell>
          <cell r="AK115">
            <v>13153708.109999999</v>
          </cell>
          <cell r="AL115">
            <v>13153708.109999999</v>
          </cell>
          <cell r="AM115" t="e">
            <v>#VALUE!</v>
          </cell>
          <cell r="AN115">
            <v>13336417.023218088</v>
          </cell>
        </row>
        <row r="116">
          <cell r="A116">
            <v>2011</v>
          </cell>
          <cell r="B116" t="str">
            <v>000</v>
          </cell>
          <cell r="C116" t="str">
            <v>A</v>
          </cell>
          <cell r="D116" t="str">
            <v/>
          </cell>
          <cell r="E116">
            <v>147</v>
          </cell>
          <cell r="F116" t="str">
            <v/>
          </cell>
          <cell r="G116" t="str">
            <v/>
          </cell>
          <cell r="H116">
            <v>13467829.390000001</v>
          </cell>
          <cell r="I116">
            <v>0</v>
          </cell>
          <cell r="P116">
            <v>13467829.390000001</v>
          </cell>
          <cell r="AA116">
            <v>13467829.390000001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13467829.390000001</v>
          </cell>
          <cell r="AG116">
            <v>6733914.6950000003</v>
          </cell>
          <cell r="AH116">
            <v>13467829.390000001</v>
          </cell>
          <cell r="AI116" t="str">
            <v>Full and Open</v>
          </cell>
          <cell r="AJ116" t="str">
            <v>Full and Open -Multiple Bidders</v>
          </cell>
          <cell r="AK116">
            <v>13467829.390000001</v>
          </cell>
          <cell r="AL116">
            <v>13467829.390000001</v>
          </cell>
          <cell r="AM116" t="e">
            <v>#VALUE!</v>
          </cell>
          <cell r="AN116">
            <v>13654901.541113254</v>
          </cell>
        </row>
        <row r="117">
          <cell r="A117">
            <v>2011</v>
          </cell>
          <cell r="B117" t="str">
            <v>000</v>
          </cell>
          <cell r="C117" t="str">
            <v>A</v>
          </cell>
          <cell r="D117" t="str">
            <v/>
          </cell>
          <cell r="E117">
            <v>47</v>
          </cell>
          <cell r="F117" t="str">
            <v/>
          </cell>
          <cell r="G117" t="str">
            <v/>
          </cell>
          <cell r="H117">
            <v>17269366.84</v>
          </cell>
          <cell r="I117">
            <v>0</v>
          </cell>
          <cell r="P117">
            <v>1959292.8399999999</v>
          </cell>
          <cell r="U117">
            <v>165000</v>
          </cell>
          <cell r="W117">
            <v>15145074</v>
          </cell>
          <cell r="AA117">
            <v>1959292.8399999999</v>
          </cell>
          <cell r="AB117">
            <v>15310074</v>
          </cell>
          <cell r="AC117">
            <v>0</v>
          </cell>
          <cell r="AD117">
            <v>0</v>
          </cell>
          <cell r="AE117">
            <v>0</v>
          </cell>
          <cell r="AF117">
            <v>1959292.8399999999</v>
          </cell>
          <cell r="AG117">
            <v>8552183.4199999999</v>
          </cell>
          <cell r="AH117">
            <v>17269366.84</v>
          </cell>
          <cell r="AI117" t="str">
            <v>Full and Open</v>
          </cell>
          <cell r="AJ117" t="str">
            <v>Full and Open -Multiple Bidders</v>
          </cell>
          <cell r="AK117">
            <v>17269366.84</v>
          </cell>
          <cell r="AL117">
            <v>17269366.84</v>
          </cell>
          <cell r="AM117" t="e">
            <v>#VALUE!</v>
          </cell>
          <cell r="AN117">
            <v>17509243.475615937</v>
          </cell>
        </row>
        <row r="118">
          <cell r="A118">
            <v>2011</v>
          </cell>
          <cell r="B118" t="str">
            <v>000</v>
          </cell>
          <cell r="C118" t="str">
            <v>A</v>
          </cell>
          <cell r="D118" t="str">
            <v/>
          </cell>
          <cell r="E118">
            <v>48</v>
          </cell>
          <cell r="F118" t="str">
            <v/>
          </cell>
          <cell r="G118" t="str">
            <v/>
          </cell>
          <cell r="H118">
            <v>17335459.749999996</v>
          </cell>
          <cell r="I118">
            <v>0</v>
          </cell>
          <cell r="K118">
            <v>0</v>
          </cell>
          <cell r="L118">
            <v>562637.41</v>
          </cell>
          <cell r="P118">
            <v>15082357.950000001</v>
          </cell>
          <cell r="Q118">
            <v>1690464.39</v>
          </cell>
          <cell r="AA118">
            <v>16772822.340000002</v>
          </cell>
          <cell r="AB118">
            <v>0</v>
          </cell>
          <cell r="AC118">
            <v>562637.41</v>
          </cell>
          <cell r="AD118">
            <v>0</v>
          </cell>
          <cell r="AE118">
            <v>0</v>
          </cell>
          <cell r="AF118">
            <v>16208908.850000001</v>
          </cell>
          <cell r="AG118">
            <v>8667729.875</v>
          </cell>
          <cell r="AH118">
            <v>17335459.75</v>
          </cell>
          <cell r="AI118" t="str">
            <v>Full and Open</v>
          </cell>
          <cell r="AJ118" t="str">
            <v>Full and Open -Multiple Bidders</v>
          </cell>
          <cell r="AK118">
            <v>17335459.749999996</v>
          </cell>
          <cell r="AL118">
            <v>17335459.749999996</v>
          </cell>
          <cell r="AM118" t="e">
            <v>#VALUE!</v>
          </cell>
          <cell r="AN118">
            <v>17576254.435770046</v>
          </cell>
        </row>
        <row r="119">
          <cell r="A119">
            <v>2011</v>
          </cell>
          <cell r="B119" t="str">
            <v>000</v>
          </cell>
          <cell r="C119" t="str">
            <v>A</v>
          </cell>
          <cell r="D119" t="str">
            <v/>
          </cell>
          <cell r="E119">
            <v>49</v>
          </cell>
          <cell r="F119" t="str">
            <v/>
          </cell>
          <cell r="G119" t="str">
            <v/>
          </cell>
          <cell r="H119">
            <v>20356311.370000001</v>
          </cell>
          <cell r="I119">
            <v>0</v>
          </cell>
          <cell r="L119">
            <v>419010</v>
          </cell>
          <cell r="P119">
            <v>17282274.899999999</v>
          </cell>
          <cell r="Q119">
            <v>2717082.79</v>
          </cell>
          <cell r="W119">
            <v>-62056.320000000007</v>
          </cell>
          <cell r="AA119">
            <v>19999357.689999998</v>
          </cell>
          <cell r="AB119">
            <v>-62056.320000000007</v>
          </cell>
          <cell r="AC119">
            <v>419010</v>
          </cell>
          <cell r="AD119">
            <v>0</v>
          </cell>
          <cell r="AE119">
            <v>0</v>
          </cell>
          <cell r="AF119">
            <v>18850321.294999998</v>
          </cell>
          <cell r="AG119">
            <v>10178155.684999999</v>
          </cell>
          <cell r="AH119">
            <v>20356311.369999997</v>
          </cell>
          <cell r="AI119" t="str">
            <v>Full and Open</v>
          </cell>
          <cell r="AJ119" t="str">
            <v>Full and Open -Multiple Bidders</v>
          </cell>
          <cell r="AK119">
            <v>20356311.370000001</v>
          </cell>
          <cell r="AL119">
            <v>20356311.370000001</v>
          </cell>
          <cell r="AM119" t="e">
            <v>#VALUE!</v>
          </cell>
          <cell r="AN119">
            <v>20639066.58217581</v>
          </cell>
        </row>
        <row r="120">
          <cell r="A120">
            <v>2011</v>
          </cell>
          <cell r="B120" t="str">
            <v>000</v>
          </cell>
          <cell r="C120" t="str">
            <v>A</v>
          </cell>
          <cell r="D120" t="str">
            <v/>
          </cell>
          <cell r="E120">
            <v>40</v>
          </cell>
          <cell r="F120" t="str">
            <v/>
          </cell>
          <cell r="G120" t="str">
            <v/>
          </cell>
          <cell r="H120">
            <v>23543087.819999997</v>
          </cell>
          <cell r="I120">
            <v>0</v>
          </cell>
          <cell r="K120">
            <v>0</v>
          </cell>
          <cell r="P120">
            <v>20956296.449999999</v>
          </cell>
          <cell r="Q120">
            <v>640995.49999999977</v>
          </cell>
          <cell r="U120">
            <v>2250718</v>
          </cell>
          <cell r="W120">
            <v>-304922.13</v>
          </cell>
          <cell r="AA120">
            <v>21597291.949999999</v>
          </cell>
          <cell r="AB120">
            <v>1945795.87</v>
          </cell>
          <cell r="AC120">
            <v>0</v>
          </cell>
          <cell r="AD120">
            <v>0</v>
          </cell>
          <cell r="AE120">
            <v>0</v>
          </cell>
          <cell r="AF120">
            <v>21276794.199999999</v>
          </cell>
          <cell r="AG120">
            <v>10646184.91</v>
          </cell>
          <cell r="AH120">
            <v>23543087.82</v>
          </cell>
          <cell r="AI120" t="str">
            <v>Full and Open</v>
          </cell>
          <cell r="AJ120" t="str">
            <v>Full and Open -Multiple Bidders</v>
          </cell>
          <cell r="AK120">
            <v>23543087.819999997</v>
          </cell>
          <cell r="AL120">
            <v>23543087.819999997</v>
          </cell>
          <cell r="AM120" t="e">
            <v>#VALUE!</v>
          </cell>
          <cell r="AN120">
            <v>23870108.303761531</v>
          </cell>
        </row>
        <row r="121">
          <cell r="A121">
            <v>2011</v>
          </cell>
          <cell r="B121" t="str">
            <v>000</v>
          </cell>
          <cell r="C121" t="str">
            <v>A</v>
          </cell>
          <cell r="D121" t="str">
            <v/>
          </cell>
          <cell r="E121">
            <v>39</v>
          </cell>
          <cell r="F121" t="str">
            <v/>
          </cell>
          <cell r="G121" t="str">
            <v/>
          </cell>
          <cell r="H121">
            <v>23851213.639999997</v>
          </cell>
          <cell r="I121">
            <v>0</v>
          </cell>
          <cell r="P121">
            <v>16612801.640000001</v>
          </cell>
          <cell r="W121">
            <v>7238412</v>
          </cell>
          <cell r="AA121">
            <v>16612801.640000001</v>
          </cell>
          <cell r="AB121">
            <v>7238412</v>
          </cell>
          <cell r="AC121">
            <v>0</v>
          </cell>
          <cell r="AD121">
            <v>0</v>
          </cell>
          <cell r="AE121">
            <v>0</v>
          </cell>
          <cell r="AF121">
            <v>16612801.640000001</v>
          </cell>
          <cell r="AG121">
            <v>11925606.82</v>
          </cell>
          <cell r="AH121">
            <v>23851213.640000001</v>
          </cell>
          <cell r="AI121" t="str">
            <v>Full and Open</v>
          </cell>
          <cell r="AJ121" t="str">
            <v>Full and Open -Multiple Bidders</v>
          </cell>
          <cell r="AK121">
            <v>23851213.639999997</v>
          </cell>
          <cell r="AL121">
            <v>23851213.639999997</v>
          </cell>
          <cell r="AM121" t="e">
            <v>#VALUE!</v>
          </cell>
          <cell r="AN121">
            <v>24182514.082936224</v>
          </cell>
        </row>
        <row r="122">
          <cell r="A122">
            <v>2011</v>
          </cell>
          <cell r="B122" t="str">
            <v>000</v>
          </cell>
          <cell r="C122" t="str">
            <v>A</v>
          </cell>
          <cell r="D122" t="str">
            <v/>
          </cell>
          <cell r="E122">
            <v>45</v>
          </cell>
          <cell r="F122" t="str">
            <v/>
          </cell>
          <cell r="G122" t="str">
            <v/>
          </cell>
          <cell r="H122">
            <v>24082269.760000009</v>
          </cell>
          <cell r="I122">
            <v>0</v>
          </cell>
          <cell r="P122">
            <v>3351946.6500000004</v>
          </cell>
          <cell r="Q122">
            <v>17831224.670000002</v>
          </cell>
          <cell r="W122">
            <v>2899098.44</v>
          </cell>
          <cell r="Y122">
            <v>0</v>
          </cell>
          <cell r="AA122">
            <v>21183171.32</v>
          </cell>
          <cell r="AB122">
            <v>2899098.44</v>
          </cell>
          <cell r="AC122">
            <v>0</v>
          </cell>
          <cell r="AD122">
            <v>0</v>
          </cell>
          <cell r="AE122">
            <v>0</v>
          </cell>
          <cell r="AF122">
            <v>12267558.985000001</v>
          </cell>
          <cell r="AG122">
            <v>12041134.880000001</v>
          </cell>
          <cell r="AH122">
            <v>24082269.760000002</v>
          </cell>
          <cell r="AI122" t="str">
            <v>Full and Open</v>
          </cell>
          <cell r="AJ122" t="str">
            <v>Full and Open -Multiple Bidders</v>
          </cell>
          <cell r="AK122">
            <v>24082269.760000009</v>
          </cell>
          <cell r="AL122">
            <v>24082269.760000009</v>
          </cell>
          <cell r="AM122" t="e">
            <v>#VALUE!</v>
          </cell>
          <cell r="AN122">
            <v>24416779.641082846</v>
          </cell>
        </row>
        <row r="123">
          <cell r="A123">
            <v>2011</v>
          </cell>
          <cell r="B123" t="str">
            <v>000</v>
          </cell>
          <cell r="C123" t="str">
            <v>A</v>
          </cell>
          <cell r="D123" t="str">
            <v/>
          </cell>
          <cell r="E123">
            <v>65</v>
          </cell>
          <cell r="F123" t="str">
            <v/>
          </cell>
          <cell r="G123" t="str">
            <v/>
          </cell>
          <cell r="H123">
            <v>26317605.709999997</v>
          </cell>
          <cell r="I123">
            <v>0</v>
          </cell>
          <cell r="P123">
            <v>25011024.23</v>
          </cell>
          <cell r="Q123">
            <v>649572.27</v>
          </cell>
          <cell r="U123">
            <v>665107</v>
          </cell>
          <cell r="W123">
            <v>-8097.79</v>
          </cell>
          <cell r="AA123">
            <v>25660596.5</v>
          </cell>
          <cell r="AB123">
            <v>657009.21</v>
          </cell>
          <cell r="AC123">
            <v>0</v>
          </cell>
          <cell r="AD123">
            <v>0</v>
          </cell>
          <cell r="AE123">
            <v>0</v>
          </cell>
          <cell r="AF123">
            <v>25335810.365000002</v>
          </cell>
          <cell r="AG123">
            <v>12826249.355</v>
          </cell>
          <cell r="AH123">
            <v>26317605.710000001</v>
          </cell>
          <cell r="AI123" t="str">
            <v>Full and Open</v>
          </cell>
          <cell r="AJ123" t="str">
            <v>Full and Open -Multiple Bidders</v>
          </cell>
          <cell r="AK123">
            <v>26317605.709999997</v>
          </cell>
          <cell r="AL123">
            <v>26317605.709999997</v>
          </cell>
          <cell r="AM123" t="e">
            <v>#VALUE!</v>
          </cell>
          <cell r="AN123">
            <v>26683165.071479265</v>
          </cell>
        </row>
        <row r="124">
          <cell r="A124">
            <v>2011</v>
          </cell>
          <cell r="B124" t="str">
            <v>000</v>
          </cell>
          <cell r="C124" t="str">
            <v>A</v>
          </cell>
          <cell r="D124" t="str">
            <v/>
          </cell>
          <cell r="E124">
            <v>31</v>
          </cell>
          <cell r="F124" t="str">
            <v/>
          </cell>
          <cell r="G124" t="str">
            <v/>
          </cell>
          <cell r="H124">
            <v>37171455.25</v>
          </cell>
          <cell r="I124">
            <v>0</v>
          </cell>
          <cell r="P124">
            <v>29562970.34</v>
          </cell>
          <cell r="Q124">
            <v>426608</v>
          </cell>
          <cell r="U124">
            <v>292007.3</v>
          </cell>
          <cell r="W124">
            <v>6904869.6100000003</v>
          </cell>
          <cell r="Y124">
            <v>-15000</v>
          </cell>
          <cell r="AA124">
            <v>29989578.34</v>
          </cell>
          <cell r="AB124">
            <v>7181876.9100000001</v>
          </cell>
          <cell r="AC124">
            <v>0</v>
          </cell>
          <cell r="AD124">
            <v>0</v>
          </cell>
          <cell r="AE124">
            <v>0</v>
          </cell>
          <cell r="AF124">
            <v>29776274.34</v>
          </cell>
          <cell r="AG124">
            <v>18447223.975000001</v>
          </cell>
          <cell r="AH124">
            <v>37171455.25</v>
          </cell>
          <cell r="AI124" t="str">
            <v>Full and Open</v>
          </cell>
          <cell r="AJ124" t="str">
            <v>Full and Open -Multiple Bidders</v>
          </cell>
          <cell r="AK124">
            <v>37171455.25</v>
          </cell>
          <cell r="AL124">
            <v>37171455.25</v>
          </cell>
          <cell r="AM124" t="e">
            <v>#VALUE!</v>
          </cell>
          <cell r="AN124">
            <v>37687777.805941395</v>
          </cell>
        </row>
        <row r="125">
          <cell r="A125">
            <v>2011</v>
          </cell>
          <cell r="B125" t="str">
            <v>000</v>
          </cell>
          <cell r="C125" t="str">
            <v>A</v>
          </cell>
          <cell r="D125" t="str">
            <v/>
          </cell>
          <cell r="E125">
            <v>59</v>
          </cell>
          <cell r="F125" t="str">
            <v/>
          </cell>
          <cell r="G125" t="str">
            <v/>
          </cell>
          <cell r="H125">
            <v>43120593.599999994</v>
          </cell>
          <cell r="I125">
            <v>0</v>
          </cell>
          <cell r="K125">
            <v>0</v>
          </cell>
          <cell r="P125">
            <v>12874596.600000001</v>
          </cell>
          <cell r="W125">
            <v>30245997</v>
          </cell>
          <cell r="AA125">
            <v>12874596.600000001</v>
          </cell>
          <cell r="AB125">
            <v>30245997</v>
          </cell>
          <cell r="AC125">
            <v>0</v>
          </cell>
          <cell r="AD125">
            <v>0</v>
          </cell>
          <cell r="AE125">
            <v>0</v>
          </cell>
          <cell r="AF125">
            <v>12874596.600000001</v>
          </cell>
          <cell r="AG125">
            <v>21560296.800000001</v>
          </cell>
          <cell r="AH125">
            <v>43120593.600000001</v>
          </cell>
          <cell r="AI125" t="str">
            <v>Full and Open</v>
          </cell>
          <cell r="AJ125" t="str">
            <v>Full and Open -Multiple Bidders</v>
          </cell>
          <cell r="AK125">
            <v>43120593.599999994</v>
          </cell>
          <cell r="AL125">
            <v>43120593.599999994</v>
          </cell>
          <cell r="AM125" t="e">
            <v>#VALUE!</v>
          </cell>
          <cell r="AN125">
            <v>43719551.45493257</v>
          </cell>
        </row>
        <row r="126">
          <cell r="A126">
            <v>2011</v>
          </cell>
          <cell r="B126" t="str">
            <v>000</v>
          </cell>
          <cell r="C126" t="str">
            <v>A</v>
          </cell>
          <cell r="D126" t="str">
            <v/>
          </cell>
          <cell r="E126">
            <v>99</v>
          </cell>
          <cell r="F126" t="str">
            <v/>
          </cell>
          <cell r="G126" t="str">
            <v/>
          </cell>
          <cell r="H126">
            <v>50972837.989999995</v>
          </cell>
          <cell r="I126">
            <v>0</v>
          </cell>
          <cell r="L126">
            <v>0</v>
          </cell>
          <cell r="P126">
            <v>1739827.64</v>
          </cell>
          <cell r="Q126">
            <v>-15873.98000000001</v>
          </cell>
          <cell r="U126">
            <v>11532943.16</v>
          </cell>
          <cell r="W126">
            <v>37442070.170000002</v>
          </cell>
          <cell r="Y126">
            <v>273871</v>
          </cell>
          <cell r="AA126">
            <v>1723953.66</v>
          </cell>
          <cell r="AB126">
            <v>49248884.329999998</v>
          </cell>
          <cell r="AC126">
            <v>0</v>
          </cell>
          <cell r="AD126">
            <v>0</v>
          </cell>
          <cell r="AE126">
            <v>0</v>
          </cell>
          <cell r="AF126">
            <v>1731890.65</v>
          </cell>
          <cell r="AG126">
            <v>19583011.914999999</v>
          </cell>
          <cell r="AH126">
            <v>50972837.990000002</v>
          </cell>
          <cell r="AI126" t="str">
            <v>Full and Open</v>
          </cell>
          <cell r="AJ126" t="str">
            <v>Full and Open -Multiple Bidders</v>
          </cell>
          <cell r="AK126">
            <v>50972837.989999995</v>
          </cell>
          <cell r="AL126">
            <v>50972837.989999995</v>
          </cell>
          <cell r="AM126" t="e">
            <v>#VALUE!</v>
          </cell>
          <cell r="AN126">
            <v>51680865.852174789</v>
          </cell>
        </row>
        <row r="127">
          <cell r="A127">
            <v>2011</v>
          </cell>
          <cell r="B127" t="str">
            <v>000</v>
          </cell>
          <cell r="C127" t="str">
            <v>A</v>
          </cell>
          <cell r="D127" t="str">
            <v/>
          </cell>
          <cell r="E127">
            <v>24</v>
          </cell>
          <cell r="F127" t="str">
            <v/>
          </cell>
          <cell r="G127" t="str">
            <v/>
          </cell>
          <cell r="H127">
            <v>51039166.349999964</v>
          </cell>
          <cell r="I127">
            <v>0</v>
          </cell>
          <cell r="K127">
            <v>0</v>
          </cell>
          <cell r="P127">
            <v>47169762.79999999</v>
          </cell>
          <cell r="Q127">
            <v>499412.59</v>
          </cell>
          <cell r="S127">
            <v>1687669</v>
          </cell>
          <cell r="U127">
            <v>713432.96</v>
          </cell>
          <cell r="W127">
            <v>968889</v>
          </cell>
          <cell r="AA127">
            <v>49356844.389999993</v>
          </cell>
          <cell r="AB127">
            <v>1682321.96</v>
          </cell>
          <cell r="AC127">
            <v>0</v>
          </cell>
          <cell r="AD127">
            <v>0</v>
          </cell>
          <cell r="AE127">
            <v>0</v>
          </cell>
          <cell r="AF127">
            <v>49107138.094999991</v>
          </cell>
          <cell r="AG127">
            <v>26006701.194999997</v>
          </cell>
          <cell r="AH127">
            <v>51039166.349999994</v>
          </cell>
          <cell r="AI127" t="str">
            <v>Full and Open</v>
          </cell>
          <cell r="AJ127" t="str">
            <v>Full and Open -Multiple Bidders</v>
          </cell>
          <cell r="AK127">
            <v>51039166.349999964</v>
          </cell>
          <cell r="AL127">
            <v>51039166.349999964</v>
          </cell>
          <cell r="AM127" t="e">
            <v>#VALUE!</v>
          </cell>
          <cell r="AN127">
            <v>51748115.532799318</v>
          </cell>
        </row>
        <row r="128">
          <cell r="A128">
            <v>2011</v>
          </cell>
          <cell r="B128" t="str">
            <v>000</v>
          </cell>
          <cell r="C128" t="str">
            <v>A</v>
          </cell>
          <cell r="D128" t="str">
            <v/>
          </cell>
          <cell r="E128">
            <v>50</v>
          </cell>
          <cell r="F128" t="str">
            <v/>
          </cell>
          <cell r="G128" t="str">
            <v/>
          </cell>
          <cell r="H128">
            <v>53598653.81999997</v>
          </cell>
          <cell r="I128">
            <v>0</v>
          </cell>
          <cell r="L128">
            <v>98888</v>
          </cell>
          <cell r="P128">
            <v>25477056.77</v>
          </cell>
          <cell r="Q128">
            <v>1673505.0499999996</v>
          </cell>
          <cell r="U128">
            <v>1622924</v>
          </cell>
          <cell r="W128">
            <v>24726280</v>
          </cell>
          <cell r="AA128">
            <v>27150561.82</v>
          </cell>
          <cell r="AB128">
            <v>26349204</v>
          </cell>
          <cell r="AC128">
            <v>98888</v>
          </cell>
          <cell r="AD128">
            <v>0</v>
          </cell>
          <cell r="AE128">
            <v>0</v>
          </cell>
          <cell r="AF128">
            <v>26363253.294999998</v>
          </cell>
          <cell r="AG128">
            <v>25987864.91</v>
          </cell>
          <cell r="AH128">
            <v>53598653.82</v>
          </cell>
          <cell r="AI128" t="str">
            <v>Full and Open</v>
          </cell>
          <cell r="AJ128" t="str">
            <v>Full and Open -Multiple Bidders</v>
          </cell>
          <cell r="AK128">
            <v>53598653.81999997</v>
          </cell>
          <cell r="AL128">
            <v>53598653.81999997</v>
          </cell>
          <cell r="AM128" t="e">
            <v>#VALUE!</v>
          </cell>
          <cell r="AN128">
            <v>54343155.044104204</v>
          </cell>
        </row>
        <row r="129">
          <cell r="A129">
            <v>2011</v>
          </cell>
          <cell r="B129" t="str">
            <v>000</v>
          </cell>
          <cell r="C129" t="str">
            <v>A</v>
          </cell>
          <cell r="D129" t="str">
            <v/>
          </cell>
          <cell r="E129">
            <v>70</v>
          </cell>
          <cell r="F129" t="str">
            <v/>
          </cell>
          <cell r="G129" t="str">
            <v/>
          </cell>
          <cell r="H129">
            <v>60156371.409999996</v>
          </cell>
          <cell r="I129">
            <v>0</v>
          </cell>
          <cell r="P129">
            <v>1682750</v>
          </cell>
          <cell r="Q129">
            <v>57425720.409999996</v>
          </cell>
          <cell r="U129">
            <v>0</v>
          </cell>
          <cell r="W129">
            <v>1047901</v>
          </cell>
          <cell r="AA129">
            <v>59108470.409999996</v>
          </cell>
          <cell r="AB129">
            <v>1047901</v>
          </cell>
          <cell r="AC129">
            <v>0</v>
          </cell>
          <cell r="AD129">
            <v>0</v>
          </cell>
          <cell r="AE129">
            <v>0</v>
          </cell>
          <cell r="AF129">
            <v>30395610.204999998</v>
          </cell>
          <cell r="AG129">
            <v>30078185.704999998</v>
          </cell>
          <cell r="AH129">
            <v>60156371.409999996</v>
          </cell>
          <cell r="AI129" t="str">
            <v>Full and Open</v>
          </cell>
          <cell r="AJ129" t="str">
            <v>Full and Open -Multiple Bidders</v>
          </cell>
          <cell r="AK129">
            <v>60156371.409999996</v>
          </cell>
          <cell r="AL129">
            <v>60156371.409999996</v>
          </cell>
          <cell r="AM129" t="e">
            <v>#VALUE!</v>
          </cell>
          <cell r="AN129">
            <v>60991961.279529557</v>
          </cell>
        </row>
        <row r="130">
          <cell r="A130">
            <v>2011</v>
          </cell>
          <cell r="B130" t="str">
            <v>000</v>
          </cell>
          <cell r="C130" t="str">
            <v>A</v>
          </cell>
          <cell r="D130" t="str">
            <v/>
          </cell>
          <cell r="E130">
            <v>32</v>
          </cell>
          <cell r="F130" t="str">
            <v/>
          </cell>
          <cell r="G130" t="str">
            <v/>
          </cell>
          <cell r="H130">
            <v>68728914.850000009</v>
          </cell>
          <cell r="I130">
            <v>0</v>
          </cell>
          <cell r="K130">
            <v>0</v>
          </cell>
          <cell r="P130">
            <v>68298297.350000009</v>
          </cell>
          <cell r="W130">
            <v>430617.5</v>
          </cell>
          <cell r="AA130">
            <v>68298297.350000009</v>
          </cell>
          <cell r="AB130">
            <v>430617.5</v>
          </cell>
          <cell r="AC130">
            <v>0</v>
          </cell>
          <cell r="AD130">
            <v>0</v>
          </cell>
          <cell r="AE130">
            <v>0</v>
          </cell>
          <cell r="AF130">
            <v>68298297.350000009</v>
          </cell>
          <cell r="AG130">
            <v>34364457.425000004</v>
          </cell>
          <cell r="AH130">
            <v>68728914.850000009</v>
          </cell>
          <cell r="AI130" t="str">
            <v>Full and Open</v>
          </cell>
          <cell r="AJ130" t="str">
            <v>Full and Open -Multiple Bidders</v>
          </cell>
          <cell r="AK130">
            <v>68728914.850000009</v>
          </cell>
          <cell r="AL130">
            <v>68728914.850000009</v>
          </cell>
          <cell r="AM130" t="e">
            <v>#VALUE!</v>
          </cell>
          <cell r="AN130">
            <v>69683579.89455542</v>
          </cell>
        </row>
        <row r="131">
          <cell r="A131">
            <v>2011</v>
          </cell>
          <cell r="B131" t="str">
            <v>000</v>
          </cell>
          <cell r="C131" t="str">
            <v>A</v>
          </cell>
          <cell r="D131" t="str">
            <v/>
          </cell>
          <cell r="E131">
            <v>28</v>
          </cell>
          <cell r="F131" t="str">
            <v/>
          </cell>
          <cell r="G131" t="str">
            <v/>
          </cell>
          <cell r="H131">
            <v>74788609.060000047</v>
          </cell>
          <cell r="I131">
            <v>0</v>
          </cell>
          <cell r="P131">
            <v>63806357.830000058</v>
          </cell>
          <cell r="S131">
            <v>0</v>
          </cell>
          <cell r="U131">
            <v>649106.34</v>
          </cell>
          <cell r="V131">
            <v>0</v>
          </cell>
          <cell r="W131">
            <v>10333144.890000001</v>
          </cell>
          <cell r="Y131">
            <v>0</v>
          </cell>
          <cell r="AA131">
            <v>63806357.830000058</v>
          </cell>
          <cell r="AB131">
            <v>10982251.23</v>
          </cell>
          <cell r="AC131">
            <v>0</v>
          </cell>
          <cell r="AD131">
            <v>0</v>
          </cell>
          <cell r="AE131">
            <v>0</v>
          </cell>
          <cell r="AF131">
            <v>63806357.830000058</v>
          </cell>
          <cell r="AG131">
            <v>37069751.360000029</v>
          </cell>
          <cell r="AH131">
            <v>74788609.060000062</v>
          </cell>
          <cell r="AI131" t="str">
            <v>Full and Open</v>
          </cell>
          <cell r="AJ131" t="str">
            <v>Full and Open -Multiple Bidders</v>
          </cell>
          <cell r="AK131">
            <v>74788609.060000047</v>
          </cell>
          <cell r="AL131">
            <v>74788609.060000047</v>
          </cell>
          <cell r="AM131" t="e">
            <v>#VALUE!</v>
          </cell>
          <cell r="AN131">
            <v>75827445.057284847</v>
          </cell>
        </row>
        <row r="132">
          <cell r="A132">
            <v>2011</v>
          </cell>
          <cell r="B132" t="str">
            <v>000</v>
          </cell>
          <cell r="C132" t="str">
            <v>A</v>
          </cell>
          <cell r="D132" t="str">
            <v/>
          </cell>
          <cell r="E132">
            <v>35</v>
          </cell>
          <cell r="F132" t="str">
            <v/>
          </cell>
          <cell r="G132" t="str">
            <v/>
          </cell>
          <cell r="H132">
            <v>96195506.770000011</v>
          </cell>
          <cell r="I132">
            <v>0</v>
          </cell>
          <cell r="P132">
            <v>-32337960.579999998</v>
          </cell>
          <cell r="Q132">
            <v>126321773.73000002</v>
          </cell>
          <cell r="W132">
            <v>2211693.62</v>
          </cell>
          <cell r="AA132">
            <v>93983813.150000021</v>
          </cell>
          <cell r="AB132">
            <v>2211693.62</v>
          </cell>
          <cell r="AC132">
            <v>0</v>
          </cell>
          <cell r="AD132">
            <v>0</v>
          </cell>
          <cell r="AE132">
            <v>0</v>
          </cell>
          <cell r="AF132">
            <v>30822926.285000011</v>
          </cell>
          <cell r="AG132">
            <v>48097753.385000013</v>
          </cell>
          <cell r="AH132">
            <v>96195506.770000026</v>
          </cell>
          <cell r="AI132" t="str">
            <v>Full and Open</v>
          </cell>
          <cell r="AJ132" t="str">
            <v>Full and Open -Multiple Bidders</v>
          </cell>
          <cell r="AK132">
            <v>96195506.770000011</v>
          </cell>
          <cell r="AL132">
            <v>96195506.770000011</v>
          </cell>
          <cell r="AM132" t="e">
            <v>#VALUE!</v>
          </cell>
          <cell r="AN132">
            <v>97531690.935820758</v>
          </cell>
        </row>
        <row r="133">
          <cell r="A133">
            <v>2011</v>
          </cell>
          <cell r="B133" t="str">
            <v>000</v>
          </cell>
          <cell r="C133" t="str">
            <v>A</v>
          </cell>
          <cell r="D133" t="str">
            <v/>
          </cell>
          <cell r="E133">
            <v>33</v>
          </cell>
          <cell r="F133" t="str">
            <v/>
          </cell>
          <cell r="G133" t="str">
            <v/>
          </cell>
          <cell r="H133">
            <v>101768726.70000002</v>
          </cell>
          <cell r="I133">
            <v>0</v>
          </cell>
          <cell r="K133">
            <v>0</v>
          </cell>
          <cell r="L133">
            <v>359531.78</v>
          </cell>
          <cell r="P133">
            <v>87067976.600000009</v>
          </cell>
          <cell r="Q133">
            <v>14247804.320000004</v>
          </cell>
          <cell r="W133">
            <v>93414</v>
          </cell>
          <cell r="AA133">
            <v>101315780.92000002</v>
          </cell>
          <cell r="AB133">
            <v>93414</v>
          </cell>
          <cell r="AC133">
            <v>359531.78</v>
          </cell>
          <cell r="AD133">
            <v>0</v>
          </cell>
          <cell r="AE133">
            <v>0</v>
          </cell>
          <cell r="AF133">
            <v>94371644.650000006</v>
          </cell>
          <cell r="AG133">
            <v>50884363.350000009</v>
          </cell>
          <cell r="AH133">
            <v>101768726.70000002</v>
          </cell>
          <cell r="AI133" t="str">
            <v>Full and Open</v>
          </cell>
          <cell r="AJ133" t="str">
            <v>Full and Open -Multiple Bidders</v>
          </cell>
          <cell r="AK133">
            <v>101768726.70000002</v>
          </cell>
          <cell r="AL133">
            <v>101768726.70000002</v>
          </cell>
          <cell r="AM133" t="e">
            <v>#VALUE!</v>
          </cell>
          <cell r="AN133">
            <v>103182324.54628411</v>
          </cell>
        </row>
        <row r="134">
          <cell r="A134">
            <v>2011</v>
          </cell>
          <cell r="B134" t="str">
            <v>000</v>
          </cell>
          <cell r="C134" t="str">
            <v>A</v>
          </cell>
          <cell r="D134" t="str">
            <v/>
          </cell>
          <cell r="E134">
            <v>22</v>
          </cell>
          <cell r="F134" t="str">
            <v/>
          </cell>
          <cell r="G134" t="str">
            <v/>
          </cell>
          <cell r="H134">
            <v>118035109.53999995</v>
          </cell>
          <cell r="I134">
            <v>0</v>
          </cell>
          <cell r="K134">
            <v>0</v>
          </cell>
          <cell r="P134">
            <v>97158054.660000011</v>
          </cell>
          <cell r="Q134">
            <v>2565654.649999999</v>
          </cell>
          <cell r="U134">
            <v>4323849</v>
          </cell>
          <cell r="W134">
            <v>10567894</v>
          </cell>
          <cell r="Y134">
            <v>3419657.23</v>
          </cell>
          <cell r="AA134">
            <v>99723709.310000017</v>
          </cell>
          <cell r="AB134">
            <v>18311400.23</v>
          </cell>
          <cell r="AC134">
            <v>0</v>
          </cell>
          <cell r="AD134">
            <v>0</v>
          </cell>
          <cell r="AE134">
            <v>0</v>
          </cell>
          <cell r="AF134">
            <v>98440881.985000014</v>
          </cell>
          <cell r="AG134">
            <v>55145801.655000009</v>
          </cell>
          <cell r="AH134">
            <v>118035109.54000002</v>
          </cell>
          <cell r="AI134" t="str">
            <v>Full and Open</v>
          </cell>
          <cell r="AJ134" t="str">
            <v>Full and Open -Multiple Bidders</v>
          </cell>
          <cell r="AK134">
            <v>118035109.53999995</v>
          </cell>
          <cell r="AL134">
            <v>118035109.53999995</v>
          </cell>
          <cell r="AM134" t="e">
            <v>#VALUE!</v>
          </cell>
          <cell r="AN134">
            <v>119674652.27618366</v>
          </cell>
        </row>
        <row r="135">
          <cell r="A135">
            <v>2011</v>
          </cell>
          <cell r="B135" t="str">
            <v>000</v>
          </cell>
          <cell r="C135" t="str">
            <v>A</v>
          </cell>
          <cell r="D135" t="str">
            <v/>
          </cell>
          <cell r="E135">
            <v>30</v>
          </cell>
          <cell r="F135" t="str">
            <v/>
          </cell>
          <cell r="G135" t="str">
            <v/>
          </cell>
          <cell r="H135">
            <v>122745827.96999998</v>
          </cell>
          <cell r="I135">
            <v>0</v>
          </cell>
          <cell r="K135">
            <v>0</v>
          </cell>
          <cell r="P135">
            <v>55803538.590000026</v>
          </cell>
          <cell r="Q135">
            <v>-6579504.7000000002</v>
          </cell>
          <cell r="T135">
            <v>0</v>
          </cell>
          <cell r="U135">
            <v>677232</v>
          </cell>
          <cell r="W135">
            <v>51447904.959999993</v>
          </cell>
          <cell r="Y135">
            <v>21396657.120000001</v>
          </cell>
          <cell r="AA135">
            <v>49224033.890000023</v>
          </cell>
          <cell r="AB135">
            <v>73521794.079999998</v>
          </cell>
          <cell r="AC135">
            <v>0</v>
          </cell>
          <cell r="AD135">
            <v>0</v>
          </cell>
          <cell r="AE135">
            <v>0</v>
          </cell>
          <cell r="AF135">
            <v>52513786.240000024</v>
          </cell>
          <cell r="AG135">
            <v>50335969.425000012</v>
          </cell>
          <cell r="AH135">
            <v>122745827.97000003</v>
          </cell>
          <cell r="AI135" t="str">
            <v>Full and Open</v>
          </cell>
          <cell r="AJ135" t="str">
            <v>Full and Open -Multiple Bidders</v>
          </cell>
          <cell r="AK135">
            <v>122745827.96999998</v>
          </cell>
          <cell r="AL135">
            <v>122745827.96999998</v>
          </cell>
          <cell r="AM135" t="e">
            <v>#VALUE!</v>
          </cell>
          <cell r="AN135">
            <v>124450803.98458886</v>
          </cell>
        </row>
        <row r="136">
          <cell r="A136">
            <v>2011</v>
          </cell>
          <cell r="B136" t="str">
            <v>000</v>
          </cell>
          <cell r="C136" t="str">
            <v>A</v>
          </cell>
          <cell r="D136" t="str">
            <v/>
          </cell>
          <cell r="E136">
            <v>37</v>
          </cell>
          <cell r="F136" t="str">
            <v/>
          </cell>
          <cell r="G136" t="str">
            <v/>
          </cell>
          <cell r="H136">
            <v>122924799.27999999</v>
          </cell>
          <cell r="I136">
            <v>0</v>
          </cell>
          <cell r="K136">
            <v>0</v>
          </cell>
          <cell r="P136">
            <v>32797782.280000005</v>
          </cell>
          <cell r="Q136">
            <v>64345561</v>
          </cell>
          <cell r="W136">
            <v>25781456</v>
          </cell>
          <cell r="AA136">
            <v>97143343.280000001</v>
          </cell>
          <cell r="AB136">
            <v>25781456</v>
          </cell>
          <cell r="AC136">
            <v>0</v>
          </cell>
          <cell r="AD136">
            <v>0</v>
          </cell>
          <cell r="AE136">
            <v>0</v>
          </cell>
          <cell r="AF136">
            <v>64970562.780000001</v>
          </cell>
          <cell r="AG136">
            <v>61462399.640000001</v>
          </cell>
          <cell r="AH136">
            <v>122924799.28</v>
          </cell>
          <cell r="AI136" t="str">
            <v>Full and Open</v>
          </cell>
          <cell r="AJ136" t="str">
            <v>Full and Open -Multiple Bidders</v>
          </cell>
          <cell r="AK136">
            <v>122924799.27999999</v>
          </cell>
          <cell r="AL136">
            <v>122924799.27999999</v>
          </cell>
          <cell r="AM136" t="e">
            <v>#VALUE!</v>
          </cell>
          <cell r="AN136">
            <v>124632261.25925174</v>
          </cell>
        </row>
        <row r="137">
          <cell r="A137">
            <v>2011</v>
          </cell>
          <cell r="B137" t="str">
            <v>000</v>
          </cell>
          <cell r="C137" t="str">
            <v>A</v>
          </cell>
          <cell r="D137" t="str">
            <v/>
          </cell>
          <cell r="E137">
            <v>36</v>
          </cell>
          <cell r="F137" t="str">
            <v/>
          </cell>
          <cell r="G137" t="str">
            <v/>
          </cell>
          <cell r="H137">
            <v>128951006.25999999</v>
          </cell>
          <cell r="I137">
            <v>0</v>
          </cell>
          <cell r="P137">
            <v>111109217.95999999</v>
          </cell>
          <cell r="Q137">
            <v>13920933.1</v>
          </cell>
          <cell r="W137">
            <v>3920855.2</v>
          </cell>
          <cell r="AA137">
            <v>125030151.05999999</v>
          </cell>
          <cell r="AB137">
            <v>3920855.2</v>
          </cell>
          <cell r="AC137">
            <v>0</v>
          </cell>
          <cell r="AD137">
            <v>0</v>
          </cell>
          <cell r="AE137">
            <v>0</v>
          </cell>
          <cell r="AF137">
            <v>118069684.50999999</v>
          </cell>
          <cell r="AG137">
            <v>64475503.129999995</v>
          </cell>
          <cell r="AH137">
            <v>128951006.25999999</v>
          </cell>
          <cell r="AI137" t="str">
            <v>Full and Open</v>
          </cell>
          <cell r="AJ137" t="str">
            <v>Full and Open -Multiple Bidders</v>
          </cell>
          <cell r="AK137">
            <v>128951006.25999999</v>
          </cell>
          <cell r="AL137">
            <v>128951006.25999999</v>
          </cell>
          <cell r="AM137" t="e">
            <v>#VALUE!</v>
          </cell>
          <cell r="AN137">
            <v>130742174.0444084</v>
          </cell>
        </row>
        <row r="138">
          <cell r="A138">
            <v>2011</v>
          </cell>
          <cell r="B138" t="str">
            <v>000</v>
          </cell>
          <cell r="C138" t="str">
            <v>A</v>
          </cell>
          <cell r="D138" t="str">
            <v/>
          </cell>
          <cell r="E138">
            <v>34</v>
          </cell>
          <cell r="F138" t="str">
            <v/>
          </cell>
          <cell r="G138" t="str">
            <v/>
          </cell>
          <cell r="H138">
            <v>133549510.05000004</v>
          </cell>
          <cell r="I138">
            <v>0</v>
          </cell>
          <cell r="P138">
            <v>103326616.05000004</v>
          </cell>
          <cell r="Q138">
            <v>0</v>
          </cell>
          <cell r="U138">
            <v>10013080</v>
          </cell>
          <cell r="W138">
            <v>20209814</v>
          </cell>
          <cell r="AA138">
            <v>103326616.05000004</v>
          </cell>
          <cell r="AB138">
            <v>30222894</v>
          </cell>
          <cell r="AC138">
            <v>0</v>
          </cell>
          <cell r="AD138">
            <v>0</v>
          </cell>
          <cell r="AE138">
            <v>0</v>
          </cell>
          <cell r="AF138">
            <v>103326616.05000004</v>
          </cell>
          <cell r="AG138">
            <v>61768215.025000021</v>
          </cell>
          <cell r="AH138">
            <v>133549510.05000004</v>
          </cell>
          <cell r="AI138" t="str">
            <v>Full and Open</v>
          </cell>
          <cell r="AJ138" t="str">
            <v>Full and Open -Multiple Bidders</v>
          </cell>
          <cell r="AK138">
            <v>133549510.05000004</v>
          </cell>
          <cell r="AL138">
            <v>133549510.05000004</v>
          </cell>
          <cell r="AM138" t="e">
            <v>#VALUE!</v>
          </cell>
          <cell r="AN138">
            <v>135404552.4181284</v>
          </cell>
        </row>
        <row r="139">
          <cell r="A139">
            <v>2011</v>
          </cell>
          <cell r="B139" t="str">
            <v>000</v>
          </cell>
          <cell r="C139" t="str">
            <v>A</v>
          </cell>
          <cell r="D139" t="str">
            <v/>
          </cell>
          <cell r="E139">
            <v>0</v>
          </cell>
          <cell r="F139" t="str">
            <v/>
          </cell>
          <cell r="G139" t="str">
            <v/>
          </cell>
          <cell r="H139">
            <v>156260143.84999976</v>
          </cell>
          <cell r="I139">
            <v>0</v>
          </cell>
          <cell r="K139">
            <v>0</v>
          </cell>
          <cell r="L139">
            <v>64132580.959999993</v>
          </cell>
          <cell r="O139">
            <v>-29219.51</v>
          </cell>
          <cell r="P139">
            <v>66920629.000000045</v>
          </cell>
          <cell r="S139">
            <v>11355.63</v>
          </cell>
          <cell r="T139">
            <v>134925</v>
          </cell>
          <cell r="U139">
            <v>4821775.0900000008</v>
          </cell>
          <cell r="W139">
            <v>19604295.690000001</v>
          </cell>
          <cell r="Y139">
            <v>6742955.4500000002</v>
          </cell>
          <cell r="Z139">
            <v>-197834.19</v>
          </cell>
          <cell r="AA139">
            <v>66902765.120000049</v>
          </cell>
          <cell r="AB139">
            <v>30971192.039999999</v>
          </cell>
          <cell r="AC139">
            <v>64132580.959999993</v>
          </cell>
          <cell r="AD139">
            <v>134925</v>
          </cell>
          <cell r="AE139">
            <v>0</v>
          </cell>
          <cell r="AF139">
            <v>98969055.600000039</v>
          </cell>
          <cell r="AG139">
            <v>75475033.455000028</v>
          </cell>
          <cell r="AH139">
            <v>162141463.12000003</v>
          </cell>
          <cell r="AI139" t="str">
            <v>Full and Open</v>
          </cell>
          <cell r="AJ139" t="str">
            <v>Full and Open -Single Bidder</v>
          </cell>
          <cell r="AK139">
            <v>156260143.84999976</v>
          </cell>
          <cell r="AL139">
            <v>156260143.84999976</v>
          </cell>
          <cell r="AM139" t="e">
            <v>#VALUE!</v>
          </cell>
          <cell r="AN139">
            <v>158430643.66825485</v>
          </cell>
        </row>
        <row r="140">
          <cell r="A140">
            <v>2011</v>
          </cell>
          <cell r="B140" t="str">
            <v>000</v>
          </cell>
          <cell r="C140" t="str">
            <v>A</v>
          </cell>
          <cell r="D140" t="str">
            <v/>
          </cell>
          <cell r="E140">
            <v>44</v>
          </cell>
          <cell r="F140" t="str">
            <v/>
          </cell>
          <cell r="G140" t="str">
            <v/>
          </cell>
          <cell r="H140">
            <v>159323059.02000001</v>
          </cell>
          <cell r="I140">
            <v>0</v>
          </cell>
          <cell r="K140">
            <v>0</v>
          </cell>
          <cell r="P140">
            <v>158515919.02000001</v>
          </cell>
          <cell r="W140">
            <v>807140</v>
          </cell>
          <cell r="AA140">
            <v>158515919.02000001</v>
          </cell>
          <cell r="AB140">
            <v>807140</v>
          </cell>
          <cell r="AC140">
            <v>0</v>
          </cell>
          <cell r="AD140">
            <v>0</v>
          </cell>
          <cell r="AE140">
            <v>0</v>
          </cell>
          <cell r="AF140">
            <v>158515919.02000001</v>
          </cell>
          <cell r="AG140">
            <v>79661529.510000005</v>
          </cell>
          <cell r="AH140">
            <v>159323059.02000001</v>
          </cell>
          <cell r="AI140" t="str">
            <v>Full and Open</v>
          </cell>
          <cell r="AJ140" t="str">
            <v>Full and Open -Multiple Bidders</v>
          </cell>
          <cell r="AK140">
            <v>159323059.02000001</v>
          </cell>
          <cell r="AL140">
            <v>159323059.02000001</v>
          </cell>
          <cell r="AM140" t="e">
            <v>#VALUE!</v>
          </cell>
          <cell r="AN140">
            <v>161536103.63986617</v>
          </cell>
        </row>
        <row r="141">
          <cell r="A141">
            <v>2011</v>
          </cell>
          <cell r="B141" t="str">
            <v>000</v>
          </cell>
          <cell r="C141" t="str">
            <v>A</v>
          </cell>
          <cell r="D141" t="str">
            <v/>
          </cell>
          <cell r="E141">
            <v>27</v>
          </cell>
          <cell r="F141" t="str">
            <v/>
          </cell>
          <cell r="G141" t="str">
            <v/>
          </cell>
          <cell r="H141">
            <v>196369257.55000022</v>
          </cell>
          <cell r="I141">
            <v>0</v>
          </cell>
          <cell r="K141">
            <v>0</v>
          </cell>
          <cell r="P141">
            <v>75378201.730000004</v>
          </cell>
          <cell r="Q141">
            <v>112720699.11000001</v>
          </cell>
          <cell r="W141">
            <v>8026356.7100000009</v>
          </cell>
          <cell r="Y141">
            <v>244000</v>
          </cell>
          <cell r="AA141">
            <v>188098900.84000003</v>
          </cell>
          <cell r="AB141">
            <v>8270356.7100000009</v>
          </cell>
          <cell r="AC141">
            <v>0</v>
          </cell>
          <cell r="AD141">
            <v>0</v>
          </cell>
          <cell r="AE141">
            <v>0</v>
          </cell>
          <cell r="AF141">
            <v>131738551.28500001</v>
          </cell>
          <cell r="AG141">
            <v>98062628.775000021</v>
          </cell>
          <cell r="AH141">
            <v>196369257.55000004</v>
          </cell>
          <cell r="AI141" t="str">
            <v>Full and Open</v>
          </cell>
          <cell r="AJ141" t="str">
            <v>Full and Open -Multiple Bidders</v>
          </cell>
          <cell r="AK141">
            <v>196369257.55000022</v>
          </cell>
          <cell r="AL141">
            <v>196369257.55000022</v>
          </cell>
          <cell r="AM141" t="e">
            <v>#VALUE!</v>
          </cell>
          <cell r="AN141">
            <v>199096884.87275699</v>
          </cell>
        </row>
        <row r="142">
          <cell r="A142">
            <v>2011</v>
          </cell>
          <cell r="B142" t="str">
            <v>000</v>
          </cell>
          <cell r="C142" t="str">
            <v>A</v>
          </cell>
          <cell r="D142" t="str">
            <v/>
          </cell>
          <cell r="E142">
            <v>41</v>
          </cell>
          <cell r="F142" t="str">
            <v/>
          </cell>
          <cell r="G142" t="str">
            <v/>
          </cell>
          <cell r="H142">
            <v>213526989.49999997</v>
          </cell>
          <cell r="I142">
            <v>0</v>
          </cell>
          <cell r="P142">
            <v>28638276.57</v>
          </cell>
          <cell r="Q142">
            <v>184888712.93000001</v>
          </cell>
          <cell r="W142">
            <v>0</v>
          </cell>
          <cell r="AA142">
            <v>213526989.5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121082633.035</v>
          </cell>
          <cell r="AG142">
            <v>106763494.75</v>
          </cell>
          <cell r="AH142">
            <v>213526989.5</v>
          </cell>
          <cell r="AI142" t="str">
            <v>Full and Open</v>
          </cell>
          <cell r="AJ142" t="str">
            <v>Full and Open -Multiple Bidders</v>
          </cell>
          <cell r="AK142">
            <v>213526989.49999997</v>
          </cell>
          <cell r="AL142">
            <v>213526989.49999997</v>
          </cell>
          <cell r="AM142" t="e">
            <v>#VALUE!</v>
          </cell>
          <cell r="AN142">
            <v>216492942.81658724</v>
          </cell>
        </row>
        <row r="143">
          <cell r="A143">
            <v>2011</v>
          </cell>
          <cell r="B143" t="str">
            <v>000</v>
          </cell>
          <cell r="C143" t="str">
            <v>A</v>
          </cell>
          <cell r="D143" t="str">
            <v/>
          </cell>
          <cell r="E143">
            <v>21</v>
          </cell>
          <cell r="F143" t="str">
            <v/>
          </cell>
          <cell r="G143" t="str">
            <v/>
          </cell>
          <cell r="H143">
            <v>216784486.24999997</v>
          </cell>
          <cell r="I143">
            <v>0</v>
          </cell>
          <cell r="K143">
            <v>0</v>
          </cell>
          <cell r="P143">
            <v>131661668.43000007</v>
          </cell>
          <cell r="Q143">
            <v>8318676.6400000006</v>
          </cell>
          <cell r="U143">
            <v>3813960</v>
          </cell>
          <cell r="W143">
            <v>73020181.180000007</v>
          </cell>
          <cell r="Y143">
            <v>-30000</v>
          </cell>
          <cell r="AA143">
            <v>139980345.07000005</v>
          </cell>
          <cell r="AB143">
            <v>76804141.180000007</v>
          </cell>
          <cell r="AC143">
            <v>0</v>
          </cell>
          <cell r="AD143">
            <v>0</v>
          </cell>
          <cell r="AE143">
            <v>0</v>
          </cell>
          <cell r="AF143">
            <v>135821006.75000006</v>
          </cell>
          <cell r="AG143">
            <v>106500263.12500003</v>
          </cell>
          <cell r="AH143">
            <v>216784486.25000006</v>
          </cell>
          <cell r="AI143" t="str">
            <v>Full and Open</v>
          </cell>
          <cell r="AJ143" t="str">
            <v>Full and Open -Multiple Bidders</v>
          </cell>
          <cell r="AK143">
            <v>216784486.24999997</v>
          </cell>
          <cell r="AL143">
            <v>216784486.24999997</v>
          </cell>
          <cell r="AM143" t="e">
            <v>#VALUE!</v>
          </cell>
          <cell r="AN143">
            <v>219795687.16414881</v>
          </cell>
        </row>
        <row r="144">
          <cell r="A144">
            <v>2011</v>
          </cell>
          <cell r="B144" t="str">
            <v>000</v>
          </cell>
          <cell r="C144" t="str">
            <v>A</v>
          </cell>
          <cell r="D144" t="str">
            <v/>
          </cell>
          <cell r="E144">
            <v>29</v>
          </cell>
          <cell r="F144" t="str">
            <v/>
          </cell>
          <cell r="G144" t="str">
            <v/>
          </cell>
          <cell r="H144">
            <v>229176962.25000006</v>
          </cell>
          <cell r="I144">
            <v>0</v>
          </cell>
          <cell r="K144">
            <v>0</v>
          </cell>
          <cell r="P144">
            <v>138214518.55000001</v>
          </cell>
          <cell r="Q144">
            <v>65947071.090000018</v>
          </cell>
          <cell r="U144">
            <v>0</v>
          </cell>
          <cell r="W144">
            <v>6314650</v>
          </cell>
          <cell r="Y144">
            <v>18700722.609999999</v>
          </cell>
          <cell r="AA144">
            <v>204161589.64000005</v>
          </cell>
          <cell r="AB144">
            <v>25015372.609999999</v>
          </cell>
          <cell r="AC144">
            <v>0</v>
          </cell>
          <cell r="AD144">
            <v>0</v>
          </cell>
          <cell r="AE144">
            <v>0</v>
          </cell>
          <cell r="AF144">
            <v>171188054.09500003</v>
          </cell>
          <cell r="AG144">
            <v>105238119.82000002</v>
          </cell>
          <cell r="AH144">
            <v>229176962.25000006</v>
          </cell>
          <cell r="AI144" t="str">
            <v>Full and Open</v>
          </cell>
          <cell r="AJ144" t="str">
            <v>Full and Open -Multiple Bidders</v>
          </cell>
          <cell r="AK144">
            <v>229176962.25000006</v>
          </cell>
          <cell r="AL144">
            <v>229176962.25000006</v>
          </cell>
          <cell r="AM144" t="e">
            <v>#VALUE!</v>
          </cell>
          <cell r="AN144">
            <v>232360298.33721998</v>
          </cell>
        </row>
        <row r="145">
          <cell r="A145">
            <v>2011</v>
          </cell>
          <cell r="B145" t="str">
            <v>000</v>
          </cell>
          <cell r="C145" t="str">
            <v>A</v>
          </cell>
          <cell r="D145" t="str">
            <v/>
          </cell>
          <cell r="E145">
            <v>43</v>
          </cell>
          <cell r="F145" t="str">
            <v/>
          </cell>
          <cell r="G145" t="str">
            <v/>
          </cell>
          <cell r="H145">
            <v>273382162.03000009</v>
          </cell>
          <cell r="I145">
            <v>0</v>
          </cell>
          <cell r="L145">
            <v>-715383.15</v>
          </cell>
          <cell r="P145">
            <v>85923318.980000034</v>
          </cell>
          <cell r="Q145">
            <v>184816931.51000008</v>
          </cell>
          <cell r="W145">
            <v>3357294.69</v>
          </cell>
          <cell r="AA145">
            <v>270740250.49000013</v>
          </cell>
          <cell r="AB145">
            <v>3357294.69</v>
          </cell>
          <cell r="AC145">
            <v>-715383.15</v>
          </cell>
          <cell r="AD145">
            <v>0</v>
          </cell>
          <cell r="AE145">
            <v>0</v>
          </cell>
          <cell r="AF145">
            <v>177974093.16000009</v>
          </cell>
          <cell r="AG145">
            <v>136691081.01500005</v>
          </cell>
          <cell r="AH145">
            <v>273382162.03000009</v>
          </cell>
          <cell r="AI145" t="str">
            <v>Full and Open</v>
          </cell>
          <cell r="AJ145" t="str">
            <v>Full and Open -Multiple Bidders</v>
          </cell>
          <cell r="AK145">
            <v>273382162.03000009</v>
          </cell>
          <cell r="AL145">
            <v>273382162.03000009</v>
          </cell>
          <cell r="AM145" t="e">
            <v>#VALUE!</v>
          </cell>
          <cell r="AN145">
            <v>277179521.47419661</v>
          </cell>
        </row>
        <row r="146">
          <cell r="A146">
            <v>2011</v>
          </cell>
          <cell r="B146" t="str">
            <v>000</v>
          </cell>
          <cell r="C146" t="str">
            <v>A</v>
          </cell>
          <cell r="D146" t="str">
            <v/>
          </cell>
          <cell r="E146">
            <v>23</v>
          </cell>
          <cell r="F146" t="str">
            <v/>
          </cell>
          <cell r="G146" t="str">
            <v/>
          </cell>
          <cell r="H146">
            <v>334894352.52000004</v>
          </cell>
          <cell r="I146">
            <v>0</v>
          </cell>
          <cell r="K146">
            <v>0</v>
          </cell>
          <cell r="L146">
            <v>6111860.7299999986</v>
          </cell>
          <cell r="P146">
            <v>206862355.04000011</v>
          </cell>
          <cell r="U146">
            <v>3070373.87</v>
          </cell>
          <cell r="V146">
            <v>0</v>
          </cell>
          <cell r="W146">
            <v>118854193.83</v>
          </cell>
          <cell r="Y146">
            <v>-4430.95</v>
          </cell>
          <cell r="AA146">
            <v>206862355.04000011</v>
          </cell>
          <cell r="AB146">
            <v>121920136.75</v>
          </cell>
          <cell r="AC146">
            <v>6111860.7299999986</v>
          </cell>
          <cell r="AD146">
            <v>0</v>
          </cell>
          <cell r="AE146">
            <v>0</v>
          </cell>
          <cell r="AF146">
            <v>209918285.40500012</v>
          </cell>
          <cell r="AG146">
            <v>165914204.80000004</v>
          </cell>
          <cell r="AH146">
            <v>334894352.5200001</v>
          </cell>
          <cell r="AI146" t="str">
            <v>Full and Open</v>
          </cell>
          <cell r="AJ146" t="str">
            <v>Full and Open -Multiple Bidders</v>
          </cell>
          <cell r="AK146">
            <v>334894352.52000004</v>
          </cell>
          <cell r="AL146">
            <v>334894352.52000004</v>
          </cell>
          <cell r="AM146" t="e">
            <v>#VALUE!</v>
          </cell>
          <cell r="AN146">
            <v>339546134.56352031</v>
          </cell>
        </row>
        <row r="147">
          <cell r="A147">
            <v>2011</v>
          </cell>
          <cell r="B147" t="str">
            <v>000</v>
          </cell>
          <cell r="C147" t="str">
            <v>A</v>
          </cell>
          <cell r="D147" t="str">
            <v/>
          </cell>
          <cell r="E147">
            <v>19</v>
          </cell>
          <cell r="F147" t="str">
            <v/>
          </cell>
          <cell r="G147" t="str">
            <v/>
          </cell>
          <cell r="H147">
            <v>376674563.41000021</v>
          </cell>
          <cell r="I147">
            <v>0</v>
          </cell>
          <cell r="K147">
            <v>0</v>
          </cell>
          <cell r="L147">
            <v>56796.34</v>
          </cell>
          <cell r="P147">
            <v>188738266.59000003</v>
          </cell>
          <cell r="Q147">
            <v>145309759.74000001</v>
          </cell>
          <cell r="S147">
            <v>239980.04</v>
          </cell>
          <cell r="U147">
            <v>2728405.02</v>
          </cell>
          <cell r="V147">
            <v>0</v>
          </cell>
          <cell r="W147">
            <v>37900122.079999998</v>
          </cell>
          <cell r="Y147">
            <v>1593893</v>
          </cell>
          <cell r="Z147">
            <v>107340.6</v>
          </cell>
          <cell r="AA147">
            <v>334288006.37000006</v>
          </cell>
          <cell r="AB147">
            <v>42329760.700000003</v>
          </cell>
          <cell r="AC147">
            <v>56796.34</v>
          </cell>
          <cell r="AD147">
            <v>0</v>
          </cell>
          <cell r="AE147">
            <v>0</v>
          </cell>
          <cell r="AF147">
            <v>261661524.67000002</v>
          </cell>
          <cell r="AG147">
            <v>186242452.41500002</v>
          </cell>
          <cell r="AH147">
            <v>376674563.41000009</v>
          </cell>
          <cell r="AI147" t="str">
            <v>Full and Open</v>
          </cell>
          <cell r="AJ147" t="str">
            <v>Full and Open -Multiple Bidders</v>
          </cell>
          <cell r="AK147">
            <v>376674563.41000021</v>
          </cell>
          <cell r="AL147">
            <v>376674563.41000021</v>
          </cell>
          <cell r="AM147" t="e">
            <v>#VALUE!</v>
          </cell>
          <cell r="AN147">
            <v>381906684.99442381</v>
          </cell>
        </row>
        <row r="148">
          <cell r="A148">
            <v>2011</v>
          </cell>
          <cell r="B148" t="str">
            <v>000</v>
          </cell>
          <cell r="C148" t="str">
            <v>A</v>
          </cell>
          <cell r="D148" t="str">
            <v/>
          </cell>
          <cell r="E148">
            <v>999</v>
          </cell>
          <cell r="F148" t="str">
            <v/>
          </cell>
          <cell r="G148" t="str">
            <v/>
          </cell>
          <cell r="H148">
            <v>410454246.99999994</v>
          </cell>
          <cell r="I148">
            <v>0</v>
          </cell>
          <cell r="K148">
            <v>0</v>
          </cell>
          <cell r="L148">
            <v>463482</v>
          </cell>
          <cell r="O148">
            <v>306418</v>
          </cell>
          <cell r="P148">
            <v>25385997.099999998</v>
          </cell>
          <cell r="S148">
            <v>19991</v>
          </cell>
          <cell r="T148">
            <v>11434824</v>
          </cell>
          <cell r="U148">
            <v>23169385.470000003</v>
          </cell>
          <cell r="V148">
            <v>1531938.5</v>
          </cell>
          <cell r="W148">
            <v>348183790.44999999</v>
          </cell>
          <cell r="X148">
            <v>-41579.519999999997</v>
          </cell>
          <cell r="AA148">
            <v>25712406.099999998</v>
          </cell>
          <cell r="AB148">
            <v>372885114.42000002</v>
          </cell>
          <cell r="AC148">
            <v>463482</v>
          </cell>
          <cell r="AD148">
            <v>11393244.48</v>
          </cell>
          <cell r="AE148">
            <v>0</v>
          </cell>
          <cell r="AF148">
            <v>25944147.099999998</v>
          </cell>
          <cell r="AG148">
            <v>198429870.25499997</v>
          </cell>
          <cell r="AH148">
            <v>410454247</v>
          </cell>
          <cell r="AI148" t="str">
            <v>Full and Open</v>
          </cell>
          <cell r="AJ148" t="str">
            <v>Full and Open -Multiple Bidders</v>
          </cell>
          <cell r="AK148">
            <v>410454246.99999994</v>
          </cell>
          <cell r="AL148">
            <v>410454246.99999994</v>
          </cell>
          <cell r="AM148" t="e">
            <v>#VALUE!</v>
          </cell>
          <cell r="AN148">
            <v>416155578.42441446</v>
          </cell>
        </row>
        <row r="149">
          <cell r="A149">
            <v>2011</v>
          </cell>
          <cell r="B149" t="str">
            <v>000</v>
          </cell>
          <cell r="C149" t="str">
            <v>A</v>
          </cell>
          <cell r="D149" t="str">
            <v/>
          </cell>
          <cell r="E149">
            <v>158</v>
          </cell>
          <cell r="F149" t="str">
            <v/>
          </cell>
          <cell r="G149" t="str">
            <v/>
          </cell>
          <cell r="H149">
            <v>583080784.14999998</v>
          </cell>
          <cell r="I149">
            <v>0</v>
          </cell>
          <cell r="Q149">
            <v>583080784.14999998</v>
          </cell>
          <cell r="AA149">
            <v>583080784.14999998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291540392.07499999</v>
          </cell>
          <cell r="AG149">
            <v>291540392.07499999</v>
          </cell>
          <cell r="AH149">
            <v>583080784.14999998</v>
          </cell>
          <cell r="AI149" t="str">
            <v>Full and Open</v>
          </cell>
          <cell r="AJ149" t="str">
            <v>Full and Open -Multiple Bidders</v>
          </cell>
          <cell r="AK149">
            <v>583080784.14999998</v>
          </cell>
          <cell r="AL149">
            <v>583080784.14999998</v>
          </cell>
          <cell r="AM149" t="e">
            <v>#VALUE!</v>
          </cell>
          <cell r="AN149">
            <v>591179949.45756865</v>
          </cell>
        </row>
        <row r="150">
          <cell r="A150">
            <v>2011</v>
          </cell>
          <cell r="B150" t="str">
            <v>000</v>
          </cell>
          <cell r="C150" t="str">
            <v>A</v>
          </cell>
          <cell r="D150" t="str">
            <v/>
          </cell>
          <cell r="E150">
            <v>15</v>
          </cell>
          <cell r="F150" t="str">
            <v/>
          </cell>
          <cell r="G150" t="str">
            <v/>
          </cell>
          <cell r="H150">
            <v>589121009.16000009</v>
          </cell>
          <cell r="I150">
            <v>0</v>
          </cell>
          <cell r="K150">
            <v>0</v>
          </cell>
          <cell r="L150">
            <v>-5050.99</v>
          </cell>
          <cell r="P150">
            <v>492147586.76000029</v>
          </cell>
          <cell r="Q150">
            <v>1540157.64</v>
          </cell>
          <cell r="U150">
            <v>676136</v>
          </cell>
          <cell r="W150">
            <v>48324863.299999997</v>
          </cell>
          <cell r="Y150">
            <v>36628542.31000001</v>
          </cell>
          <cell r="Z150">
            <v>9821322.1399999969</v>
          </cell>
          <cell r="AA150">
            <v>493687744.40000027</v>
          </cell>
          <cell r="AB150">
            <v>95450863.750000015</v>
          </cell>
          <cell r="AC150">
            <v>-5050.99</v>
          </cell>
          <cell r="AD150">
            <v>0</v>
          </cell>
          <cell r="AE150">
            <v>0</v>
          </cell>
          <cell r="AF150">
            <v>492915140.08500028</v>
          </cell>
          <cell r="AG150">
            <v>271003778.35500014</v>
          </cell>
          <cell r="AH150">
            <v>589133557.16000032</v>
          </cell>
          <cell r="AI150" t="str">
            <v>Full and Open</v>
          </cell>
          <cell r="AJ150" t="str">
            <v>Full and Open -Multiple Bidders</v>
          </cell>
          <cell r="AK150">
            <v>589121009.16000009</v>
          </cell>
          <cell r="AL150">
            <v>589121009.16000009</v>
          </cell>
          <cell r="AM150" t="e">
            <v>#VALUE!</v>
          </cell>
          <cell r="AN150">
            <v>597304074.9873265</v>
          </cell>
        </row>
        <row r="151">
          <cell r="A151">
            <v>2011</v>
          </cell>
          <cell r="B151" t="str">
            <v>000</v>
          </cell>
          <cell r="C151" t="str">
            <v>A</v>
          </cell>
          <cell r="D151" t="str">
            <v/>
          </cell>
          <cell r="E151">
            <v>26</v>
          </cell>
          <cell r="F151" t="str">
            <v/>
          </cell>
          <cell r="G151" t="str">
            <v/>
          </cell>
          <cell r="H151">
            <v>622418118.77999973</v>
          </cell>
          <cell r="I151">
            <v>0</v>
          </cell>
          <cell r="K151">
            <v>0</v>
          </cell>
          <cell r="L151">
            <v>0</v>
          </cell>
          <cell r="P151">
            <v>179432670.43000001</v>
          </cell>
          <cell r="Q151">
            <v>440807533.06</v>
          </cell>
          <cell r="U151">
            <v>14055</v>
          </cell>
          <cell r="W151">
            <v>1932066.51</v>
          </cell>
          <cell r="Y151">
            <v>-2292535</v>
          </cell>
          <cell r="Z151">
            <v>2524328.7799999998</v>
          </cell>
          <cell r="AA151">
            <v>620240203.49000001</v>
          </cell>
          <cell r="AB151">
            <v>2177915.29</v>
          </cell>
          <cell r="AC151">
            <v>0</v>
          </cell>
          <cell r="AD151">
            <v>0</v>
          </cell>
          <cell r="AE151">
            <v>0</v>
          </cell>
          <cell r="AF151">
            <v>399836436.96000004</v>
          </cell>
          <cell r="AG151">
            <v>311086135</v>
          </cell>
          <cell r="AH151">
            <v>622418118.77999997</v>
          </cell>
          <cell r="AI151" t="str">
            <v>Full and Open</v>
          </cell>
          <cell r="AJ151" t="str">
            <v>Full and Open -Multiple Bidders</v>
          </cell>
          <cell r="AK151">
            <v>622418118.77999973</v>
          </cell>
          <cell r="AL151">
            <v>622418118.77999973</v>
          </cell>
          <cell r="AM151" t="e">
            <v>#VALUE!</v>
          </cell>
          <cell r="AN151">
            <v>631063691.35151553</v>
          </cell>
        </row>
        <row r="152">
          <cell r="A152">
            <v>2011</v>
          </cell>
          <cell r="B152" t="str">
            <v>000</v>
          </cell>
          <cell r="C152" t="str">
            <v>A</v>
          </cell>
          <cell r="D152" t="str">
            <v/>
          </cell>
          <cell r="E152">
            <v>11</v>
          </cell>
          <cell r="F152" t="str">
            <v/>
          </cell>
          <cell r="G152" t="str">
            <v/>
          </cell>
          <cell r="H152">
            <v>944067764.57000077</v>
          </cell>
          <cell r="I152">
            <v>0</v>
          </cell>
          <cell r="K152">
            <v>0</v>
          </cell>
          <cell r="L152">
            <v>16713503.580000002</v>
          </cell>
          <cell r="O152">
            <v>3925001.46</v>
          </cell>
          <cell r="P152">
            <v>622453428.50999904</v>
          </cell>
          <cell r="Q152">
            <v>16942996.810000014</v>
          </cell>
          <cell r="S152">
            <v>23122.959999999999</v>
          </cell>
          <cell r="T152">
            <v>-311817.55000000005</v>
          </cell>
          <cell r="U152">
            <v>192946022.11000004</v>
          </cell>
          <cell r="V152">
            <v>0</v>
          </cell>
          <cell r="W152">
            <v>53031334.629999995</v>
          </cell>
          <cell r="Y152">
            <v>38036744.799999997</v>
          </cell>
          <cell r="Z152">
            <v>307427.26</v>
          </cell>
          <cell r="AA152">
            <v>643344549.73999918</v>
          </cell>
          <cell r="AB152">
            <v>284321528.80000001</v>
          </cell>
          <cell r="AC152">
            <v>16713503.580000002</v>
          </cell>
          <cell r="AD152">
            <v>-311817.55000000005</v>
          </cell>
          <cell r="AE152">
            <v>0</v>
          </cell>
          <cell r="AF152">
            <v>643229803.12499905</v>
          </cell>
          <cell r="AG152">
            <v>354281937.17499954</v>
          </cell>
          <cell r="AH152">
            <v>944067764.5699991</v>
          </cell>
          <cell r="AI152" t="str">
            <v>Full and Open</v>
          </cell>
          <cell r="AJ152" t="str">
            <v>Full and Open -Multiple Bidders</v>
          </cell>
          <cell r="AK152">
            <v>944067764.57000077</v>
          </cell>
          <cell r="AL152">
            <v>944067764.57000077</v>
          </cell>
          <cell r="AM152" t="e">
            <v>#VALUE!</v>
          </cell>
          <cell r="AN152">
            <v>957181146.27395403</v>
          </cell>
        </row>
        <row r="153">
          <cell r="A153">
            <v>2011</v>
          </cell>
          <cell r="B153" t="str">
            <v>000</v>
          </cell>
          <cell r="C153" t="str">
            <v>A</v>
          </cell>
          <cell r="D153" t="str">
            <v/>
          </cell>
          <cell r="E153">
            <v>16</v>
          </cell>
          <cell r="F153" t="str">
            <v/>
          </cell>
          <cell r="G153" t="str">
            <v/>
          </cell>
          <cell r="H153">
            <v>956554189.45000148</v>
          </cell>
          <cell r="I153">
            <v>0</v>
          </cell>
          <cell r="K153">
            <v>0</v>
          </cell>
          <cell r="L153">
            <v>113894167.62000002</v>
          </cell>
          <cell r="P153">
            <v>642657962.28000045</v>
          </cell>
          <cell r="Q153">
            <v>133641</v>
          </cell>
          <cell r="S153">
            <v>994512.47000000009</v>
          </cell>
          <cell r="T153">
            <v>15536200.200000001</v>
          </cell>
          <cell r="U153">
            <v>9719538.8100000005</v>
          </cell>
          <cell r="W153">
            <v>158073140.98000002</v>
          </cell>
          <cell r="Y153">
            <v>15545026.089999998</v>
          </cell>
          <cell r="Z153">
            <v>0</v>
          </cell>
          <cell r="AA153">
            <v>643786115.75000048</v>
          </cell>
          <cell r="AB153">
            <v>183337705.88000003</v>
          </cell>
          <cell r="AC153">
            <v>113894167.62000002</v>
          </cell>
          <cell r="AD153">
            <v>15536200.200000001</v>
          </cell>
          <cell r="AE153">
            <v>0</v>
          </cell>
          <cell r="AF153">
            <v>700666379.06000054</v>
          </cell>
          <cell r="AG153">
            <v>473910168.61000025</v>
          </cell>
          <cell r="AH153">
            <v>956554189.45000052</v>
          </cell>
          <cell r="AI153" t="str">
            <v>Full and Open</v>
          </cell>
          <cell r="AJ153" t="str">
            <v>Full and Open -Multiple Bidders</v>
          </cell>
          <cell r="AK153">
            <v>956554189.45000148</v>
          </cell>
          <cell r="AL153">
            <v>956554189.45000148</v>
          </cell>
          <cell r="AM153" t="e">
            <v>#VALUE!</v>
          </cell>
          <cell r="AN153">
            <v>969841011.30487835</v>
          </cell>
        </row>
        <row r="154">
          <cell r="A154">
            <v>2011</v>
          </cell>
          <cell r="B154" t="str">
            <v>000</v>
          </cell>
          <cell r="C154" t="str">
            <v>A</v>
          </cell>
          <cell r="D154" t="str">
            <v/>
          </cell>
          <cell r="E154">
            <v>17</v>
          </cell>
          <cell r="F154" t="str">
            <v/>
          </cell>
          <cell r="G154" t="str">
            <v/>
          </cell>
          <cell r="H154">
            <v>978266511.80999911</v>
          </cell>
          <cell r="I154">
            <v>0</v>
          </cell>
          <cell r="K154">
            <v>0</v>
          </cell>
          <cell r="L154">
            <v>0</v>
          </cell>
          <cell r="O154">
            <v>612235</v>
          </cell>
          <cell r="P154">
            <v>964796611.89999902</v>
          </cell>
          <cell r="Q154">
            <v>-36199386.589999996</v>
          </cell>
          <cell r="T154">
            <v>0</v>
          </cell>
          <cell r="U154">
            <v>0</v>
          </cell>
          <cell r="W154">
            <v>46160162.5</v>
          </cell>
          <cell r="Y154">
            <v>0</v>
          </cell>
          <cell r="Z154">
            <v>2896889</v>
          </cell>
          <cell r="AA154">
            <v>929209460.30999899</v>
          </cell>
          <cell r="AB154">
            <v>49057051.5</v>
          </cell>
          <cell r="AC154">
            <v>0</v>
          </cell>
          <cell r="AD154">
            <v>0</v>
          </cell>
          <cell r="AE154">
            <v>0</v>
          </cell>
          <cell r="AF154">
            <v>947309153.60499907</v>
          </cell>
          <cell r="AG154">
            <v>487378693.90499949</v>
          </cell>
          <cell r="AH154">
            <v>978266511.80999899</v>
          </cell>
          <cell r="AI154" t="str">
            <v>Full and Open</v>
          </cell>
          <cell r="AJ154" t="str">
            <v>Full and Open -Multiple Bidders</v>
          </cell>
          <cell r="AK154">
            <v>978266511.80999911</v>
          </cell>
          <cell r="AL154">
            <v>978266511.80999911</v>
          </cell>
          <cell r="AM154" t="e">
            <v>#VALUE!</v>
          </cell>
          <cell r="AN154">
            <v>991854924.27253282</v>
          </cell>
        </row>
        <row r="155">
          <cell r="A155">
            <v>2011</v>
          </cell>
          <cell r="B155" t="str">
            <v>000</v>
          </cell>
          <cell r="C155" t="str">
            <v>A</v>
          </cell>
          <cell r="D155" t="str">
            <v/>
          </cell>
          <cell r="E155">
            <v>18</v>
          </cell>
          <cell r="F155" t="str">
            <v/>
          </cell>
          <cell r="G155" t="str">
            <v/>
          </cell>
          <cell r="H155">
            <v>1193589591.0300009</v>
          </cell>
          <cell r="I155">
            <v>0</v>
          </cell>
          <cell r="K155">
            <v>0</v>
          </cell>
          <cell r="L155">
            <v>8244254.4300000006</v>
          </cell>
          <cell r="O155">
            <v>100000</v>
          </cell>
          <cell r="P155">
            <v>391516926.81</v>
          </cell>
          <cell r="Q155">
            <v>711621495.77999997</v>
          </cell>
          <cell r="U155">
            <v>15071170.619999999</v>
          </cell>
          <cell r="W155">
            <v>36147712.799999997</v>
          </cell>
          <cell r="Y155">
            <v>3578026.49</v>
          </cell>
          <cell r="Z155">
            <v>27310004.099999994</v>
          </cell>
          <cell r="AA155">
            <v>1103238422.5899999</v>
          </cell>
          <cell r="AB155">
            <v>82106914.00999999</v>
          </cell>
          <cell r="AC155">
            <v>8244254.4300000006</v>
          </cell>
          <cell r="AD155">
            <v>0</v>
          </cell>
          <cell r="AE155">
            <v>0</v>
          </cell>
          <cell r="AF155">
            <v>751549801.91499996</v>
          </cell>
          <cell r="AG155">
            <v>573765194.90999997</v>
          </cell>
          <cell r="AH155">
            <v>1193589591.0299997</v>
          </cell>
          <cell r="AI155" t="str">
            <v>Full and Open</v>
          </cell>
          <cell r="AJ155" t="str">
            <v>Full and Open -Multiple Bidders</v>
          </cell>
          <cell r="AK155">
            <v>1193589591.0300009</v>
          </cell>
          <cell r="AL155">
            <v>1193589591.0300009</v>
          </cell>
          <cell r="AM155" t="e">
            <v>#VALUE!</v>
          </cell>
          <cell r="AN155">
            <v>1210168905.0288968</v>
          </cell>
        </row>
        <row r="156">
          <cell r="A156">
            <v>2011</v>
          </cell>
          <cell r="B156" t="str">
            <v>000</v>
          </cell>
          <cell r="C156" t="str">
            <v>A</v>
          </cell>
          <cell r="D156" t="str">
            <v/>
          </cell>
          <cell r="E156">
            <v>25</v>
          </cell>
          <cell r="F156" t="str">
            <v/>
          </cell>
          <cell r="G156" t="str">
            <v/>
          </cell>
          <cell r="H156">
            <v>1572178540.3400002</v>
          </cell>
          <cell r="I156">
            <v>0</v>
          </cell>
          <cell r="K156">
            <v>0</v>
          </cell>
          <cell r="P156">
            <v>91321281.170000032</v>
          </cell>
          <cell r="Q156">
            <v>1442369309.2299988</v>
          </cell>
          <cell r="S156">
            <v>148530.23000000001</v>
          </cell>
          <cell r="U156">
            <v>9264194.3800000008</v>
          </cell>
          <cell r="V156">
            <v>-665</v>
          </cell>
          <cell r="W156">
            <v>31001521.490000006</v>
          </cell>
          <cell r="Y156">
            <v>-2276884.2099999995</v>
          </cell>
          <cell r="Z156">
            <v>351253.05</v>
          </cell>
          <cell r="AA156">
            <v>1533839120.6299989</v>
          </cell>
          <cell r="AB156">
            <v>38339419.710000001</v>
          </cell>
          <cell r="AC156">
            <v>0</v>
          </cell>
          <cell r="AD156">
            <v>0</v>
          </cell>
          <cell r="AE156">
            <v>0</v>
          </cell>
          <cell r="AF156">
            <v>812654466.01499951</v>
          </cell>
          <cell r="AG156">
            <v>782494586.17499948</v>
          </cell>
          <cell r="AH156">
            <v>1572178540.339999</v>
          </cell>
          <cell r="AI156" t="str">
            <v>Full and Open</v>
          </cell>
          <cell r="AJ156" t="str">
            <v>Full and Open -Multiple Bidders</v>
          </cell>
          <cell r="AK156">
            <v>1572178540.3400002</v>
          </cell>
          <cell r="AL156">
            <v>1572178540.3400002</v>
          </cell>
          <cell r="AM156" t="e">
            <v>#VALUE!</v>
          </cell>
          <cell r="AN156">
            <v>1594016567.3121769</v>
          </cell>
        </row>
        <row r="157">
          <cell r="A157">
            <v>2011</v>
          </cell>
          <cell r="B157" t="str">
            <v>000</v>
          </cell>
          <cell r="C157" t="str">
            <v>A</v>
          </cell>
          <cell r="D157" t="str">
            <v/>
          </cell>
          <cell r="E157">
            <v>14</v>
          </cell>
          <cell r="F157" t="str">
            <v/>
          </cell>
          <cell r="G157" t="str">
            <v/>
          </cell>
          <cell r="H157">
            <v>1905276397.940002</v>
          </cell>
          <cell r="I157">
            <v>0</v>
          </cell>
          <cell r="K157">
            <v>0</v>
          </cell>
          <cell r="N157">
            <v>-1297.46</v>
          </cell>
          <cell r="P157">
            <v>614251272.48000038</v>
          </cell>
          <cell r="Q157">
            <v>1223923622.9900005</v>
          </cell>
          <cell r="U157">
            <v>4573669.4000000004</v>
          </cell>
          <cell r="V157">
            <v>43513654</v>
          </cell>
          <cell r="W157">
            <v>8030271.7000000011</v>
          </cell>
          <cell r="Y157">
            <v>-22961811.089999996</v>
          </cell>
          <cell r="Z157">
            <v>33947015.919999994</v>
          </cell>
          <cell r="AA157">
            <v>1838173598.0100007</v>
          </cell>
          <cell r="AB157">
            <v>67102799.93</v>
          </cell>
          <cell r="AC157">
            <v>0</v>
          </cell>
          <cell r="AD157">
            <v>0</v>
          </cell>
          <cell r="AE157">
            <v>0</v>
          </cell>
          <cell r="AF157">
            <v>1226212435.2450006</v>
          </cell>
          <cell r="AG157">
            <v>923101934.85500038</v>
          </cell>
          <cell r="AH157">
            <v>1905276397.940001</v>
          </cell>
          <cell r="AI157" t="str">
            <v>Full and Open</v>
          </cell>
          <cell r="AJ157" t="str">
            <v>Full and Open -Multiple Bidders</v>
          </cell>
          <cell r="AK157">
            <v>1905276397.940002</v>
          </cell>
          <cell r="AL157">
            <v>1905276397.940002</v>
          </cell>
          <cell r="AM157" t="e">
            <v>#VALUE!</v>
          </cell>
          <cell r="AN157">
            <v>1931741253.1075759</v>
          </cell>
        </row>
        <row r="158">
          <cell r="A158">
            <v>2011</v>
          </cell>
          <cell r="B158" t="str">
            <v>000</v>
          </cell>
          <cell r="C158" t="str">
            <v>A</v>
          </cell>
          <cell r="D158" t="str">
            <v/>
          </cell>
          <cell r="E158">
            <v>12</v>
          </cell>
          <cell r="F158" t="str">
            <v/>
          </cell>
          <cell r="G158" t="str">
            <v/>
          </cell>
          <cell r="H158">
            <v>1995251846.8400018</v>
          </cell>
          <cell r="I158">
            <v>0</v>
          </cell>
          <cell r="K158">
            <v>0</v>
          </cell>
          <cell r="L158">
            <v>12328646.82</v>
          </cell>
          <cell r="N158">
            <v>319852.14</v>
          </cell>
          <cell r="O158">
            <v>624454</v>
          </cell>
          <cell r="P158">
            <v>736011012.41000009</v>
          </cell>
          <cell r="Q158">
            <v>977087686.28000009</v>
          </cell>
          <cell r="T158">
            <v>21693999.770000003</v>
          </cell>
          <cell r="U158">
            <v>10949099.02</v>
          </cell>
          <cell r="W158">
            <v>225379232.27000001</v>
          </cell>
          <cell r="Y158">
            <v>10857864.130000003</v>
          </cell>
          <cell r="Z158">
            <v>0</v>
          </cell>
          <cell r="AA158">
            <v>1714043004.8300002</v>
          </cell>
          <cell r="AB158">
            <v>247186195.42000002</v>
          </cell>
          <cell r="AC158">
            <v>12328646.82</v>
          </cell>
          <cell r="AD158">
            <v>21693999.770000003</v>
          </cell>
          <cell r="AE158">
            <v>0</v>
          </cell>
          <cell r="AF158">
            <v>1231503559.0300002</v>
          </cell>
          <cell r="AG158">
            <v>997257214.73000002</v>
          </cell>
          <cell r="AH158">
            <v>1995251846.8400002</v>
          </cell>
          <cell r="AI158" t="str">
            <v>Full and Open</v>
          </cell>
          <cell r="AJ158" t="str">
            <v>Full and Open -Multiple Bidders</v>
          </cell>
          <cell r="AK158">
            <v>1995251846.8400018</v>
          </cell>
          <cell r="AL158">
            <v>1995251846.8400018</v>
          </cell>
          <cell r="AM158" t="e">
            <v>#VALUE!</v>
          </cell>
          <cell r="AN158">
            <v>2022966487.7217906</v>
          </cell>
        </row>
        <row r="159">
          <cell r="A159">
            <v>2011</v>
          </cell>
          <cell r="B159" t="str">
            <v>000</v>
          </cell>
          <cell r="C159" t="str">
            <v>A</v>
          </cell>
          <cell r="D159" t="str">
            <v/>
          </cell>
          <cell r="E159">
            <v>13</v>
          </cell>
          <cell r="F159" t="str">
            <v/>
          </cell>
          <cell r="G159" t="str">
            <v/>
          </cell>
          <cell r="H159">
            <v>2640777188.7300014</v>
          </cell>
          <cell r="I159">
            <v>0</v>
          </cell>
          <cell r="K159">
            <v>0</v>
          </cell>
          <cell r="L159">
            <v>60684325.04999999</v>
          </cell>
          <cell r="O159">
            <v>6696713.8199999994</v>
          </cell>
          <cell r="P159">
            <v>823666939.35000062</v>
          </cell>
          <cell r="Q159">
            <v>1712423494.3400004</v>
          </cell>
          <cell r="T159">
            <v>324000</v>
          </cell>
          <cell r="U159">
            <v>333258.70999999996</v>
          </cell>
          <cell r="W159">
            <v>35413072.290000007</v>
          </cell>
          <cell r="Y159">
            <v>-24459.75</v>
          </cell>
          <cell r="Z159">
            <v>1259844.92</v>
          </cell>
          <cell r="AA159">
            <v>2542787147.5100012</v>
          </cell>
          <cell r="AB159">
            <v>36981716.170000009</v>
          </cell>
          <cell r="AC159">
            <v>60684325.04999999</v>
          </cell>
          <cell r="AD159">
            <v>324000</v>
          </cell>
          <cell r="AE159">
            <v>0</v>
          </cell>
          <cell r="AF159">
            <v>1716917562.8650007</v>
          </cell>
          <cell r="AG159">
            <v>1316417915.5150003</v>
          </cell>
          <cell r="AH159">
            <v>2640777188.730001</v>
          </cell>
          <cell r="AI159" t="str">
            <v>Full and Open</v>
          </cell>
          <cell r="AJ159" t="str">
            <v>Full and Open -Multiple Bidders</v>
          </cell>
          <cell r="AK159">
            <v>2640777188.7300014</v>
          </cell>
          <cell r="AL159">
            <v>2640777188.7300014</v>
          </cell>
          <cell r="AM159" t="e">
            <v>#VALUE!</v>
          </cell>
          <cell r="AN159">
            <v>2677458368.3767633</v>
          </cell>
        </row>
        <row r="160">
          <cell r="A160">
            <v>2011</v>
          </cell>
          <cell r="B160" t="str">
            <v>000</v>
          </cell>
          <cell r="C160" t="str">
            <v>A</v>
          </cell>
          <cell r="D160" t="str">
            <v/>
          </cell>
          <cell r="E160">
            <v>8</v>
          </cell>
          <cell r="F160" t="str">
            <v/>
          </cell>
          <cell r="G160" t="str">
            <v/>
          </cell>
          <cell r="H160">
            <v>2995540059.8099899</v>
          </cell>
          <cell r="I160">
            <v>0</v>
          </cell>
          <cell r="K160">
            <v>0</v>
          </cell>
          <cell r="L160">
            <v>64952451.319999993</v>
          </cell>
          <cell r="P160">
            <v>1497587397.8999977</v>
          </cell>
          <cell r="Q160">
            <v>611627778.21999991</v>
          </cell>
          <cell r="R160">
            <v>7306573.2699999996</v>
          </cell>
          <cell r="S160">
            <v>113862824.79999995</v>
          </cell>
          <cell r="T160">
            <v>153564487.00999999</v>
          </cell>
          <cell r="U160">
            <v>6150451.4200000018</v>
          </cell>
          <cell r="V160">
            <v>2202167</v>
          </cell>
          <cell r="W160">
            <v>493370581.37999976</v>
          </cell>
          <cell r="Y160">
            <v>6059318</v>
          </cell>
          <cell r="Z160">
            <v>38856029.489999987</v>
          </cell>
          <cell r="AA160">
            <v>2230384574.1899977</v>
          </cell>
          <cell r="AB160">
            <v>546638547.28999972</v>
          </cell>
          <cell r="AC160">
            <v>64952451.319999993</v>
          </cell>
          <cell r="AD160">
            <v>153564487.00999999</v>
          </cell>
          <cell r="AE160">
            <v>0</v>
          </cell>
          <cell r="AF160">
            <v>1957046910.7399976</v>
          </cell>
          <cell r="AG160">
            <v>1608502989.4899986</v>
          </cell>
          <cell r="AH160">
            <v>2995540059.8099971</v>
          </cell>
          <cell r="AI160" t="str">
            <v>Full and Open</v>
          </cell>
          <cell r="AJ160" t="str">
            <v>Full and Open -Multiple Bidders</v>
          </cell>
          <cell r="AK160">
            <v>2995540059.8099899</v>
          </cell>
          <cell r="AL160">
            <v>2995540059.8099899</v>
          </cell>
          <cell r="AM160" t="e">
            <v>#VALUE!</v>
          </cell>
          <cell r="AN160">
            <v>3037149001.1254082</v>
          </cell>
        </row>
        <row r="161">
          <cell r="A161">
            <v>2011</v>
          </cell>
          <cell r="B161" t="str">
            <v>000</v>
          </cell>
          <cell r="C161" t="str">
            <v>A</v>
          </cell>
          <cell r="D161" t="str">
            <v/>
          </cell>
          <cell r="E161">
            <v>20</v>
          </cell>
          <cell r="F161" t="str">
            <v/>
          </cell>
          <cell r="G161" t="str">
            <v/>
          </cell>
          <cell r="H161">
            <v>3168445888.420001</v>
          </cell>
          <cell r="I161">
            <v>0</v>
          </cell>
          <cell r="K161">
            <v>0</v>
          </cell>
          <cell r="P161">
            <v>300684635.99000001</v>
          </cell>
          <cell r="Q161">
            <v>2833384814.2600012</v>
          </cell>
          <cell r="U161">
            <v>658778</v>
          </cell>
          <cell r="W161">
            <v>33717660.170000002</v>
          </cell>
          <cell r="AA161">
            <v>3134069450.250001</v>
          </cell>
          <cell r="AB161">
            <v>34376438.170000002</v>
          </cell>
          <cell r="AC161">
            <v>0</v>
          </cell>
          <cell r="AD161">
            <v>0</v>
          </cell>
          <cell r="AE161">
            <v>0</v>
          </cell>
          <cell r="AF161">
            <v>1717377043.1200006</v>
          </cell>
          <cell r="AG161">
            <v>1583893555.2100005</v>
          </cell>
          <cell r="AH161">
            <v>3168445888.420001</v>
          </cell>
          <cell r="AI161" t="str">
            <v>Full and Open</v>
          </cell>
          <cell r="AJ161" t="str">
            <v>Full and Open -Multiple Bidders</v>
          </cell>
          <cell r="AK161">
            <v>3168445888.420001</v>
          </cell>
          <cell r="AL161">
            <v>3168445888.420001</v>
          </cell>
          <cell r="AM161" t="e">
            <v>#VALUE!</v>
          </cell>
          <cell r="AN161">
            <v>3212456543.0599222</v>
          </cell>
        </row>
        <row r="162">
          <cell r="A162">
            <v>2011</v>
          </cell>
          <cell r="B162" t="str">
            <v>000</v>
          </cell>
          <cell r="C162" t="str">
            <v>A</v>
          </cell>
          <cell r="D162" t="str">
            <v/>
          </cell>
          <cell r="E162">
            <v>9</v>
          </cell>
          <cell r="F162" t="str">
            <v/>
          </cell>
          <cell r="G162" t="str">
            <v/>
          </cell>
          <cell r="H162">
            <v>3235479885.2699966</v>
          </cell>
          <cell r="I162">
            <v>0</v>
          </cell>
          <cell r="K162">
            <v>0</v>
          </cell>
          <cell r="L162">
            <v>58518390.469999999</v>
          </cell>
          <cell r="N162">
            <v>-983443.62</v>
          </cell>
          <cell r="O162">
            <v>2972932.92</v>
          </cell>
          <cell r="P162">
            <v>1779149561.0799954</v>
          </cell>
          <cell r="Q162">
            <v>462320033.02999997</v>
          </cell>
          <cell r="R162">
            <v>0</v>
          </cell>
          <cell r="S162">
            <v>16633066.41</v>
          </cell>
          <cell r="T162">
            <v>111831555.02999997</v>
          </cell>
          <cell r="U162">
            <v>335658165.76999998</v>
          </cell>
          <cell r="V162">
            <v>3963576</v>
          </cell>
          <cell r="W162">
            <v>388574525.95999986</v>
          </cell>
          <cell r="X162">
            <v>29989037</v>
          </cell>
          <cell r="Y162">
            <v>46968553.590000004</v>
          </cell>
          <cell r="Z162">
            <v>-116068.37</v>
          </cell>
          <cell r="AA162">
            <v>2260092149.8199949</v>
          </cell>
          <cell r="AB162">
            <v>775048752.94999981</v>
          </cell>
          <cell r="AC162">
            <v>58518390.469999999</v>
          </cell>
          <cell r="AD162">
            <v>141820592.02999997</v>
          </cell>
          <cell r="AE162">
            <v>0</v>
          </cell>
          <cell r="AF162">
            <v>2058683050.3499954</v>
          </cell>
          <cell r="AG162">
            <v>1502243191.8999977</v>
          </cell>
          <cell r="AH162">
            <v>3235479885.2699952</v>
          </cell>
          <cell r="AI162" t="str">
            <v>Full and Open</v>
          </cell>
          <cell r="AJ162" t="str">
            <v>Full and Open -Multiple Bidders</v>
          </cell>
          <cell r="AK162">
            <v>3235479885.2699966</v>
          </cell>
          <cell r="AL162">
            <v>3235479885.2699966</v>
          </cell>
          <cell r="AM162" t="e">
            <v>#VALUE!</v>
          </cell>
          <cell r="AN162">
            <v>3280421662.0399442</v>
          </cell>
        </row>
        <row r="163">
          <cell r="A163">
            <v>2011</v>
          </cell>
          <cell r="B163" t="str">
            <v>000</v>
          </cell>
          <cell r="C163" t="str">
            <v>A</v>
          </cell>
          <cell r="D163" t="str">
            <v/>
          </cell>
          <cell r="E163">
            <v>7</v>
          </cell>
          <cell r="F163" t="str">
            <v/>
          </cell>
          <cell r="G163" t="str">
            <v/>
          </cell>
          <cell r="H163">
            <v>4143369458.3801045</v>
          </cell>
          <cell r="I163">
            <v>0</v>
          </cell>
          <cell r="K163">
            <v>0</v>
          </cell>
          <cell r="L163">
            <v>48572133.32</v>
          </cell>
          <cell r="O163">
            <v>18849040.23</v>
          </cell>
          <cell r="P163">
            <v>2695890988.3399839</v>
          </cell>
          <cell r="Q163">
            <v>266524017.88000005</v>
          </cell>
          <cell r="R163">
            <v>75698375.430000007</v>
          </cell>
          <cell r="S163">
            <v>116248.03</v>
          </cell>
          <cell r="T163">
            <v>184665579.72999996</v>
          </cell>
          <cell r="U163">
            <v>76971148.74000001</v>
          </cell>
          <cell r="V163">
            <v>3585324</v>
          </cell>
          <cell r="W163">
            <v>279986123.83000016</v>
          </cell>
          <cell r="X163">
            <v>6717544</v>
          </cell>
          <cell r="Y163">
            <v>467235108.43000007</v>
          </cell>
          <cell r="Z163">
            <v>18557826.420000002</v>
          </cell>
          <cell r="AA163">
            <v>3057078669.9099841</v>
          </cell>
          <cell r="AB163">
            <v>846335531.4200002</v>
          </cell>
          <cell r="AC163">
            <v>48572133.32</v>
          </cell>
          <cell r="AD163">
            <v>191383123.72999996</v>
          </cell>
          <cell r="AE163">
            <v>0</v>
          </cell>
          <cell r="AF163">
            <v>2948102727.6299839</v>
          </cell>
          <cell r="AG163">
            <v>1912684378.8749924</v>
          </cell>
          <cell r="AH163">
            <v>4143369458.3799849</v>
          </cell>
          <cell r="AI163" t="str">
            <v>Full and Open</v>
          </cell>
          <cell r="AJ163" t="str">
            <v>Full and Open -Multiple Bidders</v>
          </cell>
          <cell r="AK163">
            <v>4143369458.3801045</v>
          </cell>
          <cell r="AL163">
            <v>4143369458.3801045</v>
          </cell>
          <cell r="AM163" t="e">
            <v>#VALUE!</v>
          </cell>
          <cell r="AN163">
            <v>4200922091.0271769</v>
          </cell>
        </row>
        <row r="164">
          <cell r="A164">
            <v>2011</v>
          </cell>
          <cell r="B164" t="str">
            <v>000</v>
          </cell>
          <cell r="C164" t="str">
            <v>A</v>
          </cell>
          <cell r="D164" t="str">
            <v/>
          </cell>
          <cell r="E164">
            <v>10</v>
          </cell>
          <cell r="F164" t="str">
            <v/>
          </cell>
          <cell r="G164" t="str">
            <v/>
          </cell>
          <cell r="H164">
            <v>4321161598.7799931</v>
          </cell>
          <cell r="I164">
            <v>0</v>
          </cell>
          <cell r="K164">
            <v>0</v>
          </cell>
          <cell r="L164">
            <v>36275584.070000008</v>
          </cell>
          <cell r="P164">
            <v>3911292492.8299956</v>
          </cell>
          <cell r="Q164">
            <v>114614776.27000001</v>
          </cell>
          <cell r="S164">
            <v>-16792.580000000002</v>
          </cell>
          <cell r="T164">
            <v>25482321.74000001</v>
          </cell>
          <cell r="U164">
            <v>22860048.630000003</v>
          </cell>
          <cell r="V164">
            <v>1394491</v>
          </cell>
          <cell r="W164">
            <v>160312980.0399999</v>
          </cell>
          <cell r="X164">
            <v>7553366</v>
          </cell>
          <cell r="Y164">
            <v>7767273.5799999991</v>
          </cell>
          <cell r="Z164">
            <v>33625057.199999996</v>
          </cell>
          <cell r="AA164">
            <v>4025890476.5199957</v>
          </cell>
          <cell r="AB164">
            <v>225959850.4499999</v>
          </cell>
          <cell r="AC164">
            <v>36275584.070000008</v>
          </cell>
          <cell r="AD164">
            <v>33035687.74000001</v>
          </cell>
          <cell r="AE164">
            <v>0</v>
          </cell>
          <cell r="AF164">
            <v>3986720880.4199958</v>
          </cell>
          <cell r="AG164">
            <v>2144266811.764998</v>
          </cell>
          <cell r="AH164">
            <v>4321161598.7799959</v>
          </cell>
          <cell r="AI164" t="str">
            <v>Full and Open</v>
          </cell>
          <cell r="AJ164" t="str">
            <v>Full and Open -Multiple Bidders</v>
          </cell>
          <cell r="AK164">
            <v>4321161598.7799931</v>
          </cell>
          <cell r="AL164">
            <v>4321161598.7799931</v>
          </cell>
          <cell r="AM164" t="e">
            <v>#VALUE!</v>
          </cell>
          <cell r="AN164">
            <v>4381183817.0739059</v>
          </cell>
        </row>
        <row r="165">
          <cell r="A165">
            <v>2011</v>
          </cell>
          <cell r="B165" t="str">
            <v>000</v>
          </cell>
          <cell r="C165" t="str">
            <v>A</v>
          </cell>
          <cell r="D165" t="str">
            <v/>
          </cell>
          <cell r="E165">
            <v>6</v>
          </cell>
          <cell r="F165" t="str">
            <v/>
          </cell>
          <cell r="G165" t="str">
            <v/>
          </cell>
          <cell r="H165">
            <v>5033595423.1699963</v>
          </cell>
          <cell r="I165">
            <v>0</v>
          </cell>
          <cell r="K165">
            <v>0</v>
          </cell>
          <cell r="L165">
            <v>184587467.60999995</v>
          </cell>
          <cell r="N165">
            <v>-1184367.58</v>
          </cell>
          <cell r="O165">
            <v>6301763.5099999998</v>
          </cell>
          <cell r="P165">
            <v>3161224338.5099931</v>
          </cell>
          <cell r="Q165">
            <v>299778012.63999987</v>
          </cell>
          <cell r="R165">
            <v>81386</v>
          </cell>
          <cell r="S165">
            <v>512384.81999999995</v>
          </cell>
          <cell r="T165">
            <v>289379131.08999997</v>
          </cell>
          <cell r="U165">
            <v>40318745.420000002</v>
          </cell>
          <cell r="V165">
            <v>93935</v>
          </cell>
          <cell r="W165">
            <v>602382410.49999988</v>
          </cell>
          <cell r="X165">
            <v>35684517.219999999</v>
          </cell>
          <cell r="Y165">
            <v>260180947.37000003</v>
          </cell>
          <cell r="Z165">
            <v>154254751.05999991</v>
          </cell>
          <cell r="AA165">
            <v>3466713517.8999929</v>
          </cell>
          <cell r="AB165">
            <v>1057230789.3499998</v>
          </cell>
          <cell r="AC165">
            <v>184587467.60999995</v>
          </cell>
          <cell r="AD165">
            <v>325063648.30999994</v>
          </cell>
          <cell r="AE165">
            <v>0</v>
          </cell>
          <cell r="AF165">
            <v>3409710429.174993</v>
          </cell>
          <cell r="AG165">
            <v>2449051349.969996</v>
          </cell>
          <cell r="AH165">
            <v>5033595423.1699924</v>
          </cell>
          <cell r="AI165" t="str">
            <v>Full and Open</v>
          </cell>
          <cell r="AJ165" t="str">
            <v>Full and Open -Multiple Bidders</v>
          </cell>
          <cell r="AK165">
            <v>5033595423.1699963</v>
          </cell>
          <cell r="AL165">
            <v>5033595423.1699963</v>
          </cell>
          <cell r="AM165" t="e">
            <v>#VALUE!</v>
          </cell>
          <cell r="AN165">
            <v>5103513558.9273005</v>
          </cell>
        </row>
        <row r="166">
          <cell r="A166">
            <v>2011</v>
          </cell>
          <cell r="B166" t="str">
            <v>000</v>
          </cell>
          <cell r="C166" t="str">
            <v>A</v>
          </cell>
          <cell r="D166" t="str">
            <v/>
          </cell>
          <cell r="E166">
            <v>4</v>
          </cell>
          <cell r="F166" t="str">
            <v/>
          </cell>
          <cell r="G166" t="str">
            <v/>
          </cell>
          <cell r="H166">
            <v>12704032699.86998</v>
          </cell>
          <cell r="I166">
            <v>0</v>
          </cell>
          <cell r="K166">
            <v>0</v>
          </cell>
          <cell r="L166">
            <v>132042237.77000001</v>
          </cell>
          <cell r="N166">
            <v>49798507.530000001</v>
          </cell>
          <cell r="O166">
            <v>20891426.129999995</v>
          </cell>
          <cell r="P166">
            <v>8603247247.7000237</v>
          </cell>
          <cell r="Q166">
            <v>77006776.210000053</v>
          </cell>
          <cell r="R166">
            <v>288013257.25000018</v>
          </cell>
          <cell r="S166">
            <v>63686572.599999994</v>
          </cell>
          <cell r="T166">
            <v>986163054.0999999</v>
          </cell>
          <cell r="U166">
            <v>113213462.16999997</v>
          </cell>
          <cell r="V166">
            <v>1276085.71</v>
          </cell>
          <cell r="W166">
            <v>1749217793.1600013</v>
          </cell>
          <cell r="X166">
            <v>159194803.66000003</v>
          </cell>
          <cell r="Y166">
            <v>435553368.77000004</v>
          </cell>
          <cell r="Z166">
            <v>24729025.699999999</v>
          </cell>
          <cell r="AA166">
            <v>9102643787.4200249</v>
          </cell>
          <cell r="AB166">
            <v>2323989735.5100012</v>
          </cell>
          <cell r="AC166">
            <v>132042237.77000001</v>
          </cell>
          <cell r="AD166">
            <v>1145357857.76</v>
          </cell>
          <cell r="AE166">
            <v>0</v>
          </cell>
          <cell r="AF166">
            <v>9105262264.4350243</v>
          </cell>
          <cell r="AG166">
            <v>6802713968.7950125</v>
          </cell>
          <cell r="AH166">
            <v>12704033618.460028</v>
          </cell>
          <cell r="AI166" t="str">
            <v>Full and Open</v>
          </cell>
          <cell r="AJ166" t="str">
            <v>Full and Open -Multiple Bidders</v>
          </cell>
          <cell r="AK166">
            <v>12704032699.86998</v>
          </cell>
          <cell r="AL166">
            <v>12704032699.86998</v>
          </cell>
          <cell r="AM166" t="e">
            <v>#VALUE!</v>
          </cell>
          <cell r="AN166">
            <v>12880495488.056353</v>
          </cell>
        </row>
        <row r="167">
          <cell r="A167">
            <v>2011</v>
          </cell>
          <cell r="B167" t="str">
            <v>000</v>
          </cell>
          <cell r="C167" t="str">
            <v>A</v>
          </cell>
          <cell r="D167" t="str">
            <v/>
          </cell>
          <cell r="E167">
            <v>5</v>
          </cell>
          <cell r="F167" t="str">
            <v/>
          </cell>
          <cell r="G167" t="str">
            <v/>
          </cell>
          <cell r="H167">
            <v>13050697565.370243</v>
          </cell>
          <cell r="I167">
            <v>0</v>
          </cell>
          <cell r="K167">
            <v>0</v>
          </cell>
          <cell r="L167">
            <v>214244576.74000022</v>
          </cell>
          <cell r="N167">
            <v>1796796.4100000001</v>
          </cell>
          <cell r="O167">
            <v>22904694.890000001</v>
          </cell>
          <cell r="P167">
            <v>8732739871.460022</v>
          </cell>
          <cell r="Q167">
            <v>565656609.56000006</v>
          </cell>
          <cell r="R167">
            <v>580488348.37000012</v>
          </cell>
          <cell r="S167">
            <v>97891376.650000006</v>
          </cell>
          <cell r="T167">
            <v>798838082.46000016</v>
          </cell>
          <cell r="U167">
            <v>140518752.49000001</v>
          </cell>
          <cell r="V167">
            <v>36800.879999999997</v>
          </cell>
          <cell r="W167">
            <v>1408487503.9499989</v>
          </cell>
          <cell r="X167">
            <v>124834391.15000001</v>
          </cell>
          <cell r="Y167">
            <v>153624964.78999993</v>
          </cell>
          <cell r="Z167">
            <v>208634795.57000005</v>
          </cell>
          <cell r="AA167">
            <v>10001477697.340021</v>
          </cell>
          <cell r="AB167">
            <v>1911302817.6799989</v>
          </cell>
          <cell r="AC167">
            <v>214244576.74000022</v>
          </cell>
          <cell r="AD167">
            <v>923672473.61000013</v>
          </cell>
          <cell r="AE167">
            <v>0</v>
          </cell>
          <cell r="AF167">
            <v>9824873282.7250233</v>
          </cell>
          <cell r="AG167">
            <v>7063514877.6900091</v>
          </cell>
          <cell r="AH167">
            <v>13050697565.37002</v>
          </cell>
          <cell r="AI167" t="str">
            <v>Full and Open</v>
          </cell>
          <cell r="AJ167" t="str">
            <v>Full and Open -Multiple Bidders</v>
          </cell>
          <cell r="AK167">
            <v>13050697565.370243</v>
          </cell>
          <cell r="AL167">
            <v>13050697565.370243</v>
          </cell>
          <cell r="AM167" t="e">
            <v>#VALUE!</v>
          </cell>
          <cell r="AN167">
            <v>13231975631.522097</v>
          </cell>
        </row>
        <row r="168">
          <cell r="A168">
            <v>2011</v>
          </cell>
          <cell r="B168" t="str">
            <v>000</v>
          </cell>
          <cell r="C168" t="str">
            <v>A</v>
          </cell>
          <cell r="D168" t="str">
            <v/>
          </cell>
          <cell r="E168">
            <v>3</v>
          </cell>
          <cell r="F168" t="str">
            <v/>
          </cell>
          <cell r="G168" t="str">
            <v/>
          </cell>
          <cell r="H168">
            <v>30859344004.659946</v>
          </cell>
          <cell r="I168">
            <v>0</v>
          </cell>
          <cell r="K168">
            <v>0</v>
          </cell>
          <cell r="L168">
            <v>604585585.77000022</v>
          </cell>
          <cell r="M168">
            <v>0</v>
          </cell>
          <cell r="N168">
            <v>37807829.339999996</v>
          </cell>
          <cell r="O168">
            <v>54989849.030000001</v>
          </cell>
          <cell r="P168">
            <v>12684594203.16995</v>
          </cell>
          <cell r="Q168">
            <v>600730157.51000059</v>
          </cell>
          <cell r="R168">
            <v>585953328.40000021</v>
          </cell>
          <cell r="S168">
            <v>668613087.70999956</v>
          </cell>
          <cell r="T168">
            <v>7840329173.0099993</v>
          </cell>
          <cell r="U168">
            <v>829785060.48000014</v>
          </cell>
          <cell r="V168">
            <v>52339274.460000001</v>
          </cell>
          <cell r="W168">
            <v>3868255393.5900025</v>
          </cell>
          <cell r="X168">
            <v>2261389736.9300003</v>
          </cell>
          <cell r="Y168">
            <v>688572254.94999993</v>
          </cell>
          <cell r="Z168">
            <v>81401164.209999993</v>
          </cell>
          <cell r="AA168">
            <v>14632688455.15995</v>
          </cell>
          <cell r="AB168">
            <v>5520353147.6900024</v>
          </cell>
          <cell r="AC168">
            <v>604585585.77000022</v>
          </cell>
          <cell r="AD168">
            <v>10101718909.939999</v>
          </cell>
          <cell r="AE168">
            <v>0</v>
          </cell>
          <cell r="AF168">
            <v>14615712254.619951</v>
          </cell>
          <cell r="AG168">
            <v>20254271910.739979</v>
          </cell>
          <cell r="AH168">
            <v>30859346098.559952</v>
          </cell>
          <cell r="AI168" t="str">
            <v>Full and Open</v>
          </cell>
          <cell r="AJ168" t="str">
            <v>Full and Open -Multiple Bidders</v>
          </cell>
          <cell r="AK168">
            <v>30859344004.659946</v>
          </cell>
          <cell r="AL168">
            <v>30859344004.659946</v>
          </cell>
          <cell r="AM168" t="e">
            <v>#VALUE!</v>
          </cell>
          <cell r="AN168">
            <v>31287989460.265587</v>
          </cell>
        </row>
        <row r="169">
          <cell r="A169">
            <v>2011</v>
          </cell>
          <cell r="B169" t="str">
            <v>000</v>
          </cell>
          <cell r="C169" t="str">
            <v>A</v>
          </cell>
          <cell r="D169" t="str">
            <v/>
          </cell>
          <cell r="E169">
            <v>1</v>
          </cell>
          <cell r="F169" t="str">
            <v/>
          </cell>
          <cell r="G169" t="str">
            <v/>
          </cell>
          <cell r="H169">
            <v>32310490295.099709</v>
          </cell>
          <cell r="I169">
            <v>0</v>
          </cell>
          <cell r="K169">
            <v>0</v>
          </cell>
          <cell r="L169">
            <v>1109541540.9799998</v>
          </cell>
          <cell r="M169">
            <v>0</v>
          </cell>
          <cell r="N169">
            <v>17332454.449999999</v>
          </cell>
          <cell r="O169">
            <v>80168911.700000033</v>
          </cell>
          <cell r="P169">
            <v>19402509935.309669</v>
          </cell>
          <cell r="Q169">
            <v>296349931.97000003</v>
          </cell>
          <cell r="R169">
            <v>100294787.38999999</v>
          </cell>
          <cell r="S169">
            <v>51166137.909999996</v>
          </cell>
          <cell r="T169">
            <v>702933644.03999972</v>
          </cell>
          <cell r="U169">
            <v>506942199.65999997</v>
          </cell>
          <cell r="V169">
            <v>8023518.8500000006</v>
          </cell>
          <cell r="W169">
            <v>7354747922.4500303</v>
          </cell>
          <cell r="X169">
            <v>332821981.11999995</v>
          </cell>
          <cell r="Y169">
            <v>2167447796.9199963</v>
          </cell>
          <cell r="Z169">
            <v>176732016.11999989</v>
          </cell>
          <cell r="AA169">
            <v>19947822158.729671</v>
          </cell>
          <cell r="AB169">
            <v>10213893454.000027</v>
          </cell>
          <cell r="AC169">
            <v>1109541540.9799998</v>
          </cell>
          <cell r="AD169">
            <v>1035755625.1599996</v>
          </cell>
          <cell r="AE169">
            <v>0</v>
          </cell>
          <cell r="AF169">
            <v>20345751736.00967</v>
          </cell>
          <cell r="AG169">
            <v>15277457443.03985</v>
          </cell>
          <cell r="AH169">
            <v>32307012778.869694</v>
          </cell>
          <cell r="AI169" t="str">
            <v>Full and Open</v>
          </cell>
          <cell r="AJ169" t="str">
            <v>Full and Open -Single Bidder</v>
          </cell>
          <cell r="AK169">
            <v>32310490295.099709</v>
          </cell>
          <cell r="AL169">
            <v>32310490295.099709</v>
          </cell>
          <cell r="AM169" t="e">
            <v>#VALUE!</v>
          </cell>
          <cell r="AN169">
            <v>32759292603.771378</v>
          </cell>
        </row>
        <row r="170">
          <cell r="A170">
            <v>2011</v>
          </cell>
          <cell r="B170" t="str">
            <v>000</v>
          </cell>
          <cell r="C170" t="str">
            <v>A</v>
          </cell>
          <cell r="D170" t="str">
            <v/>
          </cell>
          <cell r="E170">
            <v>2</v>
          </cell>
          <cell r="F170" t="str">
            <v/>
          </cell>
          <cell r="G170" t="str">
            <v/>
          </cell>
          <cell r="H170">
            <v>38979371910.529938</v>
          </cell>
          <cell r="I170">
            <v>0</v>
          </cell>
          <cell r="K170">
            <v>0</v>
          </cell>
          <cell r="L170">
            <v>899053066.54999924</v>
          </cell>
          <cell r="N170">
            <v>32776293.620000001</v>
          </cell>
          <cell r="O170">
            <v>39858144.109999992</v>
          </cell>
          <cell r="P170">
            <v>15133867369.500002</v>
          </cell>
          <cell r="Q170">
            <v>1060734812.0600003</v>
          </cell>
          <cell r="R170">
            <v>373303005.16999978</v>
          </cell>
          <cell r="S170">
            <v>21653749.789999999</v>
          </cell>
          <cell r="T170">
            <v>3656229349.5899987</v>
          </cell>
          <cell r="U170">
            <v>722185919.76999962</v>
          </cell>
          <cell r="V170">
            <v>11122235.24</v>
          </cell>
          <cell r="W170">
            <v>7075638158.5800076</v>
          </cell>
          <cell r="X170">
            <v>7931538073.2700071</v>
          </cell>
          <cell r="Y170">
            <v>1666049293.3100049</v>
          </cell>
          <cell r="Z170">
            <v>355371891.51000017</v>
          </cell>
          <cell r="AA170">
            <v>16662193374.250002</v>
          </cell>
          <cell r="AB170">
            <v>9830367498.4100113</v>
          </cell>
          <cell r="AC170">
            <v>899053066.54999924</v>
          </cell>
          <cell r="AD170">
            <v>11587767422.860006</v>
          </cell>
          <cell r="AE170">
            <v>0</v>
          </cell>
          <cell r="AF170">
            <v>16564964354.685003</v>
          </cell>
          <cell r="AG170">
            <v>24083759027.97501</v>
          </cell>
          <cell r="AH170">
            <v>38979381362.070023</v>
          </cell>
          <cell r="AI170" t="str">
            <v>Full and Open</v>
          </cell>
          <cell r="AJ170" t="str">
            <v>Full and Open -Multiple Bidders</v>
          </cell>
          <cell r="AK170">
            <v>38979371910.529938</v>
          </cell>
          <cell r="AL170">
            <v>38979371910.529938</v>
          </cell>
          <cell r="AM170" t="e">
            <v>#VALUE!</v>
          </cell>
          <cell r="AN170">
            <v>39520806965.963638</v>
          </cell>
        </row>
        <row r="171">
          <cell r="A171">
            <v>2011</v>
          </cell>
          <cell r="B171" t="str">
            <v>000</v>
          </cell>
          <cell r="C171" t="str">
            <v>A</v>
          </cell>
          <cell r="D171" t="str">
            <v>8AN</v>
          </cell>
          <cell r="E171">
            <v>2</v>
          </cell>
          <cell r="F171" t="str">
            <v/>
          </cell>
          <cell r="G171" t="str">
            <v/>
          </cell>
          <cell r="H171">
            <v>-1201606.0699999998</v>
          </cell>
          <cell r="I171">
            <v>0</v>
          </cell>
          <cell r="Q171">
            <v>-753713.61</v>
          </cell>
          <cell r="U171">
            <v>372047.54</v>
          </cell>
          <cell r="W171">
            <v>-819940</v>
          </cell>
          <cell r="AA171">
            <v>-753713.61</v>
          </cell>
          <cell r="AB171">
            <v>-447892.46</v>
          </cell>
          <cell r="AC171">
            <v>0</v>
          </cell>
          <cell r="AD171">
            <v>0</v>
          </cell>
          <cell r="AE171">
            <v>0</v>
          </cell>
          <cell r="AF171">
            <v>-376856.80499999999</v>
          </cell>
          <cell r="AG171">
            <v>-786826.80499999993</v>
          </cell>
          <cell r="AH171">
            <v>-1201606.07</v>
          </cell>
          <cell r="AI171" t="str">
            <v>Full and Open</v>
          </cell>
          <cell r="AJ171" t="str">
            <v>Full and Open -Multiple Bidders</v>
          </cell>
          <cell r="AK171">
            <v>-1201606.0699999998</v>
          </cell>
          <cell r="AL171">
            <v>-1201606.0699999998</v>
          </cell>
          <cell r="AM171" t="e">
            <v>#VALUE!</v>
          </cell>
          <cell r="AN171">
            <v>-1218296.7352732434</v>
          </cell>
        </row>
        <row r="172">
          <cell r="A172">
            <v>2011</v>
          </cell>
          <cell r="B172" t="str">
            <v>000</v>
          </cell>
          <cell r="C172" t="str">
            <v>A</v>
          </cell>
          <cell r="D172" t="str">
            <v>8AN</v>
          </cell>
          <cell r="E172">
            <v>1</v>
          </cell>
          <cell r="F172" t="str">
            <v/>
          </cell>
          <cell r="G172" t="str">
            <v/>
          </cell>
          <cell r="H172">
            <v>-17453.599999999999</v>
          </cell>
          <cell r="I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Full and Open</v>
          </cell>
          <cell r="AJ172" t="str">
            <v>Full and Open -Single Bidder</v>
          </cell>
          <cell r="AK172">
            <v>-17453.599999999999</v>
          </cell>
          <cell r="AL172">
            <v>-17453.599999999999</v>
          </cell>
          <cell r="AM172" t="e">
            <v>#VALUE!</v>
          </cell>
          <cell r="AN172">
            <v>-17696.035688938457</v>
          </cell>
        </row>
        <row r="173">
          <cell r="A173">
            <v>2011</v>
          </cell>
          <cell r="B173" t="str">
            <v>000</v>
          </cell>
          <cell r="C173" t="str">
            <v>A</v>
          </cell>
          <cell r="D173" t="str">
            <v>8AN</v>
          </cell>
          <cell r="E173">
            <v>3</v>
          </cell>
          <cell r="F173" t="str">
            <v/>
          </cell>
          <cell r="G173" t="str">
            <v/>
          </cell>
          <cell r="H173">
            <v>-1129.5999999999999</v>
          </cell>
          <cell r="I173">
            <v>0</v>
          </cell>
          <cell r="P173">
            <v>-1129.5999999999999</v>
          </cell>
          <cell r="AA173">
            <v>-1129.5999999999999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-1129.5999999999999</v>
          </cell>
          <cell r="AG173">
            <v>-564.79999999999995</v>
          </cell>
          <cell r="AH173">
            <v>-1129.5999999999999</v>
          </cell>
          <cell r="AI173" t="str">
            <v>Full and Open</v>
          </cell>
          <cell r="AJ173" t="str">
            <v>Full and Open -Multiple Bidders</v>
          </cell>
          <cell r="AK173">
            <v>-1129.5999999999999</v>
          </cell>
          <cell r="AL173">
            <v>-1129.5999999999999</v>
          </cell>
          <cell r="AM173" t="e">
            <v>#VALUE!</v>
          </cell>
          <cell r="AN173">
            <v>-1145.2904795701104</v>
          </cell>
        </row>
        <row r="174">
          <cell r="A174">
            <v>2011</v>
          </cell>
          <cell r="B174" t="str">
            <v>000</v>
          </cell>
          <cell r="C174" t="str">
            <v>A</v>
          </cell>
          <cell r="D174" t="str">
            <v>FOC</v>
          </cell>
          <cell r="E174">
            <v>1</v>
          </cell>
          <cell r="F174" t="str">
            <v/>
          </cell>
          <cell r="G174" t="str">
            <v/>
          </cell>
          <cell r="H174">
            <v>-4987.67</v>
          </cell>
          <cell r="I174">
            <v>0</v>
          </cell>
          <cell r="P174">
            <v>-4987.67</v>
          </cell>
          <cell r="AA174">
            <v>-4987.67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-4987.67</v>
          </cell>
          <cell r="AG174">
            <v>-2493.835</v>
          </cell>
          <cell r="AH174">
            <v>-4987.67</v>
          </cell>
          <cell r="AI174" t="str">
            <v>Full and Open</v>
          </cell>
          <cell r="AJ174" t="str">
            <v>Full and Open -Single Bidder</v>
          </cell>
          <cell r="AK174">
            <v>-4987.67</v>
          </cell>
          <cell r="AL174">
            <v>-4987.67</v>
          </cell>
          <cell r="AM174" t="e">
            <v>#VALUE!</v>
          </cell>
          <cell r="AN174">
            <v>-5056.9502179864139</v>
          </cell>
        </row>
        <row r="175">
          <cell r="A175">
            <v>2011</v>
          </cell>
          <cell r="B175" t="str">
            <v>000</v>
          </cell>
          <cell r="C175" t="str">
            <v>A</v>
          </cell>
          <cell r="D175" t="str">
            <v>ONE</v>
          </cell>
          <cell r="E175">
            <v>1</v>
          </cell>
          <cell r="F175" t="str">
            <v/>
          </cell>
          <cell r="G175" t="str">
            <v/>
          </cell>
          <cell r="H175">
            <v>-19538.940000000002</v>
          </cell>
          <cell r="I175">
            <v>0</v>
          </cell>
          <cell r="P175">
            <v>-19538.940000000002</v>
          </cell>
          <cell r="AA175">
            <v>-19538.940000000002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-19538.940000000002</v>
          </cell>
          <cell r="AG175">
            <v>-9769.4700000000012</v>
          </cell>
          <cell r="AH175">
            <v>-19538.940000000002</v>
          </cell>
          <cell r="AI175" t="str">
            <v>Full and Open</v>
          </cell>
          <cell r="AJ175" t="str">
            <v>Full and Open -Single Bidder</v>
          </cell>
          <cell r="AK175">
            <v>-19538.940000000002</v>
          </cell>
          <cell r="AL175">
            <v>-19538.940000000002</v>
          </cell>
          <cell r="AM175" t="e">
            <v>#VALUE!</v>
          </cell>
          <cell r="AN175">
            <v>-19810.341681030117</v>
          </cell>
        </row>
        <row r="176">
          <cell r="A176">
            <v>2011</v>
          </cell>
          <cell r="B176" t="str">
            <v>000</v>
          </cell>
          <cell r="C176" t="str">
            <v>A</v>
          </cell>
          <cell r="D176" t="str">
            <v>ONE</v>
          </cell>
          <cell r="E176">
            <v>2</v>
          </cell>
          <cell r="F176" t="str">
            <v/>
          </cell>
          <cell r="G176" t="str">
            <v/>
          </cell>
          <cell r="H176">
            <v>-2689.78</v>
          </cell>
          <cell r="I176">
            <v>0</v>
          </cell>
          <cell r="W176">
            <v>-2689.78</v>
          </cell>
          <cell r="AA176">
            <v>0</v>
          </cell>
          <cell r="AB176">
            <v>-2689.78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-1344.89</v>
          </cell>
          <cell r="AH176">
            <v>-2689.78</v>
          </cell>
          <cell r="AI176" t="str">
            <v>Full and Open</v>
          </cell>
          <cell r="AJ176" t="str">
            <v>Full and Open -Multiple Bidders</v>
          </cell>
          <cell r="AK176">
            <v>-2689.78</v>
          </cell>
          <cell r="AL176">
            <v>-2689.78</v>
          </cell>
          <cell r="AM176" t="e">
            <v>#VALUE!</v>
          </cell>
          <cell r="AN176">
            <v>-2727.1418432525602</v>
          </cell>
        </row>
        <row r="177">
          <cell r="A177">
            <v>2011</v>
          </cell>
          <cell r="B177" t="str">
            <v>000</v>
          </cell>
          <cell r="C177" t="str">
            <v>A</v>
          </cell>
          <cell r="D177" t="str">
            <v>STD</v>
          </cell>
          <cell r="E177">
            <v>1</v>
          </cell>
          <cell r="F177" t="str">
            <v/>
          </cell>
          <cell r="G177" t="str">
            <v/>
          </cell>
          <cell r="H177">
            <v>0</v>
          </cell>
          <cell r="I177">
            <v>0</v>
          </cell>
          <cell r="P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Full and Open</v>
          </cell>
          <cell r="AJ177" t="str">
            <v>Full and Open -Single Bidder</v>
          </cell>
          <cell r="AK177">
            <v>0</v>
          </cell>
          <cell r="AL177">
            <v>0</v>
          </cell>
          <cell r="AM177" t="e">
            <v>#VALUE!</v>
          </cell>
          <cell r="AN177">
            <v>0</v>
          </cell>
        </row>
        <row r="178">
          <cell r="A178">
            <v>2011</v>
          </cell>
          <cell r="B178" t="str">
            <v>000</v>
          </cell>
          <cell r="C178" t="str">
            <v>A</v>
          </cell>
          <cell r="D178" t="str">
            <v>UNQ</v>
          </cell>
          <cell r="E178">
            <v>3</v>
          </cell>
          <cell r="F178" t="str">
            <v/>
          </cell>
          <cell r="G178" t="str">
            <v/>
          </cell>
          <cell r="H178">
            <v>-516800.25</v>
          </cell>
          <cell r="I178">
            <v>0</v>
          </cell>
          <cell r="P178">
            <v>-516800.25</v>
          </cell>
          <cell r="AA178">
            <v>-516800.25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-516800.25</v>
          </cell>
          <cell r="AG178">
            <v>-258400.125</v>
          </cell>
          <cell r="AH178">
            <v>-516800.25</v>
          </cell>
          <cell r="AI178" t="str">
            <v>Full and Open</v>
          </cell>
          <cell r="AJ178" t="str">
            <v>Full and Open -Multiple Bidders</v>
          </cell>
          <cell r="AK178">
            <v>-516800.25</v>
          </cell>
          <cell r="AL178">
            <v>-516800.25</v>
          </cell>
          <cell r="AM178" t="e">
            <v>#VALUE!</v>
          </cell>
          <cell r="AN178">
            <v>-523978.75899827643</v>
          </cell>
        </row>
        <row r="179">
          <cell r="A179">
            <v>2011</v>
          </cell>
          <cell r="B179" t="str">
            <v>000</v>
          </cell>
          <cell r="C179" t="str">
            <v>A</v>
          </cell>
          <cell r="D179" t="str">
            <v>UNQ</v>
          </cell>
          <cell r="E179">
            <v>8</v>
          </cell>
          <cell r="F179" t="str">
            <v/>
          </cell>
          <cell r="G179" t="str">
            <v/>
          </cell>
          <cell r="H179">
            <v>-119207.17</v>
          </cell>
          <cell r="I179">
            <v>0</v>
          </cell>
          <cell r="W179">
            <v>-119207.17</v>
          </cell>
          <cell r="AA179">
            <v>0</v>
          </cell>
          <cell r="AB179">
            <v>-119207.17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-59603.584999999999</v>
          </cell>
          <cell r="AH179">
            <v>-119207.17</v>
          </cell>
          <cell r="AI179" t="str">
            <v>Full and Open</v>
          </cell>
          <cell r="AJ179" t="str">
            <v>Full and Open -Multiple Bidders</v>
          </cell>
          <cell r="AK179">
            <v>-119207.17</v>
          </cell>
          <cell r="AL179">
            <v>-119207.17</v>
          </cell>
          <cell r="AM179" t="e">
            <v>#VALUE!</v>
          </cell>
          <cell r="AN179">
            <v>-120862.99300415696</v>
          </cell>
        </row>
        <row r="180">
          <cell r="A180">
            <v>2011</v>
          </cell>
          <cell r="B180" t="str">
            <v>000</v>
          </cell>
          <cell r="C180" t="str">
            <v>A</v>
          </cell>
          <cell r="D180" t="str">
            <v>UNQ</v>
          </cell>
          <cell r="E180">
            <v>2</v>
          </cell>
          <cell r="F180" t="str">
            <v/>
          </cell>
          <cell r="G180" t="str">
            <v/>
          </cell>
          <cell r="H180">
            <v>-188.19</v>
          </cell>
          <cell r="I180">
            <v>0</v>
          </cell>
          <cell r="W180">
            <v>-188.19</v>
          </cell>
          <cell r="AA180">
            <v>0</v>
          </cell>
          <cell r="AB180">
            <v>-188.19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-94.094999999999999</v>
          </cell>
          <cell r="AH180">
            <v>-188.19</v>
          </cell>
          <cell r="AI180" t="str">
            <v>Full and Open</v>
          </cell>
          <cell r="AJ180" t="str">
            <v>Full and Open -Multiple Bidders</v>
          </cell>
          <cell r="AK180">
            <v>-188.19</v>
          </cell>
          <cell r="AL180">
            <v>-188.19</v>
          </cell>
          <cell r="AM180" t="e">
            <v>#VALUE!</v>
          </cell>
          <cell r="AN180">
            <v>-190.80401500557642</v>
          </cell>
        </row>
        <row r="181">
          <cell r="A181">
            <v>2011</v>
          </cell>
          <cell r="B181" t="str">
            <v>000</v>
          </cell>
          <cell r="C181" t="str">
            <v>A</v>
          </cell>
          <cell r="D181" t="str">
            <v>UNQ</v>
          </cell>
          <cell r="E181">
            <v>5</v>
          </cell>
          <cell r="F181" t="str">
            <v/>
          </cell>
          <cell r="G181" t="str">
            <v/>
          </cell>
          <cell r="H181">
            <v>0</v>
          </cell>
          <cell r="I181">
            <v>0</v>
          </cell>
          <cell r="W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Full and Open</v>
          </cell>
          <cell r="AJ181" t="str">
            <v>Full and Open -Multiple Bidders</v>
          </cell>
          <cell r="AK181">
            <v>0</v>
          </cell>
          <cell r="AL181">
            <v>0</v>
          </cell>
          <cell r="AM181" t="e">
            <v>#VALUE!</v>
          </cell>
          <cell r="AN181">
            <v>0</v>
          </cell>
        </row>
        <row r="182">
          <cell r="A182">
            <v>2011</v>
          </cell>
          <cell r="B182" t="str">
            <v>000</v>
          </cell>
          <cell r="C182" t="str">
            <v>B</v>
          </cell>
          <cell r="D182" t="str">
            <v/>
          </cell>
          <cell r="E182">
            <v>3</v>
          </cell>
          <cell r="F182" t="str">
            <v/>
          </cell>
          <cell r="G182" t="str">
            <v/>
          </cell>
          <cell r="H182">
            <v>-122879.57</v>
          </cell>
          <cell r="I182">
            <v>0</v>
          </cell>
          <cell r="P182">
            <v>-122879.57</v>
          </cell>
          <cell r="AA182">
            <v>-122879.57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-122879.57</v>
          </cell>
          <cell r="AG182">
            <v>-61439.785000000003</v>
          </cell>
          <cell r="AH182">
            <v>-122879.57</v>
          </cell>
          <cell r="AI182" t="str">
            <v>None</v>
          </cell>
          <cell r="AJ182" t="str">
            <v>None</v>
          </cell>
          <cell r="AK182">
            <v>0</v>
          </cell>
          <cell r="AL182">
            <v>-122879.57</v>
          </cell>
          <cell r="AM182" t="e">
            <v>#VALUE!</v>
          </cell>
          <cell r="AN182">
            <v>-124586.40373111631</v>
          </cell>
        </row>
        <row r="183">
          <cell r="A183">
            <v>2011</v>
          </cell>
          <cell r="B183" t="str">
            <v>000</v>
          </cell>
          <cell r="C183" t="str">
            <v>B</v>
          </cell>
          <cell r="D183" t="str">
            <v/>
          </cell>
          <cell r="E183">
            <v>2</v>
          </cell>
          <cell r="F183" t="str">
            <v/>
          </cell>
          <cell r="G183" t="str">
            <v/>
          </cell>
          <cell r="H183">
            <v>-1821.63</v>
          </cell>
          <cell r="I183">
            <v>0</v>
          </cell>
          <cell r="P183">
            <v>-1821.63</v>
          </cell>
          <cell r="AA183">
            <v>-1821.63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-1821.63</v>
          </cell>
          <cell r="AG183">
            <v>-910.81500000000005</v>
          </cell>
          <cell r="AH183">
            <v>-1821.63</v>
          </cell>
          <cell r="AI183" t="str">
            <v>None</v>
          </cell>
          <cell r="AJ183" t="str">
            <v>None</v>
          </cell>
          <cell r="AK183">
            <v>0</v>
          </cell>
          <cell r="AL183">
            <v>-1821.63</v>
          </cell>
          <cell r="AM183" t="e">
            <v>#VALUE!</v>
          </cell>
          <cell r="AN183">
            <v>-1846.9329818513638</v>
          </cell>
        </row>
        <row r="820">
          <cell r="D820" t="str">
            <v>URG</v>
          </cell>
          <cell r="E820">
            <v>1</v>
          </cell>
          <cell r="F820" t="str">
            <v/>
          </cell>
          <cell r="G820" t="str">
            <v/>
          </cell>
          <cell r="H820">
            <v>8357645.1200000001</v>
          </cell>
          <cell r="I820">
            <v>0</v>
          </cell>
          <cell r="P820">
            <v>8357645.1200000001</v>
          </cell>
          <cell r="AA820">
            <v>8357645.1200000001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8357645.1200000001</v>
          </cell>
          <cell r="AG820">
            <v>4178822.56</v>
          </cell>
          <cell r="AH820">
            <v>8357645.1200000001</v>
          </cell>
          <cell r="AI820" t="str">
            <v>None</v>
          </cell>
        </row>
        <row r="821">
          <cell r="D821" t="str">
            <v/>
          </cell>
          <cell r="E821">
            <v>4</v>
          </cell>
          <cell r="F821" t="str">
            <v/>
          </cell>
          <cell r="G821" t="str">
            <v/>
          </cell>
          <cell r="H821">
            <v>-1421359.42</v>
          </cell>
          <cell r="I821">
            <v>0</v>
          </cell>
          <cell r="P821">
            <v>-1421359.42</v>
          </cell>
          <cell r="AA821">
            <v>-1421359.42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-1421359.42</v>
          </cell>
          <cell r="AG821">
            <v>-710679.71</v>
          </cell>
          <cell r="AH821">
            <v>-1421359.42</v>
          </cell>
          <cell r="AI821" t="str">
            <v>Partial</v>
          </cell>
        </row>
        <row r="822">
          <cell r="D822" t="str">
            <v/>
          </cell>
          <cell r="E822">
            <v>9</v>
          </cell>
          <cell r="F822" t="str">
            <v/>
          </cell>
          <cell r="G822" t="str">
            <v/>
          </cell>
          <cell r="H822">
            <v>-276700</v>
          </cell>
          <cell r="I822">
            <v>0</v>
          </cell>
          <cell r="P822">
            <v>-276700</v>
          </cell>
          <cell r="AA822">
            <v>-276700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-276700</v>
          </cell>
          <cell r="AG822">
            <v>-138350</v>
          </cell>
          <cell r="AH822">
            <v>-276700</v>
          </cell>
          <cell r="AI822" t="str">
            <v>Partial</v>
          </cell>
        </row>
        <row r="823">
          <cell r="D823" t="str">
            <v/>
          </cell>
          <cell r="E823">
            <v>10</v>
          </cell>
          <cell r="F823" t="str">
            <v/>
          </cell>
          <cell r="G823" t="str">
            <v/>
          </cell>
          <cell r="H823">
            <v>-69020</v>
          </cell>
          <cell r="I823">
            <v>-69020</v>
          </cell>
          <cell r="P823">
            <v>-69020</v>
          </cell>
          <cell r="AA823">
            <v>-69020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-69020</v>
          </cell>
          <cell r="AG823">
            <v>-34510</v>
          </cell>
          <cell r="AH823">
            <v>-69020</v>
          </cell>
          <cell r="AI823" t="str">
            <v>Partial</v>
          </cell>
        </row>
        <row r="824">
          <cell r="D824" t="str">
            <v/>
          </cell>
          <cell r="E824">
            <v>5</v>
          </cell>
          <cell r="F824" t="str">
            <v/>
          </cell>
          <cell r="G824" t="str">
            <v/>
          </cell>
          <cell r="H824">
            <v>290901.14</v>
          </cell>
          <cell r="I824">
            <v>-254789.72000000003</v>
          </cell>
          <cell r="P824">
            <v>290901.14</v>
          </cell>
          <cell r="AA824">
            <v>290901.14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290901.14</v>
          </cell>
          <cell r="AG824">
            <v>145450.57</v>
          </cell>
          <cell r="AH824">
            <v>290901.14</v>
          </cell>
          <cell r="AI824" t="str">
            <v>Partial</v>
          </cell>
        </row>
        <row r="825">
          <cell r="D825" t="str">
            <v/>
          </cell>
          <cell r="E825">
            <v>6</v>
          </cell>
          <cell r="F825" t="str">
            <v/>
          </cell>
          <cell r="G825" t="str">
            <v/>
          </cell>
          <cell r="H825">
            <v>357639</v>
          </cell>
          <cell r="I825">
            <v>0</v>
          </cell>
          <cell r="P825">
            <v>357639</v>
          </cell>
          <cell r="AA825">
            <v>357639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357639</v>
          </cell>
          <cell r="AG825">
            <v>178819.5</v>
          </cell>
          <cell r="AH825">
            <v>357639</v>
          </cell>
          <cell r="AI825" t="str">
            <v>Partial</v>
          </cell>
        </row>
        <row r="826">
          <cell r="D826" t="str">
            <v/>
          </cell>
          <cell r="E826">
            <v>7</v>
          </cell>
          <cell r="F826" t="str">
            <v/>
          </cell>
          <cell r="G826" t="str">
            <v/>
          </cell>
          <cell r="H826">
            <v>851802</v>
          </cell>
          <cell r="I826">
            <v>0</v>
          </cell>
          <cell r="P826">
            <v>851802</v>
          </cell>
          <cell r="AA826">
            <v>851802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851802</v>
          </cell>
          <cell r="AG826">
            <v>425901</v>
          </cell>
          <cell r="AH826">
            <v>851802</v>
          </cell>
          <cell r="AI826" t="str">
            <v>Partial</v>
          </cell>
        </row>
        <row r="827">
          <cell r="D827" t="str">
            <v/>
          </cell>
          <cell r="E827">
            <v>11</v>
          </cell>
          <cell r="F827" t="str">
            <v/>
          </cell>
          <cell r="G827" t="str">
            <v/>
          </cell>
          <cell r="H827">
            <v>887293</v>
          </cell>
          <cell r="I827">
            <v>-204567</v>
          </cell>
          <cell r="P827">
            <v>887293</v>
          </cell>
          <cell r="AA827">
            <v>887293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887293</v>
          </cell>
          <cell r="AG827">
            <v>443646.5</v>
          </cell>
          <cell r="AH827">
            <v>887293</v>
          </cell>
          <cell r="AI827" t="str">
            <v>Partial</v>
          </cell>
        </row>
        <row r="828">
          <cell r="D828" t="str">
            <v/>
          </cell>
          <cell r="E828">
            <v>15</v>
          </cell>
          <cell r="F828" t="str">
            <v/>
          </cell>
          <cell r="G828" t="str">
            <v/>
          </cell>
          <cell r="H828">
            <v>1360000</v>
          </cell>
          <cell r="I828">
            <v>0</v>
          </cell>
          <cell r="P828">
            <v>1360000</v>
          </cell>
          <cell r="AA828">
            <v>1360000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1360000</v>
          </cell>
          <cell r="AG828">
            <v>680000</v>
          </cell>
          <cell r="AH828">
            <v>1360000</v>
          </cell>
          <cell r="AI828" t="str">
            <v>Partial</v>
          </cell>
        </row>
        <row r="829">
          <cell r="D829" t="str">
            <v/>
          </cell>
          <cell r="E829">
            <v>8</v>
          </cell>
          <cell r="F829" t="str">
            <v/>
          </cell>
          <cell r="G829" t="str">
            <v/>
          </cell>
          <cell r="H829">
            <v>3599078.5</v>
          </cell>
          <cell r="I829">
            <v>0</v>
          </cell>
          <cell r="P829">
            <v>3599078.5</v>
          </cell>
          <cell r="AA829">
            <v>3599078.5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3599078.5</v>
          </cell>
          <cell r="AG829">
            <v>1799539.25</v>
          </cell>
          <cell r="AH829">
            <v>3599078.5</v>
          </cell>
          <cell r="AI829" t="str">
            <v>Partial</v>
          </cell>
        </row>
        <row r="830">
          <cell r="D830" t="str">
            <v/>
          </cell>
          <cell r="E830">
            <v>1</v>
          </cell>
          <cell r="F830" t="str">
            <v/>
          </cell>
          <cell r="G830" t="str">
            <v/>
          </cell>
          <cell r="H830">
            <v>24873832.990000002</v>
          </cell>
          <cell r="I830">
            <v>0</v>
          </cell>
          <cell r="P830">
            <v>24873832.990000002</v>
          </cell>
          <cell r="AA830">
            <v>24873832.990000002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24873832.990000002</v>
          </cell>
          <cell r="AG830">
            <v>12436916.495000001</v>
          </cell>
          <cell r="AH830">
            <v>24873832.990000002</v>
          </cell>
          <cell r="AI830" t="str">
            <v>Partial</v>
          </cell>
        </row>
        <row r="831">
          <cell r="D831" t="str">
            <v/>
          </cell>
          <cell r="E831">
            <v>2</v>
          </cell>
          <cell r="F831" t="str">
            <v/>
          </cell>
          <cell r="G831" t="str">
            <v/>
          </cell>
          <cell r="H831">
            <v>43921507.539999999</v>
          </cell>
          <cell r="I831">
            <v>0</v>
          </cell>
          <cell r="P831">
            <v>43921507.539999999</v>
          </cell>
          <cell r="AA831">
            <v>43921507.539999999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43921507.539999999</v>
          </cell>
          <cell r="AG831">
            <v>21960753.77</v>
          </cell>
          <cell r="AH831">
            <v>43921507.539999999</v>
          </cell>
          <cell r="AI831" t="str">
            <v>Partial</v>
          </cell>
        </row>
        <row r="832">
          <cell r="D832" t="str">
            <v/>
          </cell>
          <cell r="E832">
            <v>3</v>
          </cell>
          <cell r="F832" t="str">
            <v/>
          </cell>
          <cell r="G832" t="str">
            <v/>
          </cell>
          <cell r="H832">
            <v>66679024.759999998</v>
          </cell>
          <cell r="I832">
            <v>0</v>
          </cell>
          <cell r="P832">
            <v>27936161.300000001</v>
          </cell>
          <cell r="W832">
            <v>38942863.459999993</v>
          </cell>
          <cell r="Y832">
            <v>-200000</v>
          </cell>
          <cell r="AA832">
            <v>27936161.300000001</v>
          </cell>
          <cell r="AB832">
            <v>38742863.459999993</v>
          </cell>
          <cell r="AC832">
            <v>0</v>
          </cell>
          <cell r="AD832">
            <v>0</v>
          </cell>
          <cell r="AE832">
            <v>0</v>
          </cell>
          <cell r="AF832">
            <v>27936161.300000001</v>
          </cell>
          <cell r="AG832">
            <v>33439512.379999995</v>
          </cell>
          <cell r="AH832">
            <v>66679024.75999999</v>
          </cell>
          <cell r="AI832" t="str">
            <v>Partial</v>
          </cell>
        </row>
        <row r="833">
          <cell r="D833" t="str">
            <v>BND</v>
          </cell>
          <cell r="E833">
            <v>2</v>
          </cell>
          <cell r="F833" t="str">
            <v/>
          </cell>
          <cell r="G833" t="str">
            <v/>
          </cell>
          <cell r="H833">
            <v>2293205</v>
          </cell>
          <cell r="I833">
            <v>0</v>
          </cell>
          <cell r="P833">
            <v>2293205</v>
          </cell>
          <cell r="AA833">
            <v>2293205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2293205</v>
          </cell>
          <cell r="AG833">
            <v>1146602.5</v>
          </cell>
          <cell r="AH833">
            <v>2293205</v>
          </cell>
          <cell r="AI833" t="str">
            <v>Partial</v>
          </cell>
        </row>
        <row r="834">
          <cell r="D834" t="str">
            <v>FOC</v>
          </cell>
          <cell r="E834">
            <v>1</v>
          </cell>
          <cell r="F834" t="str">
            <v/>
          </cell>
          <cell r="G834" t="str">
            <v/>
          </cell>
          <cell r="H834">
            <v>2870611.69</v>
          </cell>
          <cell r="I834">
            <v>0</v>
          </cell>
          <cell r="P834">
            <v>2870611.69</v>
          </cell>
          <cell r="AA834">
            <v>2870611.69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2870611.69</v>
          </cell>
          <cell r="AG834">
            <v>1435305.845</v>
          </cell>
          <cell r="AH834">
            <v>2870611.69</v>
          </cell>
          <cell r="AI834" t="str">
            <v>Partial</v>
          </cell>
        </row>
        <row r="835">
          <cell r="D835" t="str">
            <v>MES</v>
          </cell>
          <cell r="E835">
            <v>4</v>
          </cell>
          <cell r="F835" t="str">
            <v/>
          </cell>
          <cell r="G835" t="str">
            <v/>
          </cell>
          <cell r="H835">
            <v>-347097.59999999998</v>
          </cell>
          <cell r="I835">
            <v>-347097.59999999998</v>
          </cell>
          <cell r="P835">
            <v>-347097.59999999998</v>
          </cell>
          <cell r="AA835">
            <v>-347097.59999999998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-347097.59999999998</v>
          </cell>
          <cell r="AG835">
            <v>-173548.79999999999</v>
          </cell>
          <cell r="AH835">
            <v>-347097.59999999998</v>
          </cell>
          <cell r="AI835" t="str">
            <v>Partial</v>
          </cell>
        </row>
        <row r="836">
          <cell r="D836" t="str">
            <v>MES</v>
          </cell>
          <cell r="E836">
            <v>2</v>
          </cell>
          <cell r="F836" t="str">
            <v/>
          </cell>
          <cell r="G836" t="str">
            <v/>
          </cell>
          <cell r="H836">
            <v>-142989</v>
          </cell>
          <cell r="I836">
            <v>-34620</v>
          </cell>
          <cell r="P836">
            <v>-142989</v>
          </cell>
          <cell r="AA836">
            <v>-142989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-142989</v>
          </cell>
          <cell r="AG836">
            <v>-71494.5</v>
          </cell>
          <cell r="AH836">
            <v>-142989</v>
          </cell>
          <cell r="AI836" t="str">
            <v>Partial</v>
          </cell>
        </row>
        <row r="837">
          <cell r="D837" t="str">
            <v>MES</v>
          </cell>
          <cell r="E837">
            <v>1</v>
          </cell>
          <cell r="F837" t="str">
            <v/>
          </cell>
          <cell r="G837" t="str">
            <v/>
          </cell>
          <cell r="H837">
            <v>-16962</v>
          </cell>
          <cell r="I837">
            <v>0</v>
          </cell>
          <cell r="P837">
            <v>-16962</v>
          </cell>
          <cell r="AA837">
            <v>-16962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-16962</v>
          </cell>
          <cell r="AG837">
            <v>-8481</v>
          </cell>
          <cell r="AH837">
            <v>-16962</v>
          </cell>
          <cell r="AI837" t="str">
            <v>Partial</v>
          </cell>
        </row>
        <row r="838">
          <cell r="D838" t="str">
            <v>MES</v>
          </cell>
          <cell r="E838">
            <v>3</v>
          </cell>
          <cell r="F838" t="str">
            <v/>
          </cell>
          <cell r="G838" t="str">
            <v/>
          </cell>
          <cell r="H838">
            <v>0</v>
          </cell>
          <cell r="I838">
            <v>0</v>
          </cell>
          <cell r="P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 t="str">
            <v>Partial</v>
          </cell>
        </row>
        <row r="839">
          <cell r="D839" t="str">
            <v>ONE</v>
          </cell>
          <cell r="E839">
            <v>1</v>
          </cell>
          <cell r="F839" t="str">
            <v/>
          </cell>
          <cell r="G839" t="str">
            <v/>
          </cell>
          <cell r="H839">
            <v>10527261.390000001</v>
          </cell>
          <cell r="I839">
            <v>0</v>
          </cell>
          <cell r="P839">
            <v>10527261.390000001</v>
          </cell>
          <cell r="AA839">
            <v>10527261.390000001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10527261.390000001</v>
          </cell>
          <cell r="AG839">
            <v>5263630.6950000003</v>
          </cell>
          <cell r="AH839">
            <v>10527261.390000001</v>
          </cell>
          <cell r="AI839" t="str">
            <v>Partial</v>
          </cell>
        </row>
        <row r="840">
          <cell r="D840" t="str">
            <v>ONE</v>
          </cell>
          <cell r="E840">
            <v>2</v>
          </cell>
          <cell r="F840" t="str">
            <v/>
          </cell>
          <cell r="G840" t="str">
            <v/>
          </cell>
          <cell r="H840">
            <v>23585472.5</v>
          </cell>
          <cell r="I840">
            <v>0</v>
          </cell>
          <cell r="P840">
            <v>23585472.5</v>
          </cell>
          <cell r="AA840">
            <v>23585472.5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23585472.5</v>
          </cell>
          <cell r="AG840">
            <v>11792736.25</v>
          </cell>
          <cell r="AH840">
            <v>23585472.5</v>
          </cell>
          <cell r="AI840" t="str">
            <v>Partial</v>
          </cell>
        </row>
        <row r="841">
          <cell r="D841" t="str">
            <v>UNQ</v>
          </cell>
          <cell r="E841">
            <v>3</v>
          </cell>
          <cell r="F841" t="str">
            <v/>
          </cell>
          <cell r="G841" t="str">
            <v/>
          </cell>
          <cell r="H841">
            <v>429700</v>
          </cell>
          <cell r="I841">
            <v>0</v>
          </cell>
          <cell r="P841">
            <v>429700</v>
          </cell>
          <cell r="AA841">
            <v>429700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429700</v>
          </cell>
          <cell r="AG841">
            <v>214850</v>
          </cell>
          <cell r="AH841">
            <v>429700</v>
          </cell>
          <cell r="AI841" t="str">
            <v>Partial</v>
          </cell>
        </row>
        <row r="842">
          <cell r="D842" t="str">
            <v>UNQ</v>
          </cell>
          <cell r="E842">
            <v>4</v>
          </cell>
          <cell r="F842" t="str">
            <v/>
          </cell>
          <cell r="G842" t="str">
            <v/>
          </cell>
          <cell r="H842">
            <v>2587200</v>
          </cell>
          <cell r="I842">
            <v>0</v>
          </cell>
          <cell r="P842">
            <v>2587200</v>
          </cell>
          <cell r="AA842">
            <v>2587200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2587200</v>
          </cell>
          <cell r="AG842">
            <v>1293600</v>
          </cell>
          <cell r="AH842">
            <v>2587200</v>
          </cell>
          <cell r="AI842" t="str">
            <v>Partial</v>
          </cell>
        </row>
        <row r="843">
          <cell r="D843" t="str">
            <v>UNQ</v>
          </cell>
          <cell r="E843">
            <v>1</v>
          </cell>
          <cell r="F843" t="str">
            <v/>
          </cell>
          <cell r="G843" t="str">
            <v/>
          </cell>
          <cell r="H843">
            <v>6953372.46</v>
          </cell>
          <cell r="I843">
            <v>0</v>
          </cell>
          <cell r="P843">
            <v>6682221.5899999999</v>
          </cell>
          <cell r="R843">
            <v>271150.87</v>
          </cell>
          <cell r="AA843">
            <v>6953372.46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6953372.46</v>
          </cell>
          <cell r="AG843">
            <v>3612261.665</v>
          </cell>
          <cell r="AH843">
            <v>6953372.46</v>
          </cell>
          <cell r="AI843" t="str">
            <v>Partial</v>
          </cell>
        </row>
        <row r="844">
          <cell r="D844" t="str">
            <v>UNQ</v>
          </cell>
          <cell r="E844">
            <v>2</v>
          </cell>
          <cell r="F844" t="str">
            <v/>
          </cell>
          <cell r="G844" t="str">
            <v/>
          </cell>
          <cell r="H844">
            <v>11707995</v>
          </cell>
          <cell r="I844">
            <v>0</v>
          </cell>
          <cell r="P844">
            <v>11707995</v>
          </cell>
          <cell r="AA844">
            <v>11707995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11707995</v>
          </cell>
          <cell r="AG844">
            <v>5853997.5</v>
          </cell>
          <cell r="AH844">
            <v>11707995</v>
          </cell>
          <cell r="AI844" t="str">
            <v>Partial</v>
          </cell>
        </row>
        <row r="845">
          <cell r="D845" t="str">
            <v>URG</v>
          </cell>
          <cell r="E845">
            <v>0</v>
          </cell>
          <cell r="F845" t="str">
            <v/>
          </cell>
          <cell r="G845" t="str">
            <v/>
          </cell>
          <cell r="H845">
            <v>85158.56</v>
          </cell>
          <cell r="I845">
            <v>85158.56</v>
          </cell>
          <cell r="Y845">
            <v>85158.56</v>
          </cell>
          <cell r="AA845">
            <v>0</v>
          </cell>
          <cell r="AB845">
            <v>85158.56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85158.56</v>
          </cell>
          <cell r="AI845" t="str">
            <v>Partial</v>
          </cell>
        </row>
        <row r="846">
          <cell r="D846" t="str">
            <v>URG</v>
          </cell>
          <cell r="E846">
            <v>2</v>
          </cell>
          <cell r="F846" t="str">
            <v/>
          </cell>
          <cell r="G846" t="str">
            <v/>
          </cell>
          <cell r="H846">
            <v>2512953.1800000002</v>
          </cell>
          <cell r="I846">
            <v>0</v>
          </cell>
          <cell r="Y846">
            <v>2512953.1800000002</v>
          </cell>
          <cell r="AA846">
            <v>0</v>
          </cell>
          <cell r="AB846">
            <v>2512953.1800000002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2512953.1800000002</v>
          </cell>
          <cell r="AI846" t="str">
            <v>Partial</v>
          </cell>
        </row>
        <row r="847">
          <cell r="D847" t="str">
            <v/>
          </cell>
          <cell r="E847">
            <v>2</v>
          </cell>
          <cell r="F847" t="str">
            <v/>
          </cell>
          <cell r="G847" t="str">
            <v/>
          </cell>
          <cell r="H847">
            <v>-8910.1999999999989</v>
          </cell>
          <cell r="I847">
            <v>0</v>
          </cell>
          <cell r="P847">
            <v>-8910.1999999999989</v>
          </cell>
          <cell r="AA847">
            <v>-8910.1999999999989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-8910.1999999999989</v>
          </cell>
          <cell r="AG847">
            <v>-4455.0999999999995</v>
          </cell>
          <cell r="AH847">
            <v>-8910.1999999999989</v>
          </cell>
          <cell r="AI847" t="str">
            <v>Partial</v>
          </cell>
        </row>
        <row r="848">
          <cell r="D848" t="str">
            <v/>
          </cell>
          <cell r="E848">
            <v>5</v>
          </cell>
          <cell r="F848" t="str">
            <v/>
          </cell>
          <cell r="G848" t="str">
            <v/>
          </cell>
          <cell r="H848">
            <v>0</v>
          </cell>
          <cell r="I848">
            <v>0</v>
          </cell>
          <cell r="P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 t="str">
            <v>Partial</v>
          </cell>
        </row>
        <row r="849">
          <cell r="D849" t="str">
            <v/>
          </cell>
          <cell r="E849">
            <v>7</v>
          </cell>
          <cell r="F849" t="str">
            <v/>
          </cell>
          <cell r="G849" t="str">
            <v/>
          </cell>
          <cell r="H849">
            <v>1475</v>
          </cell>
          <cell r="I849">
            <v>0</v>
          </cell>
          <cell r="P849">
            <v>1475</v>
          </cell>
          <cell r="AA849">
            <v>1475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1475</v>
          </cell>
          <cell r="AG849">
            <v>737.5</v>
          </cell>
          <cell r="AH849">
            <v>1475</v>
          </cell>
          <cell r="AI849" t="str">
            <v>Partial</v>
          </cell>
        </row>
        <row r="850">
          <cell r="D850" t="str">
            <v/>
          </cell>
          <cell r="E850">
            <v>9</v>
          </cell>
          <cell r="F850" t="str">
            <v/>
          </cell>
          <cell r="G850" t="str">
            <v/>
          </cell>
          <cell r="H850">
            <v>2275</v>
          </cell>
          <cell r="I850">
            <v>0</v>
          </cell>
          <cell r="P850">
            <v>2275</v>
          </cell>
          <cell r="AA850">
            <v>2275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2275</v>
          </cell>
          <cell r="AG850">
            <v>1137.5</v>
          </cell>
          <cell r="AH850">
            <v>2275</v>
          </cell>
          <cell r="AI850" t="str">
            <v>Partial</v>
          </cell>
        </row>
        <row r="851">
          <cell r="D851" t="str">
            <v/>
          </cell>
          <cell r="E851">
            <v>10</v>
          </cell>
          <cell r="F851" t="str">
            <v/>
          </cell>
          <cell r="G851" t="str">
            <v/>
          </cell>
          <cell r="H851">
            <v>3453.6000000000004</v>
          </cell>
          <cell r="I851">
            <v>0</v>
          </cell>
          <cell r="P851">
            <v>3453.6000000000004</v>
          </cell>
          <cell r="AA851">
            <v>3453.6000000000004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3453.6000000000004</v>
          </cell>
          <cell r="AG851">
            <v>1726.8000000000002</v>
          </cell>
          <cell r="AH851">
            <v>3453.6000000000004</v>
          </cell>
          <cell r="AI851" t="str">
            <v>Partial</v>
          </cell>
        </row>
        <row r="852">
          <cell r="D852" t="str">
            <v/>
          </cell>
          <cell r="E852">
            <v>4</v>
          </cell>
          <cell r="F852" t="str">
            <v/>
          </cell>
          <cell r="G852" t="str">
            <v/>
          </cell>
          <cell r="H852">
            <v>7220</v>
          </cell>
          <cell r="I852">
            <v>0</v>
          </cell>
          <cell r="P852">
            <v>7220</v>
          </cell>
          <cell r="AA852">
            <v>7220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7220</v>
          </cell>
          <cell r="AG852">
            <v>3610</v>
          </cell>
          <cell r="AH852">
            <v>7220</v>
          </cell>
          <cell r="AI852" t="str">
            <v>Partial</v>
          </cell>
        </row>
        <row r="853">
          <cell r="D853" t="str">
            <v/>
          </cell>
          <cell r="E853">
            <v>8</v>
          </cell>
          <cell r="F853" t="str">
            <v/>
          </cell>
          <cell r="G853" t="str">
            <v/>
          </cell>
          <cell r="H853">
            <v>12210</v>
          </cell>
          <cell r="I853">
            <v>0</v>
          </cell>
          <cell r="P853">
            <v>12210</v>
          </cell>
          <cell r="AA853">
            <v>12210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12210</v>
          </cell>
          <cell r="AG853">
            <v>6105</v>
          </cell>
          <cell r="AH853">
            <v>12210</v>
          </cell>
          <cell r="AI853" t="str">
            <v>Partial</v>
          </cell>
        </row>
        <row r="854">
          <cell r="D854" t="str">
            <v/>
          </cell>
          <cell r="E854">
            <v>3</v>
          </cell>
          <cell r="F854" t="str">
            <v/>
          </cell>
          <cell r="G854" t="str">
            <v/>
          </cell>
          <cell r="H854">
            <v>21276</v>
          </cell>
          <cell r="I854">
            <v>0</v>
          </cell>
          <cell r="P854">
            <v>21276</v>
          </cell>
          <cell r="AA854">
            <v>21276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21276</v>
          </cell>
          <cell r="AG854">
            <v>10638</v>
          </cell>
          <cell r="AH854">
            <v>21276</v>
          </cell>
          <cell r="AI854" t="str">
            <v>Partial</v>
          </cell>
        </row>
        <row r="855">
          <cell r="D855" t="str">
            <v/>
          </cell>
          <cell r="E855">
            <v>6</v>
          </cell>
          <cell r="F855" t="str">
            <v/>
          </cell>
          <cell r="G855" t="str">
            <v/>
          </cell>
          <cell r="H855">
            <v>32042</v>
          </cell>
          <cell r="I855">
            <v>0</v>
          </cell>
          <cell r="P855">
            <v>32042</v>
          </cell>
          <cell r="AA855">
            <v>32042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32042</v>
          </cell>
          <cell r="AG855">
            <v>16021</v>
          </cell>
          <cell r="AH855">
            <v>32042</v>
          </cell>
          <cell r="AI855" t="str">
            <v>Partial</v>
          </cell>
        </row>
        <row r="856">
          <cell r="D856" t="str">
            <v/>
          </cell>
          <cell r="E856">
            <v>1</v>
          </cell>
          <cell r="F856" t="str">
            <v/>
          </cell>
          <cell r="G856" t="str">
            <v/>
          </cell>
          <cell r="H856">
            <v>95468.85</v>
          </cell>
          <cell r="I856">
            <v>0</v>
          </cell>
          <cell r="P856">
            <v>95468.85</v>
          </cell>
          <cell r="AA856">
            <v>95468.85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95468.85</v>
          </cell>
          <cell r="AG856">
            <v>47734.425000000003</v>
          </cell>
          <cell r="AH856">
            <v>95468.85</v>
          </cell>
          <cell r="AI856" t="str">
            <v>Partial</v>
          </cell>
        </row>
        <row r="857">
          <cell r="D857" t="str">
            <v>OTH</v>
          </cell>
          <cell r="E857">
            <v>1</v>
          </cell>
          <cell r="F857" t="str">
            <v/>
          </cell>
          <cell r="G857" t="str">
            <v/>
          </cell>
          <cell r="H857">
            <v>274064.5</v>
          </cell>
          <cell r="I857">
            <v>0</v>
          </cell>
          <cell r="P857">
            <v>274064.5</v>
          </cell>
          <cell r="AA857">
            <v>274064.5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274064.5</v>
          </cell>
          <cell r="AG857">
            <v>137032.25</v>
          </cell>
          <cell r="AH857">
            <v>274064.5</v>
          </cell>
          <cell r="AI857" t="str">
            <v>None</v>
          </cell>
        </row>
        <row r="858">
          <cell r="D858" t="str">
            <v>SP2</v>
          </cell>
          <cell r="E858">
            <v>1</v>
          </cell>
          <cell r="F858" t="str">
            <v/>
          </cell>
          <cell r="G858" t="str">
            <v/>
          </cell>
          <cell r="H858">
            <v>331673.55</v>
          </cell>
          <cell r="I858">
            <v>0</v>
          </cell>
          <cell r="P858">
            <v>331673.55</v>
          </cell>
          <cell r="AA858">
            <v>331673.55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331673.55</v>
          </cell>
          <cell r="AG858">
            <v>165836.77499999999</v>
          </cell>
          <cell r="AH858">
            <v>331673.55</v>
          </cell>
          <cell r="AI858" t="str">
            <v>None</v>
          </cell>
        </row>
        <row r="859">
          <cell r="D859" t="str">
            <v/>
          </cell>
          <cell r="E859">
            <v>3</v>
          </cell>
          <cell r="F859" t="str">
            <v/>
          </cell>
          <cell r="G859" t="str">
            <v/>
          </cell>
          <cell r="H859">
            <v>-2148.35</v>
          </cell>
          <cell r="I859">
            <v>0</v>
          </cell>
          <cell r="P859">
            <v>-2148.35</v>
          </cell>
          <cell r="AA859">
            <v>-2148.35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-2148.35</v>
          </cell>
          <cell r="AG859">
            <v>-1074.175</v>
          </cell>
          <cell r="AH859">
            <v>-2148.35</v>
          </cell>
          <cell r="AI859" t="str">
            <v>Full and Open</v>
          </cell>
        </row>
        <row r="860">
          <cell r="D860" t="str">
            <v/>
          </cell>
          <cell r="E860">
            <v>4</v>
          </cell>
          <cell r="F860" t="str">
            <v/>
          </cell>
          <cell r="G860" t="str">
            <v/>
          </cell>
          <cell r="H860">
            <v>1342124.78</v>
          </cell>
          <cell r="I860">
            <v>-138142</v>
          </cell>
          <cell r="P860">
            <v>1342124.78</v>
          </cell>
          <cell r="AA860">
            <v>1342124.78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1342124.78</v>
          </cell>
          <cell r="AG860">
            <v>671062.39</v>
          </cell>
          <cell r="AH860">
            <v>1342124.78</v>
          </cell>
          <cell r="AI860" t="str">
            <v>Full and Open</v>
          </cell>
        </row>
        <row r="861">
          <cell r="D861" t="str">
            <v/>
          </cell>
          <cell r="E861">
            <v>2</v>
          </cell>
          <cell r="F861" t="str">
            <v/>
          </cell>
          <cell r="G861" t="str">
            <v/>
          </cell>
          <cell r="H861">
            <v>34291170.229999997</v>
          </cell>
          <cell r="I861">
            <v>0</v>
          </cell>
          <cell r="P861">
            <v>34291170.229999997</v>
          </cell>
          <cell r="AA861">
            <v>34291170.229999997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34291170.229999997</v>
          </cell>
          <cell r="AG861">
            <v>17145585.114999998</v>
          </cell>
          <cell r="AH861">
            <v>34291170.229999997</v>
          </cell>
          <cell r="AI861" t="str">
            <v>Full and Open</v>
          </cell>
        </row>
        <row r="862">
          <cell r="D862" t="str">
            <v/>
          </cell>
          <cell r="E862">
            <v>1</v>
          </cell>
          <cell r="F862" t="str">
            <v/>
          </cell>
          <cell r="G862" t="str">
            <v/>
          </cell>
          <cell r="H862">
            <v>37273023.770000003</v>
          </cell>
          <cell r="I862">
            <v>15841385.939999999</v>
          </cell>
          <cell r="P862">
            <v>37273023.770000003</v>
          </cell>
          <cell r="AA862">
            <v>37273023.770000003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37273023.770000003</v>
          </cell>
          <cell r="AG862">
            <v>18636511.885000002</v>
          </cell>
          <cell r="AH862">
            <v>37273023.770000003</v>
          </cell>
          <cell r="AI862" t="str">
            <v>Full and Open</v>
          </cell>
        </row>
        <row r="863">
          <cell r="D863" t="str">
            <v>IA</v>
          </cell>
          <cell r="E863">
            <v>1</v>
          </cell>
          <cell r="F863" t="str">
            <v/>
          </cell>
          <cell r="G863" t="str">
            <v/>
          </cell>
          <cell r="H863">
            <v>18952865</v>
          </cell>
          <cell r="I863">
            <v>0</v>
          </cell>
          <cell r="P863">
            <v>18952865</v>
          </cell>
          <cell r="AA863">
            <v>18952865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18952865</v>
          </cell>
          <cell r="AG863">
            <v>9476432.5</v>
          </cell>
          <cell r="AH863">
            <v>18952865</v>
          </cell>
          <cell r="AI863" t="str">
            <v>None</v>
          </cell>
        </row>
        <row r="864">
          <cell r="D864" t="str">
            <v>OTH</v>
          </cell>
          <cell r="E864">
            <v>1</v>
          </cell>
          <cell r="F864" t="str">
            <v/>
          </cell>
          <cell r="G864" t="str">
            <v/>
          </cell>
          <cell r="H864">
            <v>26901404.949999999</v>
          </cell>
          <cell r="I864">
            <v>0</v>
          </cell>
          <cell r="P864">
            <v>3579480</v>
          </cell>
          <cell r="T864">
            <v>23321924.949999999</v>
          </cell>
          <cell r="AA864">
            <v>3579480</v>
          </cell>
          <cell r="AB864">
            <v>0</v>
          </cell>
          <cell r="AC864">
            <v>0</v>
          </cell>
          <cell r="AD864">
            <v>23321924.949999999</v>
          </cell>
          <cell r="AE864">
            <v>0</v>
          </cell>
          <cell r="AF864">
            <v>3579480</v>
          </cell>
          <cell r="AG864">
            <v>25111664.949999999</v>
          </cell>
          <cell r="AH864">
            <v>26901404.949999999</v>
          </cell>
          <cell r="AI864" t="str">
            <v>None</v>
          </cell>
        </row>
        <row r="865">
          <cell r="D865" t="str">
            <v>FOC</v>
          </cell>
          <cell r="E865">
            <v>1</v>
          </cell>
          <cell r="F865" t="str">
            <v/>
          </cell>
          <cell r="G865" t="str">
            <v/>
          </cell>
          <cell r="H865">
            <v>6803873.9899999993</v>
          </cell>
          <cell r="I865">
            <v>0</v>
          </cell>
          <cell r="P865">
            <v>6803873.9899999993</v>
          </cell>
          <cell r="AA865">
            <v>6803873.9899999993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6803873.9899999993</v>
          </cell>
          <cell r="AG865">
            <v>3401936.9949999996</v>
          </cell>
          <cell r="AH865">
            <v>6803873.9899999993</v>
          </cell>
          <cell r="AI865" t="str">
            <v>None</v>
          </cell>
        </row>
        <row r="866">
          <cell r="D866" t="str">
            <v>MES</v>
          </cell>
          <cell r="E866">
            <v>1</v>
          </cell>
          <cell r="F866" t="str">
            <v/>
          </cell>
          <cell r="G866" t="str">
            <v/>
          </cell>
          <cell r="H866">
            <v>-8336.77</v>
          </cell>
          <cell r="I866">
            <v>0</v>
          </cell>
          <cell r="P866">
            <v>-8336.77</v>
          </cell>
          <cell r="AA866">
            <v>-8336.77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-8336.77</v>
          </cell>
          <cell r="AG866">
            <v>-4168.3850000000002</v>
          </cell>
          <cell r="AH866">
            <v>-8336.77</v>
          </cell>
          <cell r="AI866" t="str">
            <v>None</v>
          </cell>
        </row>
        <row r="867">
          <cell r="D867" t="str">
            <v>ONE</v>
          </cell>
          <cell r="E867">
            <v>1</v>
          </cell>
          <cell r="F867" t="str">
            <v/>
          </cell>
          <cell r="G867" t="str">
            <v/>
          </cell>
          <cell r="H867">
            <v>646169290.57999992</v>
          </cell>
          <cell r="I867">
            <v>-265176.61</v>
          </cell>
          <cell r="P867">
            <v>622391846.29999995</v>
          </cell>
          <cell r="U867">
            <v>21523400.550000001</v>
          </cell>
          <cell r="V867">
            <v>0</v>
          </cell>
          <cell r="W867">
            <v>2234043.73</v>
          </cell>
          <cell r="Y867">
            <v>20000</v>
          </cell>
          <cell r="AA867">
            <v>622391846.29999995</v>
          </cell>
          <cell r="AB867">
            <v>23777444.280000001</v>
          </cell>
          <cell r="AC867">
            <v>0</v>
          </cell>
          <cell r="AD867">
            <v>0</v>
          </cell>
          <cell r="AE867">
            <v>0</v>
          </cell>
          <cell r="AF867">
            <v>622391846.29999995</v>
          </cell>
          <cell r="AG867">
            <v>312312945.01499999</v>
          </cell>
          <cell r="AH867">
            <v>646169290.57999992</v>
          </cell>
          <cell r="AI867" t="str">
            <v>None</v>
          </cell>
        </row>
        <row r="868">
          <cell r="D868" t="str">
            <v>UNQ</v>
          </cell>
          <cell r="E868">
            <v>1</v>
          </cell>
          <cell r="F868" t="str">
            <v/>
          </cell>
          <cell r="G868" t="str">
            <v/>
          </cell>
          <cell r="H868">
            <v>55473971.469999999</v>
          </cell>
          <cell r="I868">
            <v>2550419.3199999998</v>
          </cell>
          <cell r="P868">
            <v>55473971.469999999</v>
          </cell>
          <cell r="Y868">
            <v>0</v>
          </cell>
          <cell r="AA868">
            <v>55473971.469999999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55473971.469999999</v>
          </cell>
          <cell r="AG868">
            <v>27736985.734999999</v>
          </cell>
          <cell r="AH868">
            <v>55473971.469999999</v>
          </cell>
          <cell r="AI868" t="str">
            <v>None</v>
          </cell>
        </row>
        <row r="869">
          <cell r="D869" t="str">
            <v/>
          </cell>
          <cell r="E869">
            <v>6</v>
          </cell>
          <cell r="F869" t="str">
            <v/>
          </cell>
          <cell r="G869" t="str">
            <v/>
          </cell>
          <cell r="H869">
            <v>0</v>
          </cell>
          <cell r="I869">
            <v>0</v>
          </cell>
          <cell r="P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 t="str">
            <v>Partial</v>
          </cell>
        </row>
        <row r="870">
          <cell r="D870" t="str">
            <v/>
          </cell>
          <cell r="E870">
            <v>8</v>
          </cell>
          <cell r="F870" t="str">
            <v/>
          </cell>
          <cell r="G870" t="str">
            <v/>
          </cell>
          <cell r="H870">
            <v>4650</v>
          </cell>
          <cell r="I870">
            <v>0</v>
          </cell>
          <cell r="P870">
            <v>4650</v>
          </cell>
          <cell r="AA870">
            <v>4650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4650</v>
          </cell>
          <cell r="AG870">
            <v>2325</v>
          </cell>
          <cell r="AH870">
            <v>4650</v>
          </cell>
          <cell r="AI870" t="str">
            <v>Partial</v>
          </cell>
        </row>
        <row r="871">
          <cell r="D871" t="str">
            <v/>
          </cell>
          <cell r="E871">
            <v>13</v>
          </cell>
          <cell r="F871" t="str">
            <v/>
          </cell>
          <cell r="G871" t="str">
            <v/>
          </cell>
          <cell r="H871">
            <v>52638</v>
          </cell>
          <cell r="I871">
            <v>0</v>
          </cell>
          <cell r="P871">
            <v>52638</v>
          </cell>
          <cell r="AA871">
            <v>52638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52638</v>
          </cell>
          <cell r="AG871">
            <v>26319</v>
          </cell>
          <cell r="AH871">
            <v>52638</v>
          </cell>
          <cell r="AI871" t="str">
            <v>Partial</v>
          </cell>
        </row>
        <row r="872">
          <cell r="D872" t="str">
            <v/>
          </cell>
          <cell r="E872">
            <v>1</v>
          </cell>
          <cell r="F872" t="str">
            <v/>
          </cell>
          <cell r="G872" t="str">
            <v/>
          </cell>
          <cell r="H872">
            <v>323702.5</v>
          </cell>
          <cell r="I872">
            <v>0</v>
          </cell>
          <cell r="P872">
            <v>323702.5</v>
          </cell>
          <cell r="AA872">
            <v>323702.5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323702.5</v>
          </cell>
          <cell r="AG872">
            <v>161851.25</v>
          </cell>
          <cell r="AH872">
            <v>323702.5</v>
          </cell>
          <cell r="AI872" t="str">
            <v>Partial</v>
          </cell>
        </row>
        <row r="873">
          <cell r="D873" t="str">
            <v/>
          </cell>
          <cell r="E873">
            <v>2</v>
          </cell>
          <cell r="F873" t="str">
            <v/>
          </cell>
          <cell r="G873" t="str">
            <v/>
          </cell>
          <cell r="H873">
            <v>5589949.0599999996</v>
          </cell>
          <cell r="I873">
            <v>55446.94</v>
          </cell>
          <cell r="P873">
            <v>5589949.0599999996</v>
          </cell>
          <cell r="AA873">
            <v>5589949.0599999996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5589949.0599999996</v>
          </cell>
          <cell r="AG873">
            <v>2794974.53</v>
          </cell>
          <cell r="AH873">
            <v>5589949.0599999996</v>
          </cell>
          <cell r="AI873" t="str">
            <v>Partial</v>
          </cell>
        </row>
        <row r="874">
          <cell r="D874" t="str">
            <v/>
          </cell>
          <cell r="E874">
            <v>3</v>
          </cell>
          <cell r="F874" t="str">
            <v/>
          </cell>
          <cell r="G874" t="str">
            <v/>
          </cell>
          <cell r="H874">
            <v>60377887.459999993</v>
          </cell>
          <cell r="I874">
            <v>0</v>
          </cell>
          <cell r="P874">
            <v>347115</v>
          </cell>
          <cell r="W874">
            <v>60030772.459999993</v>
          </cell>
          <cell r="AA874">
            <v>347115</v>
          </cell>
          <cell r="AB874">
            <v>60030772.459999993</v>
          </cell>
          <cell r="AC874">
            <v>0</v>
          </cell>
          <cell r="AD874">
            <v>0</v>
          </cell>
          <cell r="AE874">
            <v>0</v>
          </cell>
          <cell r="AF874">
            <v>347115</v>
          </cell>
          <cell r="AG874">
            <v>30188943.729999997</v>
          </cell>
          <cell r="AH874">
            <v>60377887.459999993</v>
          </cell>
          <cell r="AI874" t="str">
            <v>Partial</v>
          </cell>
        </row>
        <row r="875">
          <cell r="D875" t="str">
            <v>ONE</v>
          </cell>
          <cell r="E875">
            <v>0</v>
          </cell>
          <cell r="F875" t="str">
            <v/>
          </cell>
          <cell r="G875" t="str">
            <v/>
          </cell>
          <cell r="H875">
            <v>18512.32</v>
          </cell>
          <cell r="I875">
            <v>0</v>
          </cell>
          <cell r="P875">
            <v>18512.32</v>
          </cell>
          <cell r="AA875">
            <v>18512.32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18512.32</v>
          </cell>
          <cell r="AG875">
            <v>9256.16</v>
          </cell>
          <cell r="AH875">
            <v>18512.32</v>
          </cell>
          <cell r="AI875" t="str">
            <v>Partial</v>
          </cell>
        </row>
        <row r="876">
          <cell r="D876" t="str">
            <v>ONE</v>
          </cell>
          <cell r="E876">
            <v>1</v>
          </cell>
          <cell r="F876" t="str">
            <v/>
          </cell>
          <cell r="G876" t="str">
            <v/>
          </cell>
          <cell r="H876">
            <v>7793137.7400000002</v>
          </cell>
          <cell r="I876">
            <v>0</v>
          </cell>
          <cell r="P876">
            <v>7793137.7400000002</v>
          </cell>
          <cell r="AA876">
            <v>7793137.7400000002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7793137.7400000002</v>
          </cell>
          <cell r="AG876">
            <v>3896568.87</v>
          </cell>
          <cell r="AH876">
            <v>7793137.7400000002</v>
          </cell>
          <cell r="AI876" t="str">
            <v>Partial</v>
          </cell>
        </row>
        <row r="877">
          <cell r="D877" t="str">
            <v>ONE</v>
          </cell>
          <cell r="E877">
            <v>3</v>
          </cell>
          <cell r="F877" t="str">
            <v/>
          </cell>
          <cell r="G877" t="str">
            <v/>
          </cell>
          <cell r="H877">
            <v>10061586</v>
          </cell>
          <cell r="I877">
            <v>0</v>
          </cell>
          <cell r="P877">
            <v>10061586</v>
          </cell>
          <cell r="AA877">
            <v>10061586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10061586</v>
          </cell>
          <cell r="AG877">
            <v>5030793</v>
          </cell>
          <cell r="AH877">
            <v>10061586</v>
          </cell>
          <cell r="AI877" t="str">
            <v>Partial</v>
          </cell>
        </row>
        <row r="878">
          <cell r="D878" t="str">
            <v>ONE</v>
          </cell>
          <cell r="E878">
            <v>2</v>
          </cell>
          <cell r="F878" t="str">
            <v/>
          </cell>
          <cell r="G878" t="str">
            <v/>
          </cell>
          <cell r="H878">
            <v>119056204.52999999</v>
          </cell>
          <cell r="I878">
            <v>0</v>
          </cell>
          <cell r="P878">
            <v>119056204.52999999</v>
          </cell>
          <cell r="AA878">
            <v>119056204.52999999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119056204.52999999</v>
          </cell>
          <cell r="AG878">
            <v>59528102.264999993</v>
          </cell>
          <cell r="AH878">
            <v>119056204.52999999</v>
          </cell>
          <cell r="AI878" t="str">
            <v>Partial</v>
          </cell>
        </row>
        <row r="879">
          <cell r="D879" t="str">
            <v>UNQ</v>
          </cell>
          <cell r="E879">
            <v>2</v>
          </cell>
          <cell r="F879" t="str">
            <v/>
          </cell>
          <cell r="G879" t="str">
            <v/>
          </cell>
          <cell r="H879">
            <v>12825000</v>
          </cell>
          <cell r="I879">
            <v>0</v>
          </cell>
          <cell r="P879">
            <v>12825000</v>
          </cell>
          <cell r="AA879">
            <v>12825000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12825000</v>
          </cell>
          <cell r="AG879">
            <v>6412500</v>
          </cell>
          <cell r="AH879">
            <v>12825000</v>
          </cell>
          <cell r="AI879" t="str">
            <v>Partial</v>
          </cell>
        </row>
        <row r="880">
          <cell r="D880" t="str">
            <v/>
          </cell>
          <cell r="E880">
            <v>2</v>
          </cell>
          <cell r="F880" t="str">
            <v/>
          </cell>
          <cell r="G880" t="str">
            <v/>
          </cell>
          <cell r="H880">
            <v>3000</v>
          </cell>
          <cell r="I880">
            <v>0</v>
          </cell>
          <cell r="P880">
            <v>3000</v>
          </cell>
          <cell r="AA880">
            <v>3000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3000</v>
          </cell>
          <cell r="AG880">
            <v>1500</v>
          </cell>
          <cell r="AH880">
            <v>3000</v>
          </cell>
          <cell r="AI880" t="str">
            <v>Partial</v>
          </cell>
        </row>
        <row r="881">
          <cell r="D881" t="str">
            <v/>
          </cell>
          <cell r="E881">
            <v>1</v>
          </cell>
          <cell r="F881" t="str">
            <v/>
          </cell>
          <cell r="G881" t="str">
            <v/>
          </cell>
          <cell r="H881">
            <v>16736</v>
          </cell>
          <cell r="I881">
            <v>0</v>
          </cell>
          <cell r="P881">
            <v>16736</v>
          </cell>
          <cell r="AA881">
            <v>16736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16736</v>
          </cell>
          <cell r="AG881">
            <v>8368</v>
          </cell>
          <cell r="AH881">
            <v>16736</v>
          </cell>
          <cell r="AI881" t="str">
            <v>Partial</v>
          </cell>
        </row>
        <row r="882">
          <cell r="D882" t="str">
            <v>SP2</v>
          </cell>
          <cell r="E882">
            <v>1</v>
          </cell>
          <cell r="F882" t="str">
            <v/>
          </cell>
          <cell r="G882" t="str">
            <v/>
          </cell>
          <cell r="H882">
            <v>51539</v>
          </cell>
          <cell r="I882">
            <v>0</v>
          </cell>
          <cell r="P882">
            <v>51539</v>
          </cell>
          <cell r="AA882">
            <v>51539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51539</v>
          </cell>
          <cell r="AG882">
            <v>25769.5</v>
          </cell>
          <cell r="AH882">
            <v>51539</v>
          </cell>
          <cell r="AI882" t="str">
            <v>None</v>
          </cell>
        </row>
        <row r="883">
          <cell r="D883" t="str">
            <v/>
          </cell>
          <cell r="E883">
            <v>21</v>
          </cell>
          <cell r="F883" t="str">
            <v/>
          </cell>
          <cell r="G883" t="str">
            <v/>
          </cell>
          <cell r="H883">
            <v>0</v>
          </cell>
          <cell r="I883">
            <v>0</v>
          </cell>
          <cell r="W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 t="str">
            <v>Full and Open</v>
          </cell>
        </row>
        <row r="884">
          <cell r="D884" t="str">
            <v/>
          </cell>
          <cell r="E884">
            <v>22</v>
          </cell>
          <cell r="F884" t="str">
            <v/>
          </cell>
          <cell r="G884" t="str">
            <v/>
          </cell>
          <cell r="H884">
            <v>5795.22</v>
          </cell>
          <cell r="I884">
            <v>0</v>
          </cell>
          <cell r="P884">
            <v>5795.22</v>
          </cell>
          <cell r="AA884">
            <v>5795.22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5795.22</v>
          </cell>
          <cell r="AG884">
            <v>2897.61</v>
          </cell>
          <cell r="AH884">
            <v>5795.22</v>
          </cell>
          <cell r="AI884" t="str">
            <v>Full and Open</v>
          </cell>
        </row>
        <row r="885">
          <cell r="D885" t="str">
            <v/>
          </cell>
          <cell r="E885">
            <v>13</v>
          </cell>
          <cell r="F885" t="str">
            <v/>
          </cell>
          <cell r="G885" t="str">
            <v/>
          </cell>
          <cell r="H885">
            <v>6261.1</v>
          </cell>
          <cell r="I885">
            <v>0</v>
          </cell>
          <cell r="P885">
            <v>6261.1</v>
          </cell>
          <cell r="AA885">
            <v>6261.1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6261.1</v>
          </cell>
          <cell r="AG885">
            <v>3130.55</v>
          </cell>
          <cell r="AH885">
            <v>6261.1</v>
          </cell>
          <cell r="AI885" t="str">
            <v>Full and Open</v>
          </cell>
        </row>
        <row r="886">
          <cell r="D886" t="str">
            <v/>
          </cell>
          <cell r="E886">
            <v>5</v>
          </cell>
          <cell r="F886" t="str">
            <v/>
          </cell>
          <cell r="G886" t="str">
            <v/>
          </cell>
          <cell r="H886">
            <v>6428</v>
          </cell>
          <cell r="I886">
            <v>0</v>
          </cell>
          <cell r="P886">
            <v>6428</v>
          </cell>
          <cell r="AA886">
            <v>6428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6428</v>
          </cell>
          <cell r="AG886">
            <v>3214</v>
          </cell>
          <cell r="AH886">
            <v>6428</v>
          </cell>
          <cell r="AI886" t="str">
            <v>Full and Open</v>
          </cell>
        </row>
        <row r="887">
          <cell r="D887" t="str">
            <v/>
          </cell>
          <cell r="E887">
            <v>15</v>
          </cell>
          <cell r="F887" t="str">
            <v/>
          </cell>
          <cell r="G887" t="str">
            <v/>
          </cell>
          <cell r="H887">
            <v>15907.57</v>
          </cell>
          <cell r="I887">
            <v>0</v>
          </cell>
          <cell r="P887">
            <v>15907.57</v>
          </cell>
          <cell r="AA887">
            <v>15907.57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15907.57</v>
          </cell>
          <cell r="AG887">
            <v>7953.7849999999999</v>
          </cell>
          <cell r="AH887">
            <v>15907.57</v>
          </cell>
          <cell r="AI887" t="str">
            <v>Full and Open</v>
          </cell>
        </row>
        <row r="888">
          <cell r="D888" t="str">
            <v/>
          </cell>
          <cell r="E888">
            <v>12</v>
          </cell>
          <cell r="F888" t="str">
            <v/>
          </cell>
          <cell r="G888" t="str">
            <v/>
          </cell>
          <cell r="H888">
            <v>39622.39</v>
          </cell>
          <cell r="I888">
            <v>0</v>
          </cell>
          <cell r="P888">
            <v>39622.39</v>
          </cell>
          <cell r="AA888">
            <v>39622.39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39622.39</v>
          </cell>
          <cell r="AG888">
            <v>19811.195</v>
          </cell>
          <cell r="AH888">
            <v>39622.39</v>
          </cell>
          <cell r="AI888" t="str">
            <v>Full and Open</v>
          </cell>
        </row>
        <row r="889">
          <cell r="D889" t="str">
            <v/>
          </cell>
          <cell r="E889">
            <v>16</v>
          </cell>
          <cell r="F889" t="str">
            <v/>
          </cell>
          <cell r="G889" t="str">
            <v/>
          </cell>
          <cell r="H889">
            <v>49650.36</v>
          </cell>
          <cell r="I889">
            <v>0</v>
          </cell>
          <cell r="P889">
            <v>49650.36</v>
          </cell>
          <cell r="AA889">
            <v>49650.36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49650.36</v>
          </cell>
          <cell r="AG889">
            <v>24825.18</v>
          </cell>
          <cell r="AH889">
            <v>49650.36</v>
          </cell>
          <cell r="AI889" t="str">
            <v>Full and Open</v>
          </cell>
        </row>
        <row r="890">
          <cell r="D890" t="str">
            <v/>
          </cell>
          <cell r="E890">
            <v>8</v>
          </cell>
          <cell r="F890" t="str">
            <v/>
          </cell>
          <cell r="G890" t="str">
            <v/>
          </cell>
          <cell r="H890">
            <v>74243.08</v>
          </cell>
          <cell r="I890">
            <v>0</v>
          </cell>
          <cell r="P890">
            <v>74243.08</v>
          </cell>
          <cell r="AA890">
            <v>74243.08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74243.08</v>
          </cell>
          <cell r="AG890">
            <v>37121.54</v>
          </cell>
          <cell r="AH890">
            <v>74243.08</v>
          </cell>
          <cell r="AI890" t="str">
            <v>Full and Open</v>
          </cell>
        </row>
        <row r="891">
          <cell r="D891" t="str">
            <v/>
          </cell>
          <cell r="E891">
            <v>11</v>
          </cell>
          <cell r="F891" t="str">
            <v/>
          </cell>
          <cell r="G891" t="str">
            <v/>
          </cell>
          <cell r="H891">
            <v>151568.28999999998</v>
          </cell>
          <cell r="I891">
            <v>0</v>
          </cell>
          <cell r="P891">
            <v>151568.28999999998</v>
          </cell>
          <cell r="AA891">
            <v>151568.28999999998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151568.28999999998</v>
          </cell>
          <cell r="AG891">
            <v>75784.14499999999</v>
          </cell>
          <cell r="AH891">
            <v>151568.28999999998</v>
          </cell>
          <cell r="AI891" t="str">
            <v>Full and Open</v>
          </cell>
        </row>
        <row r="892">
          <cell r="D892" t="str">
            <v/>
          </cell>
          <cell r="E892">
            <v>7</v>
          </cell>
          <cell r="F892" t="str">
            <v/>
          </cell>
          <cell r="G892" t="str">
            <v/>
          </cell>
          <cell r="H892">
            <v>321449.47000000003</v>
          </cell>
          <cell r="I892">
            <v>0</v>
          </cell>
          <cell r="P892">
            <v>321449.47000000003</v>
          </cell>
          <cell r="AA892">
            <v>321449.47000000003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321449.47000000003</v>
          </cell>
          <cell r="AG892">
            <v>160724.73500000002</v>
          </cell>
          <cell r="AH892">
            <v>321449.47000000003</v>
          </cell>
          <cell r="AI892" t="str">
            <v>Full and Open</v>
          </cell>
        </row>
        <row r="893">
          <cell r="D893" t="str">
            <v/>
          </cell>
          <cell r="E893">
            <v>2</v>
          </cell>
          <cell r="F893" t="str">
            <v/>
          </cell>
          <cell r="G893" t="str">
            <v/>
          </cell>
          <cell r="H893">
            <v>2322954.5499999998</v>
          </cell>
          <cell r="I893">
            <v>0</v>
          </cell>
          <cell r="P893">
            <v>210703.76</v>
          </cell>
          <cell r="W893">
            <v>2112250.79</v>
          </cell>
          <cell r="AA893">
            <v>210703.76</v>
          </cell>
          <cell r="AB893">
            <v>2112250.79</v>
          </cell>
          <cell r="AC893">
            <v>0</v>
          </cell>
          <cell r="AD893">
            <v>0</v>
          </cell>
          <cell r="AE893">
            <v>0</v>
          </cell>
          <cell r="AF893">
            <v>210703.76</v>
          </cell>
          <cell r="AG893">
            <v>1161477.2749999999</v>
          </cell>
          <cell r="AH893">
            <v>2322954.5499999998</v>
          </cell>
          <cell r="AI893" t="str">
            <v>Full and Open</v>
          </cell>
        </row>
        <row r="894">
          <cell r="D894" t="str">
            <v/>
          </cell>
          <cell r="E894">
            <v>3</v>
          </cell>
          <cell r="F894" t="str">
            <v/>
          </cell>
          <cell r="G894" t="str">
            <v/>
          </cell>
          <cell r="H894">
            <v>2736032.8</v>
          </cell>
          <cell r="I894">
            <v>0</v>
          </cell>
          <cell r="P894">
            <v>57519</v>
          </cell>
          <cell r="W894">
            <v>2678513.7999999998</v>
          </cell>
          <cell r="AA894">
            <v>57519</v>
          </cell>
          <cell r="AB894">
            <v>2678513.7999999998</v>
          </cell>
          <cell r="AC894">
            <v>0</v>
          </cell>
          <cell r="AD894">
            <v>0</v>
          </cell>
          <cell r="AE894">
            <v>0</v>
          </cell>
          <cell r="AF894">
            <v>57519</v>
          </cell>
          <cell r="AG894">
            <v>1368016.4</v>
          </cell>
          <cell r="AH894">
            <v>2736032.8</v>
          </cell>
          <cell r="AI894" t="str">
            <v>Full and Open</v>
          </cell>
        </row>
        <row r="895">
          <cell r="D895" t="str">
            <v/>
          </cell>
          <cell r="E895">
            <v>1</v>
          </cell>
          <cell r="F895" t="str">
            <v/>
          </cell>
          <cell r="G895" t="str">
            <v/>
          </cell>
          <cell r="H895">
            <v>3093337.7900000005</v>
          </cell>
          <cell r="I895">
            <v>3602811.72</v>
          </cell>
          <cell r="P895">
            <v>1813983.99</v>
          </cell>
          <cell r="T895">
            <v>-2103298.21</v>
          </cell>
          <cell r="U895">
            <v>3293886.09</v>
          </cell>
          <cell r="W895">
            <v>88765.9200000001</v>
          </cell>
          <cell r="AA895">
            <v>1813983.99</v>
          </cell>
          <cell r="AB895">
            <v>3382652.01</v>
          </cell>
          <cell r="AC895">
            <v>0</v>
          </cell>
          <cell r="AD895">
            <v>-2103298.21</v>
          </cell>
          <cell r="AE895">
            <v>0</v>
          </cell>
          <cell r="AF895">
            <v>1813983.99</v>
          </cell>
          <cell r="AG895">
            <v>-1151923.2549999999</v>
          </cell>
          <cell r="AH895">
            <v>3093337.79</v>
          </cell>
          <cell r="AI895" t="str">
            <v>Full and Open</v>
          </cell>
        </row>
        <row r="896">
          <cell r="D896" t="str">
            <v/>
          </cell>
          <cell r="E896">
            <v>4</v>
          </cell>
          <cell r="F896" t="str">
            <v/>
          </cell>
          <cell r="G896" t="str">
            <v/>
          </cell>
          <cell r="H896">
            <v>5287276</v>
          </cell>
          <cell r="I896">
            <v>0</v>
          </cell>
          <cell r="P896">
            <v>0</v>
          </cell>
          <cell r="U896">
            <v>0</v>
          </cell>
          <cell r="W896">
            <v>5287276</v>
          </cell>
          <cell r="AA896">
            <v>0</v>
          </cell>
          <cell r="AB896">
            <v>5287276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2643638</v>
          </cell>
          <cell r="AH896">
            <v>5287276</v>
          </cell>
          <cell r="AI896" t="str">
            <v>Full and Open</v>
          </cell>
        </row>
        <row r="897">
          <cell r="D897" t="str">
            <v>ONE</v>
          </cell>
          <cell r="E897">
            <v>1</v>
          </cell>
          <cell r="F897" t="str">
            <v/>
          </cell>
          <cell r="G897" t="str">
            <v/>
          </cell>
          <cell r="H897">
            <v>1174059513.1199999</v>
          </cell>
          <cell r="I897">
            <v>354831</v>
          </cell>
          <cell r="P897">
            <v>46429.119999999995</v>
          </cell>
          <cell r="T897">
            <v>2014415</v>
          </cell>
          <cell r="W897">
            <v>204324066</v>
          </cell>
          <cell r="X897">
            <v>967674603</v>
          </cell>
          <cell r="AA897">
            <v>46429.119999999995</v>
          </cell>
          <cell r="AB897">
            <v>204324066</v>
          </cell>
          <cell r="AC897">
            <v>0</v>
          </cell>
          <cell r="AD897">
            <v>969689018</v>
          </cell>
          <cell r="AE897">
            <v>0</v>
          </cell>
          <cell r="AF897">
            <v>46429.119999999995</v>
          </cell>
          <cell r="AG897">
            <v>1071874265.5599999</v>
          </cell>
          <cell r="AH897">
            <v>1174059513.1199999</v>
          </cell>
          <cell r="AI897" t="str">
            <v>None</v>
          </cell>
        </row>
        <row r="898">
          <cell r="D898" t="str">
            <v>UNQ</v>
          </cell>
          <cell r="E898">
            <v>1</v>
          </cell>
          <cell r="F898" t="str">
            <v/>
          </cell>
          <cell r="G898" t="str">
            <v/>
          </cell>
          <cell r="H898">
            <v>9267045.9399999995</v>
          </cell>
          <cell r="I898">
            <v>9267045.9399999995</v>
          </cell>
          <cell r="W898">
            <v>9267045.9399999995</v>
          </cell>
          <cell r="X898">
            <v>0</v>
          </cell>
          <cell r="AA898">
            <v>0</v>
          </cell>
          <cell r="AB898">
            <v>9267045.9399999995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4633522.97</v>
          </cell>
          <cell r="AH898">
            <v>9267045.9399999995</v>
          </cell>
          <cell r="AI898" t="str">
            <v>None</v>
          </cell>
        </row>
        <row r="899">
          <cell r="D899" t="str">
            <v>URG</v>
          </cell>
          <cell r="E899">
            <v>1</v>
          </cell>
          <cell r="F899" t="str">
            <v/>
          </cell>
          <cell r="G899" t="str">
            <v/>
          </cell>
          <cell r="H899">
            <v>-2582869.7099999995</v>
          </cell>
          <cell r="I899">
            <v>-2580238.4899999998</v>
          </cell>
          <cell r="P899">
            <v>-2631.22</v>
          </cell>
          <cell r="W899">
            <v>-2580238.4899999998</v>
          </cell>
          <cell r="AA899">
            <v>-2631.22</v>
          </cell>
          <cell r="AB899">
            <v>-2580238.4899999998</v>
          </cell>
          <cell r="AC899">
            <v>0</v>
          </cell>
          <cell r="AD899">
            <v>0</v>
          </cell>
          <cell r="AE899">
            <v>0</v>
          </cell>
          <cell r="AF899">
            <v>-2631.22</v>
          </cell>
          <cell r="AG899">
            <v>-1291434.855</v>
          </cell>
          <cell r="AH899">
            <v>-2582869.71</v>
          </cell>
          <cell r="AI899" t="str">
            <v>None</v>
          </cell>
        </row>
        <row r="900">
          <cell r="D900" t="str">
            <v/>
          </cell>
          <cell r="E900">
            <v>0</v>
          </cell>
          <cell r="F900" t="str">
            <v/>
          </cell>
          <cell r="G900" t="str">
            <v/>
          </cell>
          <cell r="H900">
            <v>0</v>
          </cell>
          <cell r="I900">
            <v>0</v>
          </cell>
          <cell r="P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 t="str">
            <v>Partial</v>
          </cell>
        </row>
        <row r="901">
          <cell r="D901" t="str">
            <v/>
          </cell>
          <cell r="E901">
            <v>22</v>
          </cell>
          <cell r="F901" t="str">
            <v/>
          </cell>
          <cell r="G901" t="str">
            <v/>
          </cell>
          <cell r="H901">
            <v>0</v>
          </cell>
          <cell r="I901">
            <v>0</v>
          </cell>
          <cell r="P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 t="str">
            <v>Partial</v>
          </cell>
        </row>
        <row r="902">
          <cell r="D902" t="str">
            <v/>
          </cell>
          <cell r="E902">
            <v>17</v>
          </cell>
          <cell r="F902" t="str">
            <v/>
          </cell>
          <cell r="G902" t="str">
            <v/>
          </cell>
          <cell r="H902">
            <v>3403.2</v>
          </cell>
          <cell r="I902">
            <v>0</v>
          </cell>
          <cell r="P902">
            <v>3403.2</v>
          </cell>
          <cell r="AA902">
            <v>3403.2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3403.2</v>
          </cell>
          <cell r="AG902">
            <v>1701.6</v>
          </cell>
          <cell r="AH902">
            <v>3403.2</v>
          </cell>
          <cell r="AI902" t="str">
            <v>Partial</v>
          </cell>
        </row>
        <row r="903">
          <cell r="D903" t="str">
            <v/>
          </cell>
          <cell r="E903">
            <v>6</v>
          </cell>
          <cell r="F903" t="str">
            <v/>
          </cell>
          <cell r="G903" t="str">
            <v/>
          </cell>
          <cell r="H903">
            <v>3450</v>
          </cell>
          <cell r="I903">
            <v>0</v>
          </cell>
          <cell r="P903">
            <v>3450</v>
          </cell>
          <cell r="AA903">
            <v>3450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3450</v>
          </cell>
          <cell r="AG903">
            <v>1725</v>
          </cell>
          <cell r="AH903">
            <v>3450</v>
          </cell>
          <cell r="AI903" t="str">
            <v>Partial</v>
          </cell>
        </row>
        <row r="904">
          <cell r="D904" t="str">
            <v/>
          </cell>
          <cell r="E904">
            <v>16</v>
          </cell>
          <cell r="F904" t="str">
            <v/>
          </cell>
          <cell r="G904" t="str">
            <v/>
          </cell>
          <cell r="H904">
            <v>8550</v>
          </cell>
          <cell r="I904">
            <v>0</v>
          </cell>
          <cell r="P904">
            <v>8550</v>
          </cell>
          <cell r="AA904">
            <v>8550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8550</v>
          </cell>
          <cell r="AG904">
            <v>4275</v>
          </cell>
          <cell r="AH904">
            <v>8550</v>
          </cell>
          <cell r="AI904" t="str">
            <v>Partial</v>
          </cell>
        </row>
        <row r="905">
          <cell r="D905" t="str">
            <v/>
          </cell>
          <cell r="E905">
            <v>8</v>
          </cell>
          <cell r="F905" t="str">
            <v/>
          </cell>
          <cell r="G905" t="str">
            <v/>
          </cell>
          <cell r="H905">
            <v>8975</v>
          </cell>
          <cell r="I905">
            <v>0</v>
          </cell>
          <cell r="P905">
            <v>8975</v>
          </cell>
          <cell r="AA905">
            <v>8975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8975</v>
          </cell>
          <cell r="AG905">
            <v>4487.5</v>
          </cell>
          <cell r="AH905">
            <v>8975</v>
          </cell>
          <cell r="AI905" t="str">
            <v>Partial</v>
          </cell>
        </row>
        <row r="906">
          <cell r="D906" t="str">
            <v/>
          </cell>
          <cell r="E906">
            <v>18</v>
          </cell>
          <cell r="F906" t="str">
            <v/>
          </cell>
          <cell r="G906" t="str">
            <v/>
          </cell>
          <cell r="H906">
            <v>29295</v>
          </cell>
          <cell r="I906">
            <v>0</v>
          </cell>
          <cell r="P906">
            <v>29295</v>
          </cell>
          <cell r="AA906">
            <v>29295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29295</v>
          </cell>
          <cell r="AG906">
            <v>14647.5</v>
          </cell>
          <cell r="AH906">
            <v>29295</v>
          </cell>
          <cell r="AI906" t="str">
            <v>Partial</v>
          </cell>
        </row>
        <row r="907">
          <cell r="D907" t="str">
            <v/>
          </cell>
          <cell r="E907">
            <v>10</v>
          </cell>
          <cell r="F907" t="str">
            <v/>
          </cell>
          <cell r="G907" t="str">
            <v/>
          </cell>
          <cell r="H907">
            <v>34045.03</v>
          </cell>
          <cell r="I907">
            <v>0</v>
          </cell>
          <cell r="P907">
            <v>34045.03</v>
          </cell>
          <cell r="AA907">
            <v>34045.03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34045.03</v>
          </cell>
          <cell r="AG907">
            <v>17022.514999999999</v>
          </cell>
          <cell r="AH907">
            <v>34045.03</v>
          </cell>
          <cell r="AI907" t="str">
            <v>Partial</v>
          </cell>
        </row>
        <row r="908">
          <cell r="D908" t="str">
            <v/>
          </cell>
          <cell r="E908">
            <v>24</v>
          </cell>
          <cell r="F908" t="str">
            <v/>
          </cell>
          <cell r="G908" t="str">
            <v/>
          </cell>
          <cell r="H908">
            <v>37135</v>
          </cell>
          <cell r="I908">
            <v>0</v>
          </cell>
          <cell r="P908">
            <v>37135</v>
          </cell>
          <cell r="AA908">
            <v>37135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37135</v>
          </cell>
          <cell r="AG908">
            <v>18567.5</v>
          </cell>
          <cell r="AH908">
            <v>37135</v>
          </cell>
          <cell r="AI908" t="str">
            <v>Partial</v>
          </cell>
        </row>
        <row r="909">
          <cell r="D909" t="str">
            <v/>
          </cell>
          <cell r="E909">
            <v>21</v>
          </cell>
          <cell r="F909" t="str">
            <v/>
          </cell>
          <cell r="G909" t="str">
            <v/>
          </cell>
          <cell r="H909">
            <v>44741</v>
          </cell>
          <cell r="I909">
            <v>0</v>
          </cell>
          <cell r="P909">
            <v>44741</v>
          </cell>
          <cell r="AA909">
            <v>44741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44741</v>
          </cell>
          <cell r="AG909">
            <v>22370.5</v>
          </cell>
          <cell r="AH909">
            <v>44741</v>
          </cell>
          <cell r="AI909" t="str">
            <v>Partial</v>
          </cell>
        </row>
        <row r="910">
          <cell r="D910" t="str">
            <v/>
          </cell>
          <cell r="E910">
            <v>11</v>
          </cell>
          <cell r="F910" t="str">
            <v/>
          </cell>
          <cell r="G910" t="str">
            <v/>
          </cell>
          <cell r="H910">
            <v>61136.24</v>
          </cell>
          <cell r="I910">
            <v>0</v>
          </cell>
          <cell r="P910">
            <v>61136.24</v>
          </cell>
          <cell r="AA910">
            <v>61136.24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61136.24</v>
          </cell>
          <cell r="AG910">
            <v>30568.12</v>
          </cell>
          <cell r="AH910">
            <v>61136.24</v>
          </cell>
          <cell r="AI910" t="str">
            <v>Partial</v>
          </cell>
        </row>
        <row r="911">
          <cell r="D911" t="str">
            <v/>
          </cell>
          <cell r="E911">
            <v>4</v>
          </cell>
          <cell r="F911" t="str">
            <v/>
          </cell>
          <cell r="G911" t="str">
            <v/>
          </cell>
          <cell r="H911">
            <v>90470.05</v>
          </cell>
          <cell r="I911">
            <v>0</v>
          </cell>
          <cell r="P911">
            <v>90470.05</v>
          </cell>
          <cell r="AA911">
            <v>90470.05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90470.05</v>
          </cell>
          <cell r="AG911">
            <v>45235.025000000001</v>
          </cell>
          <cell r="AH911">
            <v>90470.05</v>
          </cell>
          <cell r="AI911" t="str">
            <v>Partial</v>
          </cell>
        </row>
        <row r="912">
          <cell r="D912" t="str">
            <v/>
          </cell>
          <cell r="E912">
            <v>7</v>
          </cell>
          <cell r="F912" t="str">
            <v/>
          </cell>
          <cell r="G912" t="str">
            <v/>
          </cell>
          <cell r="H912">
            <v>121607.65</v>
          </cell>
          <cell r="I912">
            <v>0</v>
          </cell>
          <cell r="P912">
            <v>121607.65</v>
          </cell>
          <cell r="AA912">
            <v>121607.65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121607.65</v>
          </cell>
          <cell r="AG912">
            <v>60803.824999999997</v>
          </cell>
          <cell r="AH912">
            <v>121607.65</v>
          </cell>
          <cell r="AI912" t="str">
            <v>Partial</v>
          </cell>
        </row>
        <row r="913">
          <cell r="D913" t="str">
            <v/>
          </cell>
          <cell r="E913">
            <v>5</v>
          </cell>
          <cell r="F913" t="str">
            <v/>
          </cell>
          <cell r="G913" t="str">
            <v/>
          </cell>
          <cell r="H913">
            <v>186614.93</v>
          </cell>
          <cell r="I913">
            <v>0</v>
          </cell>
          <cell r="P913">
            <v>186614.93</v>
          </cell>
          <cell r="AA913">
            <v>186614.93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186614.93</v>
          </cell>
          <cell r="AG913">
            <v>93307.464999999997</v>
          </cell>
          <cell r="AH913">
            <v>186614.93</v>
          </cell>
          <cell r="AI913" t="str">
            <v>Partial</v>
          </cell>
        </row>
        <row r="914">
          <cell r="D914" t="str">
            <v/>
          </cell>
          <cell r="E914">
            <v>1</v>
          </cell>
          <cell r="F914" t="str">
            <v/>
          </cell>
          <cell r="G914" t="str">
            <v/>
          </cell>
          <cell r="H914">
            <v>265025.24</v>
          </cell>
          <cell r="I914">
            <v>0</v>
          </cell>
          <cell r="P914">
            <v>265025.24</v>
          </cell>
          <cell r="AA914">
            <v>265025.24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265025.24</v>
          </cell>
          <cell r="AG914">
            <v>132512.62</v>
          </cell>
          <cell r="AH914">
            <v>265025.24</v>
          </cell>
          <cell r="AI914" t="str">
            <v>Partial</v>
          </cell>
        </row>
        <row r="915">
          <cell r="D915" t="str">
            <v/>
          </cell>
          <cell r="E915">
            <v>2</v>
          </cell>
          <cell r="F915" t="str">
            <v/>
          </cell>
          <cell r="G915" t="str">
            <v/>
          </cell>
          <cell r="H915">
            <v>322790.91000000003</v>
          </cell>
          <cell r="I915">
            <v>0</v>
          </cell>
          <cell r="P915">
            <v>322790.91000000003</v>
          </cell>
          <cell r="AA915">
            <v>322790.91000000003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322790.91000000003</v>
          </cell>
          <cell r="AG915">
            <v>161395.45500000002</v>
          </cell>
          <cell r="AH915">
            <v>322790.91000000003</v>
          </cell>
          <cell r="AI915" t="str">
            <v>Partial</v>
          </cell>
        </row>
        <row r="916">
          <cell r="D916" t="str">
            <v/>
          </cell>
          <cell r="E916">
            <v>3</v>
          </cell>
          <cell r="F916" t="str">
            <v/>
          </cell>
          <cell r="G916" t="str">
            <v/>
          </cell>
          <cell r="H916">
            <v>393194.66</v>
          </cell>
          <cell r="I916">
            <v>0</v>
          </cell>
          <cell r="P916">
            <v>393194.66</v>
          </cell>
          <cell r="AA916">
            <v>393194.66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393194.66</v>
          </cell>
          <cell r="AG916">
            <v>196597.33</v>
          </cell>
          <cell r="AH916">
            <v>393194.66</v>
          </cell>
          <cell r="AI916" t="str">
            <v>Partial</v>
          </cell>
        </row>
        <row r="917">
          <cell r="D917" t="str">
            <v/>
          </cell>
          <cell r="E917">
            <v>9</v>
          </cell>
          <cell r="F917" t="str">
            <v/>
          </cell>
          <cell r="G917" t="str">
            <v/>
          </cell>
          <cell r="H917">
            <v>8788</v>
          </cell>
          <cell r="I917">
            <v>0</v>
          </cell>
          <cell r="P917">
            <v>8788</v>
          </cell>
          <cell r="AA917">
            <v>8788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8788</v>
          </cell>
          <cell r="AG917">
            <v>4394</v>
          </cell>
          <cell r="AH917">
            <v>8788</v>
          </cell>
          <cell r="AI917" t="str">
            <v>Partial</v>
          </cell>
        </row>
        <row r="918">
          <cell r="D918" t="str">
            <v/>
          </cell>
          <cell r="E918">
            <v>3</v>
          </cell>
          <cell r="F918" t="str">
            <v/>
          </cell>
          <cell r="G918" t="str">
            <v/>
          </cell>
          <cell r="H918">
            <v>22138.87</v>
          </cell>
          <cell r="I918">
            <v>0</v>
          </cell>
          <cell r="P918">
            <v>22138.87</v>
          </cell>
          <cell r="AA918">
            <v>22138.87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22138.87</v>
          </cell>
          <cell r="AG918">
            <v>11069.434999999999</v>
          </cell>
          <cell r="AH918">
            <v>22138.87</v>
          </cell>
          <cell r="AI918" t="str">
            <v>Partial</v>
          </cell>
        </row>
        <row r="919">
          <cell r="D919" t="str">
            <v/>
          </cell>
          <cell r="E919">
            <v>0</v>
          </cell>
          <cell r="F919" t="str">
            <v/>
          </cell>
          <cell r="G919" t="str">
            <v/>
          </cell>
          <cell r="H919">
            <v>-303664.64000000001</v>
          </cell>
          <cell r="I919">
            <v>-303664.64000000001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 t="str">
            <v>Full and Open</v>
          </cell>
        </row>
        <row r="920">
          <cell r="D920" t="str">
            <v/>
          </cell>
          <cell r="E920">
            <v>5</v>
          </cell>
          <cell r="F920" t="str">
            <v/>
          </cell>
          <cell r="G920" t="str">
            <v/>
          </cell>
          <cell r="H920">
            <v>764023.38</v>
          </cell>
          <cell r="I920">
            <v>764023.38</v>
          </cell>
          <cell r="Y920">
            <v>764023.38</v>
          </cell>
          <cell r="AA920">
            <v>0</v>
          </cell>
          <cell r="AB920">
            <v>764023.38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764023.38</v>
          </cell>
          <cell r="AI920" t="str">
            <v>Full and Open</v>
          </cell>
        </row>
        <row r="921">
          <cell r="D921" t="str">
            <v/>
          </cell>
          <cell r="E921">
            <v>1</v>
          </cell>
          <cell r="F921" t="str">
            <v/>
          </cell>
          <cell r="G921" t="str">
            <v/>
          </cell>
          <cell r="H921">
            <v>8791241.9499999993</v>
          </cell>
          <cell r="I921">
            <v>-37499.56</v>
          </cell>
          <cell r="P921">
            <v>3539009.43</v>
          </cell>
          <cell r="W921">
            <v>5289732.08</v>
          </cell>
          <cell r="Y921">
            <v>-37499.56</v>
          </cell>
          <cell r="AA921">
            <v>3539009.43</v>
          </cell>
          <cell r="AB921">
            <v>5252232.5200000005</v>
          </cell>
          <cell r="AC921">
            <v>0</v>
          </cell>
          <cell r="AD921">
            <v>0</v>
          </cell>
          <cell r="AE921">
            <v>0</v>
          </cell>
          <cell r="AF921">
            <v>3539009.43</v>
          </cell>
          <cell r="AG921">
            <v>4414370.7549999999</v>
          </cell>
          <cell r="AH921">
            <v>8791241.9499999993</v>
          </cell>
          <cell r="AI921" t="str">
            <v>Full and Open</v>
          </cell>
        </row>
        <row r="922">
          <cell r="D922" t="str">
            <v/>
          </cell>
          <cell r="E922">
            <v>3</v>
          </cell>
          <cell r="F922" t="str">
            <v/>
          </cell>
          <cell r="G922" t="str">
            <v/>
          </cell>
          <cell r="H922">
            <v>88221771.909999982</v>
          </cell>
          <cell r="I922">
            <v>10830973.220000001</v>
          </cell>
          <cell r="P922">
            <v>3207493.38</v>
          </cell>
          <cell r="T922">
            <v>67019526.309999995</v>
          </cell>
          <cell r="W922">
            <v>13410939.74</v>
          </cell>
          <cell r="X922">
            <v>1597271.76</v>
          </cell>
          <cell r="Y922">
            <v>2986540.7199999997</v>
          </cell>
          <cell r="AA922">
            <v>3207493.38</v>
          </cell>
          <cell r="AB922">
            <v>16397480.460000001</v>
          </cell>
          <cell r="AC922">
            <v>0</v>
          </cell>
          <cell r="AD922">
            <v>68616798.069999993</v>
          </cell>
          <cell r="AE922">
            <v>0</v>
          </cell>
          <cell r="AF922">
            <v>3207493.38</v>
          </cell>
          <cell r="AG922">
            <v>76926014.63000001</v>
          </cell>
          <cell r="AH922">
            <v>88221771.909999996</v>
          </cell>
          <cell r="AI922" t="str">
            <v>Full and Open</v>
          </cell>
        </row>
        <row r="923">
          <cell r="D923" t="str">
            <v/>
          </cell>
          <cell r="E923">
            <v>2</v>
          </cell>
          <cell r="F923" t="str">
            <v/>
          </cell>
          <cell r="G923" t="str">
            <v/>
          </cell>
          <cell r="H923">
            <v>807306359.25999987</v>
          </cell>
          <cell r="I923">
            <v>1167890.0900000001</v>
          </cell>
          <cell r="P923">
            <v>0</v>
          </cell>
          <cell r="T923">
            <v>83638641.760000005</v>
          </cell>
          <cell r="W923">
            <v>1609960.959999999</v>
          </cell>
          <cell r="X923">
            <v>720889866.45000005</v>
          </cell>
          <cell r="Y923">
            <v>1195364.8500000001</v>
          </cell>
          <cell r="Z923">
            <v>-27474.760000000002</v>
          </cell>
          <cell r="AA923">
            <v>0</v>
          </cell>
          <cell r="AB923">
            <v>2777851.0499999993</v>
          </cell>
          <cell r="AC923">
            <v>0</v>
          </cell>
          <cell r="AD923">
            <v>804528508.21000004</v>
          </cell>
          <cell r="AE923">
            <v>0</v>
          </cell>
          <cell r="AF923">
            <v>0</v>
          </cell>
          <cell r="AG923">
            <v>805333488.69000006</v>
          </cell>
          <cell r="AH923">
            <v>807306359.26000011</v>
          </cell>
          <cell r="AI923" t="str">
            <v>Full and Open</v>
          </cell>
        </row>
      </sheetData>
      <sheetData sheetId="2">
        <row r="2">
          <cell r="A2" t="str">
            <v>AB3 APACHE Block III</v>
          </cell>
          <cell r="B2" t="str">
            <v>AB3 APACHE Block III</v>
          </cell>
          <cell r="C2" t="str">
            <v>Boeing</v>
          </cell>
          <cell r="D2" t="str">
            <v>Boeing</v>
          </cell>
          <cell r="E2" t="str">
            <v/>
          </cell>
          <cell r="G2">
            <v>1</v>
          </cell>
          <cell r="H2" t="str">
            <v>General Electric</v>
          </cell>
          <cell r="I2" t="str">
            <v/>
          </cell>
          <cell r="J2" t="str">
            <v>http://www.army-technology.com/projects/apache/</v>
          </cell>
          <cell r="K2" t="str">
            <v>Army</v>
          </cell>
          <cell r="L2">
            <v>2006</v>
          </cell>
          <cell r="M2" t="str">
            <v>DE</v>
          </cell>
          <cell r="N2" t="e">
            <v>#N/A</v>
          </cell>
          <cell r="O2" t="e">
            <v>#N/A</v>
          </cell>
          <cell r="P2" t="e">
            <v>#NAME?</v>
          </cell>
          <cell r="Q2" t="e">
            <v>#N/A</v>
          </cell>
          <cell r="R2">
            <v>0</v>
          </cell>
          <cell r="S2" t="e">
            <v>#NAME?</v>
          </cell>
          <cell r="T2" t="e">
            <v>#NAME?</v>
          </cell>
          <cell r="U2" t="e">
            <v>#NAME?</v>
          </cell>
          <cell r="W2">
            <v>0</v>
          </cell>
          <cell r="X2">
            <v>-0.93737541528239199</v>
          </cell>
          <cell r="Y2">
            <v>-93.737541528239205</v>
          </cell>
          <cell r="AA2">
            <v>0</v>
          </cell>
          <cell r="AB2" t="e">
            <v>#REF!</v>
          </cell>
          <cell r="AC2">
            <v>602</v>
          </cell>
          <cell r="AD2">
            <v>3161.1</v>
          </cell>
          <cell r="AE2">
            <v>0.19044003669608681</v>
          </cell>
          <cell r="AF2">
            <v>37.700000000000003</v>
          </cell>
          <cell r="AG2" t="e">
            <v>#REF!</v>
          </cell>
          <cell r="AH2" t="str">
            <v/>
          </cell>
          <cell r="AI2" t="str">
            <v/>
          </cell>
        </row>
        <row r="3">
          <cell r="A3" t="str">
            <v>AB3A REMANUFACTURE</v>
          </cell>
          <cell r="B3" t="str">
            <v>AB3A REMANUFACTURE</v>
          </cell>
          <cell r="C3" t="str">
            <v>Boeing</v>
          </cell>
          <cell r="D3" t="str">
            <v>Boeing</v>
          </cell>
          <cell r="E3" t="str">
            <v>Northrop Grumman, Lockheed Martin</v>
          </cell>
          <cell r="G3">
            <v>0</v>
          </cell>
          <cell r="H3" t="str">
            <v/>
          </cell>
          <cell r="I3" t="str">
            <v/>
          </cell>
          <cell r="J3" t="str">
            <v/>
          </cell>
          <cell r="K3">
            <v>0</v>
          </cell>
          <cell r="L3">
            <v>2010</v>
          </cell>
          <cell r="M3" t="str">
            <v>PdE</v>
          </cell>
          <cell r="N3">
            <v>0.6</v>
          </cell>
          <cell r="O3" t="e">
            <v>#NAME?</v>
          </cell>
          <cell r="P3" t="e">
            <v>#NAME?</v>
          </cell>
          <cell r="Q3" t="e">
            <v>#NAME?</v>
          </cell>
          <cell r="R3">
            <v>0</v>
          </cell>
          <cell r="S3" t="e">
            <v>#NAME?</v>
          </cell>
          <cell r="T3" t="e">
            <v>#NAME?</v>
          </cell>
          <cell r="U3" t="e">
            <v>#NAME?</v>
          </cell>
          <cell r="W3">
            <v>0</v>
          </cell>
          <cell r="X3" t="e">
            <v>#N/A</v>
          </cell>
          <cell r="Y3" t="e">
            <v>#N/A</v>
          </cell>
          <cell r="AA3">
            <v>0</v>
          </cell>
          <cell r="AB3" t="e">
            <v>#N/A</v>
          </cell>
          <cell r="AC3" t="e">
            <v>#N/A</v>
          </cell>
          <cell r="AD3" t="e">
            <v>#N/A</v>
          </cell>
          <cell r="AE3" t="e">
            <v>#N/A</v>
          </cell>
          <cell r="AF3" t="e">
            <v>#N/A</v>
          </cell>
          <cell r="AG3" t="e">
            <v>#N/A</v>
          </cell>
          <cell r="AH3" t="str">
            <v/>
          </cell>
          <cell r="AI3" t="str">
            <v/>
          </cell>
          <cell r="AK3">
            <v>0</v>
          </cell>
          <cell r="AL3" t="str">
            <v/>
          </cell>
          <cell r="AM3" t="str">
            <v/>
          </cell>
          <cell r="AP3">
            <v>1</v>
          </cell>
          <cell r="AQ3">
            <v>1</v>
          </cell>
        </row>
        <row r="4">
          <cell r="A4" t="str">
            <v>AB3B NEW BUILD</v>
          </cell>
          <cell r="B4" t="str">
            <v>AB3B NEW BUILD</v>
          </cell>
          <cell r="C4" t="str">
            <v>Boeing</v>
          </cell>
          <cell r="D4" t="str">
            <v>Boeing</v>
          </cell>
          <cell r="E4" t="str">
            <v>Longbow Limited (LBL)</v>
          </cell>
          <cell r="G4">
            <v>0</v>
          </cell>
          <cell r="H4" t="str">
            <v/>
          </cell>
          <cell r="I4" t="str">
            <v/>
          </cell>
          <cell r="J4" t="str">
            <v/>
          </cell>
          <cell r="K4">
            <v>0</v>
          </cell>
          <cell r="L4">
            <v>2010</v>
          </cell>
          <cell r="M4" t="str">
            <v>PdE</v>
          </cell>
          <cell r="N4">
            <v>-17.5</v>
          </cell>
          <cell r="O4" t="e">
            <v>#NAME?</v>
          </cell>
          <cell r="P4" t="e">
            <v>#NAME?</v>
          </cell>
          <cell r="Q4" t="e">
            <v>#NAME?</v>
          </cell>
          <cell r="R4">
            <v>0</v>
          </cell>
          <cell r="S4" t="e">
            <v>#NAME?</v>
          </cell>
          <cell r="T4" t="e">
            <v>#NAME?</v>
          </cell>
          <cell r="U4" t="e">
            <v>#NAME?</v>
          </cell>
          <cell r="W4">
            <v>0</v>
          </cell>
          <cell r="X4" t="e">
            <v>#N/A</v>
          </cell>
          <cell r="Y4" t="e">
            <v>#N/A</v>
          </cell>
          <cell r="AA4">
            <v>0</v>
          </cell>
          <cell r="AB4" t="e">
            <v>#N/A</v>
          </cell>
          <cell r="AC4" t="e">
            <v>#N/A</v>
          </cell>
          <cell r="AD4" t="e">
            <v>#N/A</v>
          </cell>
          <cell r="AE4" t="e">
            <v>#N/A</v>
          </cell>
          <cell r="AF4" t="e">
            <v>#N/A</v>
          </cell>
          <cell r="AG4" t="e">
            <v>#N/A</v>
          </cell>
          <cell r="AH4" t="str">
            <v/>
          </cell>
          <cell r="AI4" t="str">
            <v/>
          </cell>
          <cell r="AK4">
            <v>0</v>
          </cell>
          <cell r="AL4" t="str">
            <v/>
          </cell>
          <cell r="AM4" t="str">
            <v/>
          </cell>
          <cell r="AP4">
            <v>1</v>
          </cell>
          <cell r="AQ4">
            <v>1</v>
          </cell>
        </row>
        <row r="5">
          <cell r="A5" t="str">
            <v>ACS</v>
          </cell>
          <cell r="B5" t="str">
            <v>ACS</v>
          </cell>
          <cell r="C5" t="str">
            <v>Lockheed Martin</v>
          </cell>
          <cell r="D5" t="str">
            <v>Lockheed Martin</v>
          </cell>
          <cell r="E5" t="str">
            <v/>
          </cell>
          <cell r="G5">
            <v>1</v>
          </cell>
          <cell r="H5" t="str">
            <v/>
          </cell>
          <cell r="I5" t="str">
            <v/>
          </cell>
          <cell r="J5" t="str">
            <v/>
          </cell>
          <cell r="K5" t="str">
            <v>Army</v>
          </cell>
          <cell r="L5">
            <v>2003</v>
          </cell>
          <cell r="M5" t="str">
            <v>DE</v>
          </cell>
          <cell r="N5" t="e">
            <v>#N/A</v>
          </cell>
          <cell r="O5" t="e">
            <v>#N/A</v>
          </cell>
          <cell r="P5" t="e">
            <v>#NAME?</v>
          </cell>
          <cell r="Q5" t="e">
            <v>#N/A</v>
          </cell>
          <cell r="R5">
            <v>0</v>
          </cell>
          <cell r="S5" t="e">
            <v>#NAME?</v>
          </cell>
          <cell r="T5" t="e">
            <v>#NAME?</v>
          </cell>
          <cell r="U5" t="e">
            <v>#NAME?</v>
          </cell>
          <cell r="W5">
            <v>0</v>
          </cell>
          <cell r="X5" t="e">
            <v>#N/A</v>
          </cell>
          <cell r="Y5" t="e">
            <v>#N/A</v>
          </cell>
          <cell r="AA5">
            <v>0</v>
          </cell>
          <cell r="AB5" t="e">
            <v>#N/A</v>
          </cell>
          <cell r="AC5" t="e">
            <v>#N/A</v>
          </cell>
          <cell r="AD5" t="e">
            <v>#N/A</v>
          </cell>
          <cell r="AE5" t="e">
            <v>#N/A</v>
          </cell>
          <cell r="AF5" t="e">
            <v>#N/A</v>
          </cell>
          <cell r="AG5" t="e">
            <v>#N/A</v>
          </cell>
          <cell r="AH5" t="str">
            <v/>
          </cell>
          <cell r="AI5" t="str">
            <v/>
          </cell>
          <cell r="AK5">
            <v>0</v>
          </cell>
          <cell r="AL5" t="str">
            <v/>
          </cell>
          <cell r="AM5" t="str">
            <v/>
          </cell>
          <cell r="AP5">
            <v>1</v>
          </cell>
          <cell r="AQ5">
            <v>0</v>
          </cell>
        </row>
        <row r="6">
          <cell r="A6" t="str">
            <v>ADS Increment Alpha</v>
          </cell>
          <cell r="B6" t="str">
            <v>ADS Increment Alpha</v>
          </cell>
          <cell r="C6">
            <v>0</v>
          </cell>
          <cell r="D6">
            <v>0</v>
          </cell>
          <cell r="E6" t="str">
            <v/>
          </cell>
          <cell r="G6">
            <v>1</v>
          </cell>
          <cell r="H6" t="str">
            <v/>
          </cell>
          <cell r="I6" t="str">
            <v/>
          </cell>
          <cell r="J6" t="str">
            <v/>
          </cell>
          <cell r="K6">
            <v>0</v>
          </cell>
          <cell r="L6">
            <v>2005</v>
          </cell>
          <cell r="M6" t="str">
            <v>DE</v>
          </cell>
          <cell r="N6" t="e">
            <v>#N/A</v>
          </cell>
          <cell r="O6" t="e">
            <v>#N/A</v>
          </cell>
          <cell r="P6" t="e">
            <v>#NAME?</v>
          </cell>
          <cell r="Q6" t="e">
            <v>#N/A</v>
          </cell>
          <cell r="R6">
            <v>0</v>
          </cell>
          <cell r="S6" t="e">
            <v>#NAME?</v>
          </cell>
          <cell r="T6" t="e">
            <v>#NAME?</v>
          </cell>
          <cell r="U6" t="e">
            <v>#NAME?</v>
          </cell>
          <cell r="W6">
            <v>0</v>
          </cell>
          <cell r="X6" t="e">
            <v>#N/A</v>
          </cell>
          <cell r="Y6" t="e">
            <v>#N/A</v>
          </cell>
          <cell r="AA6">
            <v>0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  <cell r="AH6" t="str">
            <v/>
          </cell>
          <cell r="AI6" t="str">
            <v/>
          </cell>
          <cell r="AK6">
            <v>0</v>
          </cell>
          <cell r="AL6" t="str">
            <v/>
          </cell>
          <cell r="AM6" t="str">
            <v/>
          </cell>
          <cell r="AP6">
            <v>1</v>
          </cell>
          <cell r="AQ6">
            <v>0</v>
          </cell>
        </row>
        <row r="7">
          <cell r="A7" t="str">
            <v>AEHF</v>
          </cell>
          <cell r="B7" t="str">
            <v>AEHF</v>
          </cell>
          <cell r="C7" t="str">
            <v>Lockheed Martin / TRW Systems (Northrop Grumman)</v>
          </cell>
          <cell r="D7" t="str">
            <v>Lockheed Martin / TRW Systems (Northrop Grumman)</v>
          </cell>
          <cell r="E7" t="str">
            <v xml:space="preserve">Boeing </v>
          </cell>
          <cell r="G7">
            <v>0</v>
          </cell>
          <cell r="H7" t="str">
            <v>Northrop Grumman, SAIC, Raytheon</v>
          </cell>
          <cell r="I7" t="str">
            <v/>
          </cell>
          <cell r="J7" t="str">
            <v/>
          </cell>
          <cell r="K7" t="str">
            <v>Air Force</v>
          </cell>
          <cell r="L7">
            <v>2002</v>
          </cell>
          <cell r="M7" t="str">
            <v>PdE</v>
          </cell>
          <cell r="N7">
            <v>39.6</v>
          </cell>
          <cell r="O7">
            <v>1657.7000000000007</v>
          </cell>
          <cell r="P7" t="e">
            <v>#NAME?</v>
          </cell>
          <cell r="Q7">
            <v>41.861111111111128</v>
          </cell>
          <cell r="R7">
            <v>0</v>
          </cell>
          <cell r="S7" t="e">
            <v>#NAME?</v>
          </cell>
          <cell r="T7" t="e">
            <v>#NAME?</v>
          </cell>
          <cell r="U7" t="e">
            <v>#NAME?</v>
          </cell>
          <cell r="W7">
            <v>0</v>
          </cell>
          <cell r="X7">
            <v>8.6333333333333329</v>
          </cell>
          <cell r="Y7">
            <v>863.33333333333326</v>
          </cell>
          <cell r="AA7">
            <v>0</v>
          </cell>
          <cell r="AB7" t="e">
            <v>#REF!</v>
          </cell>
          <cell r="AC7">
            <v>3</v>
          </cell>
          <cell r="AD7">
            <v>5066</v>
          </cell>
          <cell r="AE7">
            <v>5.921831819976313E-4</v>
          </cell>
          <cell r="AF7">
            <v>28.9</v>
          </cell>
          <cell r="AG7" t="e">
            <v>#REF!</v>
          </cell>
          <cell r="AH7" t="str">
            <v/>
          </cell>
          <cell r="AI7" t="str">
            <v/>
          </cell>
          <cell r="AK7">
            <v>0</v>
          </cell>
          <cell r="AL7" t="str">
            <v/>
          </cell>
          <cell r="AM7" t="str">
            <v/>
          </cell>
          <cell r="AP7">
            <v>1</v>
          </cell>
          <cell r="AQ7">
            <v>1</v>
          </cell>
        </row>
        <row r="8">
          <cell r="A8" t="str">
            <v>AESA</v>
          </cell>
          <cell r="B8" t="str">
            <v>AESA</v>
          </cell>
          <cell r="C8" t="str">
            <v xml:space="preserve">Northrop Grumman </v>
          </cell>
          <cell r="D8" t="str">
            <v xml:space="preserve">Northrop Grumman </v>
          </cell>
          <cell r="E8" t="str">
            <v>Raytheon</v>
          </cell>
          <cell r="G8">
            <v>0</v>
          </cell>
          <cell r="H8" t="str">
            <v/>
          </cell>
          <cell r="I8" t="str">
            <v/>
          </cell>
          <cell r="J8" t="str">
            <v/>
          </cell>
          <cell r="K8">
            <v>0</v>
          </cell>
          <cell r="L8">
            <v>2000</v>
          </cell>
          <cell r="M8" t="str">
            <v>PE</v>
          </cell>
          <cell r="N8" t="e">
            <v>#N/A</v>
          </cell>
          <cell r="O8" t="e">
            <v>#N/A</v>
          </cell>
          <cell r="P8" t="e">
            <v>#NAME?</v>
          </cell>
          <cell r="Q8" t="e">
            <v>#N/A</v>
          </cell>
          <cell r="R8">
            <v>0</v>
          </cell>
          <cell r="S8" t="e">
            <v>#NAME?</v>
          </cell>
          <cell r="T8" t="e">
            <v>#NAME?</v>
          </cell>
          <cell r="U8" t="e">
            <v>#NAME?</v>
          </cell>
          <cell r="W8">
            <v>0</v>
          </cell>
          <cell r="X8" t="e">
            <v>#N/A</v>
          </cell>
          <cell r="Y8" t="e">
            <v>#N/A</v>
          </cell>
          <cell r="AA8">
            <v>0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  <cell r="AH8" t="str">
            <v/>
          </cell>
          <cell r="AI8" t="str">
            <v/>
          </cell>
          <cell r="AK8">
            <v>0</v>
          </cell>
          <cell r="AL8" t="str">
            <v/>
          </cell>
          <cell r="AM8" t="str">
            <v/>
          </cell>
          <cell r="AP8">
            <v>1</v>
          </cell>
          <cell r="AQ8">
            <v>1</v>
          </cell>
        </row>
        <row r="9">
          <cell r="A9" t="str">
            <v>AGM-88E</v>
          </cell>
          <cell r="B9" t="str">
            <v>AGM-88E</v>
          </cell>
          <cell r="C9" t="str">
            <v>Alliant Tech Systems (ATK) Missile Systems  (Raytheon makes AGM-88 HARM)</v>
          </cell>
          <cell r="D9" t="str">
            <v>Alliant Tech Systems (ATK) Missile Systems  (Raytheon makes AGM-88 HARM)</v>
          </cell>
          <cell r="E9" t="str">
            <v/>
          </cell>
          <cell r="G9">
            <v>1</v>
          </cell>
          <cell r="H9" t="str">
            <v/>
          </cell>
          <cell r="I9" t="str">
            <v/>
          </cell>
          <cell r="J9" t="str">
            <v/>
          </cell>
          <cell r="K9" t="str">
            <v>Navy</v>
          </cell>
          <cell r="L9">
            <v>2003</v>
          </cell>
          <cell r="M9" t="str">
            <v>PdE</v>
          </cell>
          <cell r="N9">
            <v>7.8</v>
          </cell>
          <cell r="O9" t="e">
            <v>#NAME?</v>
          </cell>
          <cell r="P9" t="e">
            <v>#NAME?</v>
          </cell>
          <cell r="Q9" t="e">
            <v>#NAME?</v>
          </cell>
          <cell r="R9">
            <v>0</v>
          </cell>
          <cell r="S9" t="e">
            <v>#NAME?</v>
          </cell>
          <cell r="T9" t="e">
            <v>#NAME?</v>
          </cell>
          <cell r="U9" t="e">
            <v>#NAME?</v>
          </cell>
          <cell r="W9">
            <v>0</v>
          </cell>
          <cell r="X9">
            <v>-0.99</v>
          </cell>
          <cell r="Y9">
            <v>-99</v>
          </cell>
          <cell r="AA9">
            <v>0</v>
          </cell>
          <cell r="AB9" t="e">
            <v>#REF!</v>
          </cell>
          <cell r="AC9">
            <v>1790</v>
          </cell>
          <cell r="AD9">
            <v>210.3</v>
          </cell>
          <cell r="AE9">
            <v>8.5116500237755588</v>
          </cell>
          <cell r="AF9">
            <v>17.899999999999999</v>
          </cell>
          <cell r="AG9" t="e">
            <v>#REF!</v>
          </cell>
          <cell r="AH9" t="str">
            <v/>
          </cell>
          <cell r="AI9" t="str">
            <v/>
          </cell>
          <cell r="AK9">
            <v>0</v>
          </cell>
          <cell r="AL9" t="str">
            <v/>
          </cell>
          <cell r="AM9" t="str">
            <v/>
          </cell>
          <cell r="AP9">
            <v>1</v>
          </cell>
          <cell r="AQ9">
            <v>0</v>
          </cell>
        </row>
        <row r="10">
          <cell r="A10" t="str">
            <v>AIM-9X</v>
          </cell>
          <cell r="B10" t="str">
            <v>AIM-9X</v>
          </cell>
          <cell r="C10" t="str">
            <v>Raytheon</v>
          </cell>
          <cell r="D10" t="str">
            <v>Raytheon</v>
          </cell>
          <cell r="E10" t="str">
            <v/>
          </cell>
          <cell r="G10">
            <v>1</v>
          </cell>
          <cell r="H10" t="str">
            <v>ATK</v>
          </cell>
          <cell r="I10" t="str">
            <v/>
          </cell>
          <cell r="J10" t="str">
            <v/>
          </cell>
          <cell r="K10" t="str">
            <v>Navy</v>
          </cell>
          <cell r="L10">
            <v>1997</v>
          </cell>
          <cell r="M10" t="str">
            <v>PdE</v>
          </cell>
          <cell r="N10" t="e">
            <v>#N/A</v>
          </cell>
          <cell r="O10">
            <v>16385.800000000003</v>
          </cell>
          <cell r="P10" t="e">
            <v>#NAME?</v>
          </cell>
          <cell r="Q10" t="e">
            <v>#N/A</v>
          </cell>
          <cell r="R10">
            <v>0</v>
          </cell>
          <cell r="S10" t="e">
            <v>#NAME?</v>
          </cell>
          <cell r="T10" t="e">
            <v>#NAME?</v>
          </cell>
          <cell r="U10" t="e">
            <v>#NAME?</v>
          </cell>
          <cell r="W10">
            <v>0</v>
          </cell>
          <cell r="X10">
            <v>-0.99873619265598557</v>
          </cell>
          <cell r="Y10">
            <v>-99.873619265598563</v>
          </cell>
          <cell r="AA10">
            <v>0</v>
          </cell>
          <cell r="AB10" t="e">
            <v>#REF!</v>
          </cell>
          <cell r="AC10">
            <v>10049</v>
          </cell>
          <cell r="AD10">
            <v>392.2</v>
          </cell>
          <cell r="AE10">
            <v>25.622131565527791</v>
          </cell>
          <cell r="AF10">
            <v>12.7</v>
          </cell>
          <cell r="AG10" t="e">
            <v>#REF!</v>
          </cell>
          <cell r="AH10" t="str">
            <v/>
          </cell>
          <cell r="AI10" t="str">
            <v/>
          </cell>
          <cell r="AK10">
            <v>0</v>
          </cell>
          <cell r="AL10" t="str">
            <v/>
          </cell>
          <cell r="AM10" t="str">
            <v/>
          </cell>
          <cell r="AP10">
            <v>1</v>
          </cell>
          <cell r="AQ10">
            <v>0</v>
          </cell>
        </row>
        <row r="11">
          <cell r="A11" t="str">
            <v>AIM-9X Block I</v>
          </cell>
          <cell r="B11" t="str">
            <v>AIM-9X Block I</v>
          </cell>
          <cell r="C11">
            <v>0</v>
          </cell>
          <cell r="D11">
            <v>0</v>
          </cell>
          <cell r="E11" t="str">
            <v/>
          </cell>
          <cell r="G11">
            <v>1</v>
          </cell>
          <cell r="H11" t="str">
            <v/>
          </cell>
          <cell r="I11" t="str">
            <v/>
          </cell>
          <cell r="J11" t="str">
            <v/>
          </cell>
          <cell r="K11">
            <v>0</v>
          </cell>
          <cell r="L11">
            <v>1997</v>
          </cell>
          <cell r="M11" t="str">
            <v>PdE</v>
          </cell>
          <cell r="N11">
            <v>-11.7</v>
          </cell>
          <cell r="O11">
            <v>4081.6999999999989</v>
          </cell>
          <cell r="P11" t="e">
            <v>#NAME?</v>
          </cell>
          <cell r="Q11">
            <v>-348.86324786324781</v>
          </cell>
          <cell r="R11">
            <v>0</v>
          </cell>
          <cell r="S11" t="e">
            <v>#NAME?</v>
          </cell>
          <cell r="T11" t="e">
            <v>#NAME?</v>
          </cell>
          <cell r="U11" t="e">
            <v>#NAME?</v>
          </cell>
          <cell r="W11">
            <v>0</v>
          </cell>
          <cell r="X11" t="e">
            <v>#N/A</v>
          </cell>
          <cell r="Y11" t="e">
            <v>#N/A</v>
          </cell>
          <cell r="AA11">
            <v>0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  <cell r="AH11" t="str">
            <v/>
          </cell>
          <cell r="AI11" t="str">
            <v/>
          </cell>
          <cell r="AK11">
            <v>0</v>
          </cell>
          <cell r="AL11" t="str">
            <v/>
          </cell>
          <cell r="AM11" t="str">
            <v/>
          </cell>
          <cell r="AP11">
            <v>1</v>
          </cell>
          <cell r="AQ11">
            <v>0</v>
          </cell>
        </row>
        <row r="12">
          <cell r="A12" t="str">
            <v>AMF JTRS</v>
          </cell>
          <cell r="B12" t="str">
            <v>AMF JTRS</v>
          </cell>
          <cell r="C12" t="str">
            <v>Lockheed Martin</v>
          </cell>
          <cell r="D12" t="str">
            <v>Lockheed Martin</v>
          </cell>
          <cell r="E12" t="str">
            <v/>
          </cell>
          <cell r="G12">
            <v>1</v>
          </cell>
          <cell r="H12" t="str">
            <v>BAE,  General Dynamics, Northrop Grumman, Raytheon, Booz Allen Hamilton, Rockwell Collins</v>
          </cell>
          <cell r="I12" t="str">
            <v/>
          </cell>
          <cell r="J12" t="str">
            <v>http://www.defenselink.mil/contracts/contract.aspx?contractid=2842, GAO report</v>
          </cell>
          <cell r="K12" t="str">
            <v>DoD-wide</v>
          </cell>
          <cell r="L12">
            <v>2008</v>
          </cell>
          <cell r="M12" t="str">
            <v>DE</v>
          </cell>
          <cell r="N12">
            <v>-18.3</v>
          </cell>
          <cell r="O12" t="e">
            <v>#NAME?</v>
          </cell>
          <cell r="P12" t="e">
            <v>#NAME?</v>
          </cell>
          <cell r="Q12" t="e">
            <v>#NAME?</v>
          </cell>
          <cell r="R12">
            <v>0</v>
          </cell>
          <cell r="S12" t="e">
            <v>#NAME?</v>
          </cell>
          <cell r="T12" t="e">
            <v>#NAME?</v>
          </cell>
          <cell r="U12" t="e">
            <v>#NAME?</v>
          </cell>
          <cell r="W12">
            <v>0</v>
          </cell>
          <cell r="X12" t="e">
            <v>#N/A</v>
          </cell>
          <cell r="Y12" t="e">
            <v>#N/A</v>
          </cell>
          <cell r="AA12">
            <v>0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  <cell r="AH12" t="str">
            <v/>
          </cell>
          <cell r="AI12" t="str">
            <v/>
          </cell>
          <cell r="AK12">
            <v>0</v>
          </cell>
          <cell r="AL12" t="str">
            <v/>
          </cell>
          <cell r="AM12" t="str">
            <v/>
          </cell>
          <cell r="AP12">
            <v>1</v>
          </cell>
          <cell r="AQ12">
            <v>0</v>
          </cell>
        </row>
        <row r="13">
          <cell r="A13" t="str">
            <v>AMRAAM</v>
          </cell>
          <cell r="B13" t="str">
            <v>AMRAAM</v>
          </cell>
          <cell r="C13" t="str">
            <v>Raytheon</v>
          </cell>
          <cell r="D13" t="str">
            <v>Raytheon</v>
          </cell>
          <cell r="E13" t="str">
            <v/>
          </cell>
          <cell r="G13">
            <v>1</v>
          </cell>
          <cell r="H13" t="str">
            <v>Boeing, L-3</v>
          </cell>
          <cell r="I13" t="str">
            <v/>
          </cell>
          <cell r="J13" t="str">
            <v/>
          </cell>
          <cell r="K13" t="str">
            <v>Air Force</v>
          </cell>
          <cell r="L13">
            <v>1992</v>
          </cell>
          <cell r="M13" t="str">
            <v>PdE</v>
          </cell>
          <cell r="N13">
            <v>46.1</v>
          </cell>
          <cell r="O13">
            <v>44452.1</v>
          </cell>
          <cell r="P13" t="e">
            <v>#NAME?</v>
          </cell>
          <cell r="Q13">
            <v>964.25379609544461</v>
          </cell>
          <cell r="R13">
            <v>0</v>
          </cell>
          <cell r="S13" t="e">
            <v>#NAME?</v>
          </cell>
          <cell r="T13" t="e">
            <v>#NAME?</v>
          </cell>
          <cell r="U13" t="e">
            <v>#NAME?</v>
          </cell>
          <cell r="W13">
            <v>0</v>
          </cell>
          <cell r="X13">
            <v>-0.99732686084142397</v>
          </cell>
          <cell r="Y13">
            <v>-99.732686084142401</v>
          </cell>
          <cell r="AA13">
            <v>0</v>
          </cell>
          <cell r="AB13" t="e">
            <v>#REF!</v>
          </cell>
          <cell r="AC13">
            <v>15450</v>
          </cell>
          <cell r="AD13">
            <v>4931.3999999999996</v>
          </cell>
          <cell r="AE13">
            <v>3.1329845479985403</v>
          </cell>
          <cell r="AF13">
            <v>41.3</v>
          </cell>
          <cell r="AG13" t="e">
            <v>#REF!</v>
          </cell>
          <cell r="AH13" t="str">
            <v/>
          </cell>
          <cell r="AI13" t="str">
            <v/>
          </cell>
          <cell r="AK13">
            <v>0</v>
          </cell>
          <cell r="AL13" t="str">
            <v/>
          </cell>
          <cell r="AM13" t="str">
            <v/>
          </cell>
          <cell r="AP13">
            <v>1</v>
          </cell>
          <cell r="AQ13">
            <v>0</v>
          </cell>
        </row>
        <row r="14">
          <cell r="A14" t="str">
            <v>ARH</v>
          </cell>
          <cell r="B14" t="str">
            <v>ARH</v>
          </cell>
          <cell r="C14" t="str">
            <v>Bell Helicopter (Textron)</v>
          </cell>
          <cell r="D14" t="str">
            <v>Bell Helicopter (Textron)</v>
          </cell>
          <cell r="E14" t="str">
            <v/>
          </cell>
          <cell r="G14">
            <v>1</v>
          </cell>
          <cell r="H14" t="str">
            <v>Rockwell Collins</v>
          </cell>
          <cell r="I14" t="str">
            <v/>
          </cell>
          <cell r="J14" t="str">
            <v xml:space="preserve">http://www.defensenews.com/story.php?i=3775612&amp;c=AME&amp;s=AIR </v>
          </cell>
          <cell r="K14" t="str">
            <v>Army</v>
          </cell>
          <cell r="L14">
            <v>2005</v>
          </cell>
          <cell r="M14" t="str">
            <v>DE</v>
          </cell>
          <cell r="N14" t="e">
            <v>#N/A</v>
          </cell>
          <cell r="O14" t="e">
            <v>#N/A</v>
          </cell>
          <cell r="P14" t="e">
            <v>#NAME?</v>
          </cell>
          <cell r="Q14" t="e">
            <v>#N/A</v>
          </cell>
          <cell r="R14">
            <v>0</v>
          </cell>
          <cell r="S14" t="e">
            <v>#NAME?</v>
          </cell>
          <cell r="T14" t="e">
            <v>#NAME?</v>
          </cell>
          <cell r="U14" t="e">
            <v>#NAME?</v>
          </cell>
          <cell r="W14">
            <v>0</v>
          </cell>
          <cell r="X14" t="e">
            <v>#N/A</v>
          </cell>
          <cell r="Y14" t="e">
            <v>#N/A</v>
          </cell>
          <cell r="AA14">
            <v>0</v>
          </cell>
          <cell r="AB14" t="e">
            <v>#N/A</v>
          </cell>
          <cell r="AC14" t="e">
            <v>#N/A</v>
          </cell>
          <cell r="AD14" t="e">
            <v>#N/A</v>
          </cell>
          <cell r="AE14" t="e">
            <v>#N/A</v>
          </cell>
          <cell r="AF14" t="e">
            <v>#N/A</v>
          </cell>
          <cell r="AG14" t="e">
            <v>#N/A</v>
          </cell>
          <cell r="AH14" t="str">
            <v/>
          </cell>
          <cell r="AI14" t="str">
            <v/>
          </cell>
          <cell r="AK14">
            <v>0</v>
          </cell>
          <cell r="AL14" t="str">
            <v/>
          </cell>
          <cell r="AM14" t="str">
            <v/>
          </cell>
          <cell r="AP14">
            <v>1</v>
          </cell>
          <cell r="AQ14">
            <v>0</v>
          </cell>
        </row>
        <row r="15">
          <cell r="A15" t="str">
            <v>ASDS</v>
          </cell>
          <cell r="B15" t="str">
            <v>ASDS</v>
          </cell>
          <cell r="C15" t="str">
            <v>Northrop Grumman</v>
          </cell>
          <cell r="D15" t="str">
            <v>Northrop Grumman</v>
          </cell>
          <cell r="E15" t="str">
            <v/>
          </cell>
          <cell r="G15">
            <v>1</v>
          </cell>
          <cell r="H15" t="str">
            <v/>
          </cell>
          <cell r="I15" t="str">
            <v/>
          </cell>
          <cell r="J15" t="str">
            <v/>
          </cell>
          <cell r="K15" t="str">
            <v>Army</v>
          </cell>
          <cell r="L15">
            <v>2003</v>
          </cell>
          <cell r="M15" t="str">
            <v>DE</v>
          </cell>
          <cell r="N15" t="e">
            <v>#N/A</v>
          </cell>
          <cell r="O15" t="e">
            <v>#N/A</v>
          </cell>
          <cell r="P15" t="e">
            <v>#NAME?</v>
          </cell>
          <cell r="Q15" t="e">
            <v>#N/A</v>
          </cell>
          <cell r="R15">
            <v>0</v>
          </cell>
          <cell r="S15" t="e">
            <v>#NAME?</v>
          </cell>
          <cell r="T15" t="e">
            <v>#NAME?</v>
          </cell>
          <cell r="U15" t="e">
            <v>#NAME?</v>
          </cell>
          <cell r="W15">
            <v>0</v>
          </cell>
          <cell r="X15" t="e">
            <v>#N/A</v>
          </cell>
          <cell r="Y15" t="e">
            <v>#N/A</v>
          </cell>
          <cell r="AA15">
            <v>0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  <cell r="AH15" t="str">
            <v/>
          </cell>
          <cell r="AI15" t="str">
            <v/>
          </cell>
          <cell r="AK15">
            <v>0</v>
          </cell>
          <cell r="AL15" t="str">
            <v/>
          </cell>
          <cell r="AM15" t="str">
            <v/>
          </cell>
          <cell r="AP15">
            <v>1</v>
          </cell>
          <cell r="AQ15">
            <v>0</v>
          </cell>
        </row>
        <row r="16">
          <cell r="A16" t="str">
            <v>ASIP</v>
          </cell>
          <cell r="B16" t="str">
            <v>ASIP</v>
          </cell>
          <cell r="C16" t="str">
            <v xml:space="preserve">Northrop Grumman, Lockheed, L-3 Communications, Raytheon </v>
          </cell>
          <cell r="D16" t="str">
            <v xml:space="preserve">Northrop Grumman, Lockheed, L-3 Communications, Raytheon </v>
          </cell>
          <cell r="E16" t="str">
            <v/>
          </cell>
          <cell r="G16">
            <v>1</v>
          </cell>
          <cell r="H16" t="str">
            <v/>
          </cell>
          <cell r="I16" t="str">
            <v>Lockheed Martin, L-3, Raytheon</v>
          </cell>
          <cell r="J16" t="str">
            <v>http://www.irconnect.com/noc/press/pages/news_releases.html?d=111244</v>
          </cell>
          <cell r="K16" t="str">
            <v>Air Force</v>
          </cell>
          <cell r="L16">
            <v>2010</v>
          </cell>
          <cell r="M16" t="str">
            <v>DE</v>
          </cell>
          <cell r="N16" t="e">
            <v>#N/A</v>
          </cell>
          <cell r="O16" t="e">
            <v>#N/A</v>
          </cell>
          <cell r="P16" t="e">
            <v>#NAME?</v>
          </cell>
          <cell r="Q16" t="e">
            <v>#N/A</v>
          </cell>
          <cell r="R16">
            <v>0</v>
          </cell>
          <cell r="S16" t="e">
            <v>#NAME?</v>
          </cell>
          <cell r="T16" t="e">
            <v>#NAME?</v>
          </cell>
          <cell r="U16" t="e">
            <v>#NAME?</v>
          </cell>
          <cell r="W16">
            <v>0</v>
          </cell>
          <cell r="X16" t="e">
            <v>#N/A</v>
          </cell>
          <cell r="Y16" t="e">
            <v>#N/A</v>
          </cell>
          <cell r="AA16">
            <v>0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  <cell r="AH16" t="str">
            <v/>
          </cell>
          <cell r="AI16" t="str">
            <v/>
          </cell>
          <cell r="AK16">
            <v>0</v>
          </cell>
          <cell r="AL16" t="str">
            <v/>
          </cell>
          <cell r="AM16" t="str">
            <v/>
          </cell>
          <cell r="AP16">
            <v>1</v>
          </cell>
          <cell r="AQ16">
            <v>0</v>
          </cell>
        </row>
        <row r="17">
          <cell r="A17" t="str">
            <v>ATACMS-BAT</v>
          </cell>
          <cell r="B17" t="str">
            <v>ATACMS-BAT</v>
          </cell>
          <cell r="C17">
            <v>0</v>
          </cell>
          <cell r="D17">
            <v>0</v>
          </cell>
          <cell r="E17" t="str">
            <v/>
          </cell>
          <cell r="G17">
            <v>1</v>
          </cell>
          <cell r="H17" t="str">
            <v/>
          </cell>
          <cell r="I17" t="str">
            <v/>
          </cell>
          <cell r="J17" t="str">
            <v/>
          </cell>
          <cell r="K17">
            <v>0</v>
          </cell>
          <cell r="L17">
            <v>1991</v>
          </cell>
          <cell r="M17" t="str">
            <v>DE</v>
          </cell>
          <cell r="N17" t="e">
            <v>#N/A</v>
          </cell>
          <cell r="O17" t="e">
            <v>#N/A</v>
          </cell>
          <cell r="P17" t="e">
            <v>#NAME?</v>
          </cell>
          <cell r="Q17" t="e">
            <v>#N/A</v>
          </cell>
          <cell r="R17">
            <v>0</v>
          </cell>
          <cell r="S17" t="e">
            <v>#NAME?</v>
          </cell>
          <cell r="T17" t="e">
            <v>#NAME?</v>
          </cell>
          <cell r="U17" t="e">
            <v>#NAME?</v>
          </cell>
          <cell r="W17">
            <v>0</v>
          </cell>
          <cell r="X17" t="e">
            <v>#N/A</v>
          </cell>
          <cell r="Y17" t="e">
            <v>#N/A</v>
          </cell>
          <cell r="AA17">
            <v>0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  <cell r="AH17" t="str">
            <v/>
          </cell>
          <cell r="AI17" t="str">
            <v/>
          </cell>
          <cell r="AK17">
            <v>0</v>
          </cell>
          <cell r="AL17" t="str">
            <v/>
          </cell>
          <cell r="AM17" t="str">
            <v/>
          </cell>
          <cell r="AP17">
            <v>1</v>
          </cell>
          <cell r="AQ17">
            <v>0</v>
          </cell>
        </row>
        <row r="18">
          <cell r="A18" t="str">
            <v>ATIRCM/CMWS</v>
          </cell>
          <cell r="B18" t="str">
            <v>ATIRCM/CMWS</v>
          </cell>
          <cell r="C18" t="str">
            <v xml:space="preserve">BAE Systems (North America) </v>
          </cell>
          <cell r="D18" t="str">
            <v xml:space="preserve">BAE Systems (North America) </v>
          </cell>
          <cell r="E18" t="str">
            <v/>
          </cell>
          <cell r="G18">
            <v>1</v>
          </cell>
          <cell r="H18" t="str">
            <v>Lockheed Martin, Northrop Grumman, BAE, Boeing</v>
          </cell>
          <cell r="I18" t="str">
            <v/>
          </cell>
          <cell r="J18" t="str">
            <v/>
          </cell>
          <cell r="K18" t="str">
            <v>Army</v>
          </cell>
          <cell r="L18">
            <v>2003</v>
          </cell>
          <cell r="M18" t="str">
            <v>PdE</v>
          </cell>
          <cell r="N18" t="e">
            <v>#N/A</v>
          </cell>
          <cell r="O18" t="e">
            <v>#N/A</v>
          </cell>
          <cell r="P18" t="e">
            <v>#NAME?</v>
          </cell>
          <cell r="Q18" t="e">
            <v>#N/A</v>
          </cell>
          <cell r="R18">
            <v>0</v>
          </cell>
          <cell r="S18" t="e">
            <v>#NAME?</v>
          </cell>
          <cell r="T18" t="e">
            <v>#NAME?</v>
          </cell>
          <cell r="U18" t="e">
            <v>#NAME?</v>
          </cell>
          <cell r="W18">
            <v>0</v>
          </cell>
          <cell r="X18" t="e">
            <v>#N/A</v>
          </cell>
          <cell r="Y18" t="e">
            <v>#N/A</v>
          </cell>
          <cell r="AA18">
            <v>0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  <cell r="AH18" t="str">
            <v/>
          </cell>
          <cell r="AI18" t="str">
            <v/>
          </cell>
          <cell r="AK18">
            <v>0</v>
          </cell>
          <cell r="AL18" t="str">
            <v/>
          </cell>
          <cell r="AM18" t="str">
            <v/>
          </cell>
          <cell r="AP18">
            <v>1</v>
          </cell>
          <cell r="AQ18">
            <v>0</v>
          </cell>
        </row>
        <row r="19">
          <cell r="A19" t="str">
            <v>ATIRCM/CMWS SPLIT</v>
          </cell>
          <cell r="B19" t="str">
            <v>ATIRCM/CMWS SPLIT</v>
          </cell>
          <cell r="C19">
            <v>0</v>
          </cell>
          <cell r="D19">
            <v>0</v>
          </cell>
          <cell r="E19" t="str">
            <v/>
          </cell>
          <cell r="G19">
            <v>1</v>
          </cell>
          <cell r="H19" t="str">
            <v/>
          </cell>
          <cell r="I19" t="str">
            <v/>
          </cell>
          <cell r="J19" t="str">
            <v/>
          </cell>
          <cell r="K19">
            <v>0</v>
          </cell>
          <cell r="L19">
            <v>2003</v>
          </cell>
          <cell r="M19" t="str">
            <v>PdE/DE</v>
          </cell>
          <cell r="N19" t="e">
            <v>#N/A</v>
          </cell>
          <cell r="O19">
            <v>1202.3000000000029</v>
          </cell>
          <cell r="P19" t="e">
            <v>#NAME?</v>
          </cell>
          <cell r="Q19" t="e">
            <v>#N/A</v>
          </cell>
          <cell r="R19">
            <v>0</v>
          </cell>
          <cell r="S19" t="e">
            <v>#NAME?</v>
          </cell>
          <cell r="T19" t="e">
            <v>#NAME?</v>
          </cell>
          <cell r="U19" t="e">
            <v>#NAME?</v>
          </cell>
          <cell r="W19">
            <v>0</v>
          </cell>
          <cell r="X19" t="e">
            <v>#DIV/0!</v>
          </cell>
          <cell r="Y19" t="e">
            <v>#DIV/0!</v>
          </cell>
          <cell r="AA19">
            <v>0</v>
          </cell>
          <cell r="AB19" t="e">
            <v>#REF!</v>
          </cell>
          <cell r="AC19">
            <v>0</v>
          </cell>
          <cell r="AD19">
            <v>28.9</v>
          </cell>
          <cell r="AE19">
            <v>0</v>
          </cell>
          <cell r="AF19">
            <v>-68</v>
          </cell>
          <cell r="AG19" t="e">
            <v>#REF!</v>
          </cell>
          <cell r="AH19" t="str">
            <v/>
          </cell>
          <cell r="AI19" t="str">
            <v/>
          </cell>
          <cell r="AK19">
            <v>0</v>
          </cell>
          <cell r="AL19" t="str">
            <v/>
          </cell>
          <cell r="AM19" t="str">
            <v/>
          </cell>
          <cell r="AP19">
            <v>1</v>
          </cell>
          <cell r="AQ19">
            <v>0</v>
          </cell>
        </row>
        <row r="20">
          <cell r="A20" t="str">
            <v>ATIRCM/CMWS SPLIT</v>
          </cell>
          <cell r="B20" t="str">
            <v>ATIRCM/CMWS SPLIT</v>
          </cell>
          <cell r="C20">
            <v>0</v>
          </cell>
          <cell r="D20">
            <v>0</v>
          </cell>
          <cell r="E20" t="str">
            <v/>
          </cell>
          <cell r="G20">
            <v>1</v>
          </cell>
          <cell r="H20" t="str">
            <v/>
          </cell>
          <cell r="I20" t="str">
            <v/>
          </cell>
          <cell r="J20" t="str">
            <v/>
          </cell>
          <cell r="K20">
            <v>0</v>
          </cell>
          <cell r="L20">
            <v>2003</v>
          </cell>
          <cell r="M20" t="str">
            <v>PdE/DE</v>
          </cell>
          <cell r="N20" t="e">
            <v>#N/A</v>
          </cell>
          <cell r="O20" t="e">
            <v>#N/A</v>
          </cell>
          <cell r="P20" t="e">
            <v>#NAME?</v>
          </cell>
          <cell r="Q20" t="e">
            <v>#N/A</v>
          </cell>
          <cell r="R20">
            <v>0</v>
          </cell>
          <cell r="S20" t="e">
            <v>#NAME?</v>
          </cell>
          <cell r="T20" t="e">
            <v>#NAME?</v>
          </cell>
          <cell r="U20" t="e">
            <v>#NAME?</v>
          </cell>
          <cell r="W20">
            <v>0</v>
          </cell>
          <cell r="X20" t="e">
            <v>#DIV/0!</v>
          </cell>
          <cell r="Y20" t="e">
            <v>#DIV/0!</v>
          </cell>
          <cell r="AA20">
            <v>0</v>
          </cell>
          <cell r="AB20" t="e">
            <v>#REF!</v>
          </cell>
          <cell r="AC20">
            <v>0</v>
          </cell>
          <cell r="AD20">
            <v>28.9</v>
          </cell>
          <cell r="AE20">
            <v>0</v>
          </cell>
          <cell r="AF20">
            <v>-68</v>
          </cell>
          <cell r="AG20" t="e">
            <v>#REF!</v>
          </cell>
          <cell r="AH20" t="str">
            <v/>
          </cell>
          <cell r="AI20" t="str">
            <v/>
          </cell>
          <cell r="AK20">
            <v>0</v>
          </cell>
          <cell r="AL20" t="str">
            <v/>
          </cell>
          <cell r="AM20" t="str">
            <v/>
          </cell>
          <cell r="AP20">
            <v>1</v>
          </cell>
          <cell r="AQ20">
            <v>0</v>
          </cell>
        </row>
        <row r="21">
          <cell r="A21" t="str">
            <v>AV-8B REMANUFACTURE</v>
          </cell>
          <cell r="B21" t="str">
            <v>AV-8B REMANUFACTURE</v>
          </cell>
          <cell r="C21">
            <v>0</v>
          </cell>
          <cell r="D21">
            <v>0</v>
          </cell>
          <cell r="E21" t="str">
            <v/>
          </cell>
          <cell r="G21">
            <v>1</v>
          </cell>
          <cell r="H21" t="str">
            <v/>
          </cell>
          <cell r="I21" t="str">
            <v/>
          </cell>
          <cell r="J21" t="str">
            <v/>
          </cell>
          <cell r="K21">
            <v>0</v>
          </cell>
          <cell r="L21">
            <v>1994</v>
          </cell>
          <cell r="M21" t="str">
            <v>PdE</v>
          </cell>
          <cell r="N21" t="e">
            <v>#N/A</v>
          </cell>
          <cell r="O21" t="e">
            <v>#N/A</v>
          </cell>
          <cell r="P21" t="e">
            <v>#NAME?</v>
          </cell>
          <cell r="Q21" t="e">
            <v>#N/A</v>
          </cell>
          <cell r="R21">
            <v>0</v>
          </cell>
          <cell r="S21" t="e">
            <v>#NAME?</v>
          </cell>
          <cell r="T21" t="e">
            <v>#NAME?</v>
          </cell>
          <cell r="U21" t="e">
            <v>#NAME?</v>
          </cell>
          <cell r="W21">
            <v>0</v>
          </cell>
          <cell r="X21" t="e">
            <v>#N/A</v>
          </cell>
          <cell r="Y21" t="e">
            <v>#N/A</v>
          </cell>
          <cell r="AA21">
            <v>0</v>
          </cell>
          <cell r="AC21" t="e">
            <v>#N/A</v>
          </cell>
          <cell r="AD21" t="e">
            <v>#N/A</v>
          </cell>
          <cell r="AF21" t="e">
            <v>#N/A</v>
          </cell>
          <cell r="AG21" t="e">
            <v>#N/A</v>
          </cell>
          <cell r="AH21" t="str">
            <v/>
          </cell>
          <cell r="AI21" t="str">
            <v/>
          </cell>
          <cell r="AK21">
            <v>0</v>
          </cell>
          <cell r="AL21" t="str">
            <v/>
          </cell>
          <cell r="AM21" t="str">
            <v/>
          </cell>
          <cell r="AP21">
            <v>1</v>
          </cell>
          <cell r="AQ21">
            <v>0</v>
          </cell>
        </row>
        <row r="22">
          <cell r="A22" t="str">
            <v>AWACS Upgrade</v>
          </cell>
          <cell r="B22" t="str">
            <v>AWACS Upgrade</v>
          </cell>
          <cell r="C22" t="str">
            <v>Boeing</v>
          </cell>
          <cell r="D22" t="str">
            <v>Boeing</v>
          </cell>
          <cell r="E22" t="str">
            <v/>
          </cell>
          <cell r="G22">
            <v>1</v>
          </cell>
          <cell r="H22" t="str">
            <v>Northrop Grumman, BAE, DRS, Raytheon, L-3</v>
          </cell>
          <cell r="I22" t="str">
            <v/>
          </cell>
          <cell r="J22" t="str">
            <v/>
          </cell>
          <cell r="K22">
            <v>0</v>
          </cell>
          <cell r="L22">
            <v>1997</v>
          </cell>
          <cell r="M22" t="str">
            <v>PdE</v>
          </cell>
          <cell r="N22" t="e">
            <v>#N/A</v>
          </cell>
          <cell r="O22" t="e">
            <v>#N/A</v>
          </cell>
          <cell r="P22" t="e">
            <v>#NAME?</v>
          </cell>
          <cell r="Q22" t="e">
            <v>#N/A</v>
          </cell>
          <cell r="R22">
            <v>0</v>
          </cell>
          <cell r="S22" t="e">
            <v>#NAME?</v>
          </cell>
          <cell r="T22" t="e">
            <v>#NAME?</v>
          </cell>
          <cell r="U22" t="e">
            <v>#NAME?</v>
          </cell>
          <cell r="W22">
            <v>0</v>
          </cell>
          <cell r="X22" t="e">
            <v>#N/A</v>
          </cell>
          <cell r="Y22" t="e">
            <v>#N/A</v>
          </cell>
          <cell r="AA22">
            <v>0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  <cell r="AH22" t="str">
            <v/>
          </cell>
          <cell r="AI22" t="str">
            <v/>
          </cell>
          <cell r="AK22">
            <v>0</v>
          </cell>
          <cell r="AL22" t="str">
            <v/>
          </cell>
          <cell r="AM22" t="str">
            <v/>
          </cell>
          <cell r="AP22">
            <v>1</v>
          </cell>
          <cell r="AQ22">
            <v>0</v>
          </cell>
        </row>
        <row r="23">
          <cell r="A23" t="str">
            <v>B-1B CMUP</v>
          </cell>
          <cell r="B23" t="str">
            <v>B-1B CMUP</v>
          </cell>
          <cell r="C23" t="str">
            <v xml:space="preserve">Boeing </v>
          </cell>
          <cell r="D23" t="str">
            <v xml:space="preserve">Boeing </v>
          </cell>
          <cell r="E23" t="str">
            <v/>
          </cell>
          <cell r="G23">
            <v>1</v>
          </cell>
          <cell r="H23" t="str">
            <v/>
          </cell>
          <cell r="I23" t="str">
            <v/>
          </cell>
          <cell r="J23" t="str">
            <v/>
          </cell>
          <cell r="K23">
            <v>0</v>
          </cell>
          <cell r="L23">
            <v>2003</v>
          </cell>
          <cell r="M23" t="str">
            <v>PdE</v>
          </cell>
          <cell r="N23" t="e">
            <v>#N/A</v>
          </cell>
          <cell r="O23">
            <v>13948.6</v>
          </cell>
          <cell r="P23" t="e">
            <v>#NAME?</v>
          </cell>
          <cell r="Q23" t="e">
            <v>#N/A</v>
          </cell>
          <cell r="R23">
            <v>0</v>
          </cell>
          <cell r="S23" t="e">
            <v>#NAME?</v>
          </cell>
          <cell r="T23" t="e">
            <v>#NAME?</v>
          </cell>
          <cell r="U23" t="e">
            <v>#NAME?</v>
          </cell>
          <cell r="W23">
            <v>0</v>
          </cell>
          <cell r="X23" t="e">
            <v>#N/A</v>
          </cell>
          <cell r="Y23" t="e">
            <v>#N/A</v>
          </cell>
          <cell r="AA23">
            <v>0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  <cell r="AH23" t="str">
            <v/>
          </cell>
          <cell r="AI23" t="str">
            <v/>
          </cell>
          <cell r="AK23">
            <v>0</v>
          </cell>
          <cell r="AL23" t="str">
            <v/>
          </cell>
          <cell r="AM23" t="str">
            <v/>
          </cell>
          <cell r="AP23">
            <v>1</v>
          </cell>
          <cell r="AQ23">
            <v>0</v>
          </cell>
        </row>
        <row r="24">
          <cell r="A24" t="str">
            <v>B-2 EHF Increment I</v>
          </cell>
          <cell r="B24" t="str">
            <v>B-2 EHF Increment I</v>
          </cell>
          <cell r="C24" t="str">
            <v>Northrop Grumman</v>
          </cell>
          <cell r="D24" t="str">
            <v>Northrop Grumman</v>
          </cell>
          <cell r="E24" t="str">
            <v/>
          </cell>
          <cell r="G24">
            <v>1</v>
          </cell>
          <cell r="H24" t="str">
            <v>Canadian Commerical Corporation, Boeing, Lockheed Martin, Hamilton Sundstrand, Honeywell</v>
          </cell>
          <cell r="I24" t="str">
            <v/>
          </cell>
          <cell r="J24" t="str">
            <v/>
          </cell>
          <cell r="K24" t="str">
            <v>Air Force</v>
          </cell>
          <cell r="L24">
            <v>2007</v>
          </cell>
          <cell r="M24" t="str">
            <v>DE</v>
          </cell>
          <cell r="N24">
            <v>-18</v>
          </cell>
          <cell r="O24" t="e">
            <v>#NAME?</v>
          </cell>
          <cell r="P24" t="e">
            <v>#NAME?</v>
          </cell>
          <cell r="Q24" t="e">
            <v>#NAME?</v>
          </cell>
          <cell r="R24">
            <v>0</v>
          </cell>
          <cell r="S24" t="e">
            <v>#NAME?</v>
          </cell>
          <cell r="T24" t="e">
            <v>#NAME?</v>
          </cell>
          <cell r="U24" t="e">
            <v>#NAME?</v>
          </cell>
          <cell r="W24">
            <v>0</v>
          </cell>
          <cell r="X24">
            <v>-1.5523809523809524</v>
          </cell>
          <cell r="Y24">
            <v>-155.23809523809524</v>
          </cell>
          <cell r="AA24">
            <v>0</v>
          </cell>
          <cell r="AC24">
            <v>21</v>
          </cell>
          <cell r="AD24">
            <v>-76.2</v>
          </cell>
          <cell r="AF24">
            <v>-11.6</v>
          </cell>
          <cell r="AG24" t="e">
            <v>#REF!</v>
          </cell>
          <cell r="AH24" t="str">
            <v/>
          </cell>
          <cell r="AI24" t="str">
            <v/>
          </cell>
          <cell r="AK24">
            <v>0</v>
          </cell>
          <cell r="AL24" t="str">
            <v/>
          </cell>
          <cell r="AM24" t="str">
            <v/>
          </cell>
          <cell r="AP24">
            <v>1</v>
          </cell>
          <cell r="AQ24">
            <v>0</v>
          </cell>
        </row>
        <row r="25">
          <cell r="A25" t="str">
            <v>B-2 RMP</v>
          </cell>
          <cell r="B25" t="str">
            <v>B-2 RMP</v>
          </cell>
          <cell r="C25" t="str">
            <v>Northrop Grumman</v>
          </cell>
          <cell r="D25" t="str">
            <v>Northrop Grumman</v>
          </cell>
          <cell r="E25" t="str">
            <v/>
          </cell>
          <cell r="G25">
            <v>1</v>
          </cell>
          <cell r="H25" t="str">
            <v>Lockheed Martin, Honeywell</v>
          </cell>
          <cell r="I25" t="str">
            <v/>
          </cell>
          <cell r="J25" t="str">
            <v/>
          </cell>
          <cell r="K25" t="str">
            <v>Air Force</v>
          </cell>
          <cell r="L25">
            <v>2008</v>
          </cell>
          <cell r="M25" t="str">
            <v>PdE</v>
          </cell>
          <cell r="N25" t="e">
            <v>#N/A</v>
          </cell>
          <cell r="O25" t="e">
            <v>#N/A</v>
          </cell>
          <cell r="P25" t="e">
            <v>#NAME?</v>
          </cell>
          <cell r="Q25" t="e">
            <v>#N/A</v>
          </cell>
          <cell r="R25">
            <v>0</v>
          </cell>
          <cell r="S25" t="e">
            <v>#NAME?</v>
          </cell>
          <cell r="T25" t="e">
            <v>#NAME?</v>
          </cell>
          <cell r="U25" t="e">
            <v>#NAME?</v>
          </cell>
          <cell r="W25">
            <v>0</v>
          </cell>
          <cell r="X25">
            <v>-0.66666666666666663</v>
          </cell>
          <cell r="Y25">
            <v>-66.666666666666657</v>
          </cell>
          <cell r="AA25">
            <v>0</v>
          </cell>
          <cell r="AB25" t="e">
            <v>#REF!</v>
          </cell>
          <cell r="AC25">
            <v>21</v>
          </cell>
          <cell r="AD25">
            <v>-13.7</v>
          </cell>
          <cell r="AE25">
            <v>-1.5328467153284673</v>
          </cell>
          <cell r="AF25">
            <v>7</v>
          </cell>
          <cell r="AG25" t="e">
            <v>#REF!</v>
          </cell>
          <cell r="AH25" t="str">
            <v/>
          </cell>
          <cell r="AI25" t="str">
            <v/>
          </cell>
          <cell r="AK25">
            <v>0</v>
          </cell>
          <cell r="AL25" t="str">
            <v/>
          </cell>
          <cell r="AM25" t="str">
            <v/>
          </cell>
          <cell r="AP25">
            <v>1</v>
          </cell>
          <cell r="AQ25">
            <v>0</v>
          </cell>
        </row>
        <row r="26">
          <cell r="A26" t="str">
            <v>BAMS</v>
          </cell>
          <cell r="B26" t="str">
            <v>BAMS</v>
          </cell>
          <cell r="C26" t="str">
            <v>Northrop Grumman</v>
          </cell>
          <cell r="D26" t="str">
            <v>Northrop Grumman</v>
          </cell>
          <cell r="E26" t="str">
            <v/>
          </cell>
          <cell r="G26">
            <v>1</v>
          </cell>
          <cell r="H26" t="str">
            <v>Teledyne</v>
          </cell>
          <cell r="I26" t="str">
            <v/>
          </cell>
          <cell r="J26" t="str">
            <v/>
          </cell>
          <cell r="K26" t="str">
            <v>Navy</v>
          </cell>
          <cell r="L26">
            <v>2008</v>
          </cell>
          <cell r="M26" t="str">
            <v>DE</v>
          </cell>
          <cell r="N26">
            <v>-1.9</v>
          </cell>
          <cell r="O26">
            <v>13369.399999999998</v>
          </cell>
          <cell r="P26" t="e">
            <v>#NAME?</v>
          </cell>
          <cell r="Q26">
            <v>-7036.5263157894733</v>
          </cell>
          <cell r="R26">
            <v>0</v>
          </cell>
          <cell r="S26" t="e">
            <v>#NAME?</v>
          </cell>
          <cell r="T26" t="e">
            <v>#NAME?</v>
          </cell>
          <cell r="U26" t="e">
            <v>#NAME?</v>
          </cell>
          <cell r="W26">
            <v>0</v>
          </cell>
          <cell r="X26" t="e">
            <v>#N/A</v>
          </cell>
          <cell r="Y26" t="e">
            <v>#N/A</v>
          </cell>
          <cell r="AA26">
            <v>0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  <cell r="AH26" t="str">
            <v/>
          </cell>
          <cell r="AI26" t="str">
            <v/>
          </cell>
          <cell r="AK26">
            <v>0</v>
          </cell>
          <cell r="AL26" t="str">
            <v/>
          </cell>
          <cell r="AM26" t="str">
            <v/>
          </cell>
          <cell r="AP26">
            <v>1</v>
          </cell>
          <cell r="AQ26">
            <v>0</v>
          </cell>
        </row>
        <row r="27">
          <cell r="A27" t="str">
            <v>BDMS (RDT&amp;E)</v>
          </cell>
          <cell r="B27" t="str">
            <v>BDMS (RDT&amp;E)</v>
          </cell>
          <cell r="C27">
            <v>0</v>
          </cell>
          <cell r="D27">
            <v>0</v>
          </cell>
          <cell r="E27" t="str">
            <v/>
          </cell>
          <cell r="G27">
            <v>1</v>
          </cell>
          <cell r="H27" t="str">
            <v/>
          </cell>
          <cell r="I27" t="str">
            <v/>
          </cell>
          <cell r="J27" t="str">
            <v/>
          </cell>
          <cell r="K27">
            <v>0</v>
          </cell>
          <cell r="L27">
            <v>2002</v>
          </cell>
          <cell r="M27" t="str">
            <v>PE</v>
          </cell>
          <cell r="N27" t="e">
            <v>#N/A</v>
          </cell>
          <cell r="O27" t="e">
            <v>#N/A</v>
          </cell>
          <cell r="P27" t="e">
            <v>#NAME?</v>
          </cell>
          <cell r="Q27" t="e">
            <v>#N/A</v>
          </cell>
          <cell r="R27">
            <v>0</v>
          </cell>
          <cell r="S27" t="e">
            <v>#NAME?</v>
          </cell>
          <cell r="T27" t="e">
            <v>#NAME?</v>
          </cell>
          <cell r="U27" t="e">
            <v>#NAME?</v>
          </cell>
          <cell r="W27">
            <v>0</v>
          </cell>
          <cell r="X27" t="e">
            <v>#N/A</v>
          </cell>
          <cell r="Y27" t="e">
            <v>#N/A</v>
          </cell>
          <cell r="AA27">
            <v>0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  <cell r="AH27" t="str">
            <v/>
          </cell>
          <cell r="AI27" t="str">
            <v/>
          </cell>
          <cell r="AK27">
            <v>0</v>
          </cell>
          <cell r="AL27" t="str">
            <v/>
          </cell>
          <cell r="AM27" t="str">
            <v/>
          </cell>
          <cell r="AQ27">
            <v>0</v>
          </cell>
        </row>
        <row r="28">
          <cell r="A28" t="str">
            <v>BMDS</v>
          </cell>
          <cell r="B28" t="str">
            <v>BMDS</v>
          </cell>
          <cell r="C28" t="str">
            <v>Boeing, Lockheed Martin, Northrop Grumman, Raytheon, TRW Systems (Northrop Grumman)</v>
          </cell>
          <cell r="D28" t="str">
            <v>Boeing, Lockheed Martin, Northrop Grumman, Raytheon, TRW Systems (Northrop Grumman)</v>
          </cell>
          <cell r="E28" t="str">
            <v/>
          </cell>
          <cell r="G28">
            <v>1</v>
          </cell>
          <cell r="H28" t="str">
            <v>General Dynamics, Textron,  BAE</v>
          </cell>
          <cell r="I28" t="str">
            <v/>
          </cell>
          <cell r="J28" t="str">
            <v/>
          </cell>
          <cell r="K28" t="str">
            <v>DoD-wide</v>
          </cell>
          <cell r="L28">
            <v>2002</v>
          </cell>
          <cell r="M28" t="str">
            <v>PE</v>
          </cell>
          <cell r="N28">
            <v>45.1</v>
          </cell>
          <cell r="O28" t="e">
            <v>#NAME?</v>
          </cell>
          <cell r="P28" t="e">
            <v>#NAME?</v>
          </cell>
          <cell r="Q28" t="e">
            <v>#NAME?</v>
          </cell>
          <cell r="R28">
            <v>0</v>
          </cell>
          <cell r="S28" t="e">
            <v>#NAME?</v>
          </cell>
          <cell r="T28" t="e">
            <v>#NAME?</v>
          </cell>
          <cell r="U28" t="e">
            <v>#NAME?</v>
          </cell>
          <cell r="W28">
            <v>0</v>
          </cell>
          <cell r="X28" t="e">
            <v>#DIV/0!</v>
          </cell>
          <cell r="Y28" t="e">
            <v>#DIV/0!</v>
          </cell>
          <cell r="AA28">
            <v>0</v>
          </cell>
          <cell r="AB28" t="e">
            <v>#REF!</v>
          </cell>
          <cell r="AC28">
            <v>0</v>
          </cell>
          <cell r="AD28">
            <v>37334.5</v>
          </cell>
          <cell r="AE28">
            <v>0</v>
          </cell>
          <cell r="AF28">
            <v>64.2</v>
          </cell>
          <cell r="AG28" t="e">
            <v>#REF!</v>
          </cell>
          <cell r="AH28" t="str">
            <v/>
          </cell>
          <cell r="AI28" t="str">
            <v/>
          </cell>
          <cell r="AK28">
            <v>0</v>
          </cell>
          <cell r="AL28" t="str">
            <v/>
          </cell>
          <cell r="AM28" t="str">
            <v/>
          </cell>
          <cell r="AP28">
            <v>1</v>
          </cell>
          <cell r="AQ28">
            <v>0</v>
          </cell>
        </row>
        <row r="29">
          <cell r="A29" t="str">
            <v>BRADLEY UPGRADE</v>
          </cell>
          <cell r="B29" t="str">
            <v>BRADLEY UPGRADE</v>
          </cell>
          <cell r="C29" t="str">
            <v>BAE</v>
          </cell>
          <cell r="D29" t="str">
            <v>BAE</v>
          </cell>
          <cell r="E29" t="str">
            <v/>
          </cell>
          <cell r="G29">
            <v>1</v>
          </cell>
          <cell r="H29" t="str">
            <v>DRS, Raytheon</v>
          </cell>
          <cell r="I29" t="str">
            <v/>
          </cell>
          <cell r="J29" t="str">
            <v/>
          </cell>
          <cell r="K29" t="str">
            <v>Army</v>
          </cell>
          <cell r="L29">
            <v>2001</v>
          </cell>
          <cell r="M29" t="str">
            <v>PdE</v>
          </cell>
          <cell r="N29" t="e">
            <v>#N/A</v>
          </cell>
          <cell r="O29" t="e">
            <v>#N/A</v>
          </cell>
          <cell r="P29" t="e">
            <v>#NAME?</v>
          </cell>
          <cell r="Q29" t="e">
            <v>#N/A</v>
          </cell>
          <cell r="R29">
            <v>0</v>
          </cell>
          <cell r="S29" t="e">
            <v>#NAME?</v>
          </cell>
          <cell r="T29" t="e">
            <v>#NAME?</v>
          </cell>
          <cell r="U29" t="e">
            <v>#NAME?</v>
          </cell>
          <cell r="W29">
            <v>0</v>
          </cell>
          <cell r="X29">
            <v>-1.0083153347732181</v>
          </cell>
          <cell r="Y29">
            <v>-100.83153347732181</v>
          </cell>
          <cell r="AA29">
            <v>0</v>
          </cell>
          <cell r="AB29" t="e">
            <v>#REF!</v>
          </cell>
          <cell r="AC29">
            <v>926</v>
          </cell>
          <cell r="AD29">
            <v>4344.8</v>
          </cell>
          <cell r="AE29">
            <v>0.21312833732277664</v>
          </cell>
          <cell r="AF29">
            <v>-7.7</v>
          </cell>
          <cell r="AG29" t="e">
            <v>#REF!</v>
          </cell>
          <cell r="AH29" t="str">
            <v/>
          </cell>
          <cell r="AI29" t="str">
            <v/>
          </cell>
          <cell r="AK29">
            <v>0</v>
          </cell>
          <cell r="AL29" t="str">
            <v/>
          </cell>
          <cell r="AM29" t="str">
            <v/>
          </cell>
          <cell r="AP29">
            <v>1</v>
          </cell>
          <cell r="AQ29">
            <v>0</v>
          </cell>
        </row>
        <row r="30">
          <cell r="A30" t="str">
            <v>C-130AMP</v>
          </cell>
          <cell r="B30" t="str">
            <v>C-130AMP</v>
          </cell>
          <cell r="C30" t="str">
            <v>Boeing</v>
          </cell>
          <cell r="D30" t="str">
            <v>Boeing</v>
          </cell>
          <cell r="E30" t="str">
            <v/>
          </cell>
          <cell r="G30">
            <v>1</v>
          </cell>
          <cell r="H30" t="str">
            <v>BAE, L-3, Lockheed Martin, Honeywell, Hamilton Sunstrand (UTC), General Electric</v>
          </cell>
          <cell r="I30" t="str">
            <v/>
          </cell>
          <cell r="J30" t="str">
            <v/>
          </cell>
          <cell r="K30" t="str">
            <v>Air Force</v>
          </cell>
          <cell r="L30">
            <v>2010</v>
          </cell>
          <cell r="M30" t="str">
            <v>PdE</v>
          </cell>
          <cell r="N30">
            <v>-8.5</v>
          </cell>
          <cell r="O30" t="e">
            <v>#NAME?</v>
          </cell>
          <cell r="P30" t="e">
            <v>#NAME?</v>
          </cell>
          <cell r="Q30" t="e">
            <v>#NAME?</v>
          </cell>
          <cell r="R30">
            <v>0</v>
          </cell>
          <cell r="S30" t="e">
            <v>#NAME?</v>
          </cell>
          <cell r="T30" t="e">
            <v>#NAME?</v>
          </cell>
          <cell r="U30" t="e">
            <v>#NAME?</v>
          </cell>
          <cell r="W30">
            <v>0</v>
          </cell>
          <cell r="X30">
            <v>-0.76377649325626196</v>
          </cell>
          <cell r="Y30">
            <v>-76.377649325626194</v>
          </cell>
          <cell r="AA30">
            <v>0</v>
          </cell>
          <cell r="AB30" t="e">
            <v>#REF!</v>
          </cell>
          <cell r="AC30">
            <v>519</v>
          </cell>
          <cell r="AD30">
            <v>1622.5</v>
          </cell>
          <cell r="AE30">
            <v>0.31987673343605549</v>
          </cell>
          <cell r="AF30">
            <v>122.6</v>
          </cell>
          <cell r="AG30" t="e">
            <v>#REF!</v>
          </cell>
          <cell r="AH30" t="str">
            <v/>
          </cell>
          <cell r="AI30" t="str">
            <v/>
          </cell>
          <cell r="AK30">
            <v>0</v>
          </cell>
          <cell r="AL30" t="str">
            <v/>
          </cell>
          <cell r="AM30" t="str">
            <v/>
          </cell>
          <cell r="AP30">
            <v>1</v>
          </cell>
          <cell r="AQ30">
            <v>0</v>
          </cell>
        </row>
        <row r="31">
          <cell r="A31" t="str">
            <v>C-130J</v>
          </cell>
          <cell r="B31" t="str">
            <v>C-130J</v>
          </cell>
          <cell r="C31" t="str">
            <v>Lockheed Martin</v>
          </cell>
          <cell r="D31" t="str">
            <v>Lockheed Martin</v>
          </cell>
          <cell r="E31" t="str">
            <v/>
          </cell>
          <cell r="G31">
            <v>1</v>
          </cell>
          <cell r="H31" t="str">
            <v>Rolls-Royce, General Electric, Honeywell, BAE, SAIC, Boeing</v>
          </cell>
          <cell r="I31" t="str">
            <v/>
          </cell>
          <cell r="J31" t="str">
            <v/>
          </cell>
          <cell r="K31" t="str">
            <v>Air Force</v>
          </cell>
          <cell r="L31">
            <v>1996</v>
          </cell>
          <cell r="M31" t="str">
            <v>PdE</v>
          </cell>
          <cell r="N31">
            <v>31.2</v>
          </cell>
          <cell r="O31" t="e">
            <v>#NAME?</v>
          </cell>
          <cell r="P31" t="e">
            <v>#NAME?</v>
          </cell>
          <cell r="Q31" t="e">
            <v>#NAME?</v>
          </cell>
          <cell r="R31">
            <v>0</v>
          </cell>
          <cell r="S31" t="e">
            <v>#NAME?</v>
          </cell>
          <cell r="T31" t="e">
            <v>#NAME?</v>
          </cell>
          <cell r="U31" t="e">
            <v>#NAME?</v>
          </cell>
          <cell r="W31">
            <v>0</v>
          </cell>
          <cell r="X31">
            <v>1.4272727272727272</v>
          </cell>
          <cell r="Y31">
            <v>142.72727272727272</v>
          </cell>
          <cell r="AA31">
            <v>0</v>
          </cell>
          <cell r="AB31" t="e">
            <v>#REF!</v>
          </cell>
          <cell r="AC31">
            <v>11</v>
          </cell>
          <cell r="AD31">
            <v>11247.9</v>
          </cell>
          <cell r="AE31">
            <v>9.7796033037278072E-4</v>
          </cell>
          <cell r="AF31">
            <v>26.7</v>
          </cell>
          <cell r="AG31" t="e">
            <v>#REF!</v>
          </cell>
          <cell r="AH31" t="str">
            <v/>
          </cell>
          <cell r="AI31" t="str">
            <v/>
          </cell>
          <cell r="AK31">
            <v>0</v>
          </cell>
          <cell r="AL31" t="str">
            <v/>
          </cell>
          <cell r="AM31" t="str">
            <v/>
          </cell>
          <cell r="AP31">
            <v>1</v>
          </cell>
          <cell r="AQ31">
            <v>0</v>
          </cell>
        </row>
        <row r="32">
          <cell r="A32" t="str">
            <v>C-17A</v>
          </cell>
          <cell r="B32" t="str">
            <v>C-17A</v>
          </cell>
          <cell r="C32" t="str">
            <v>Boeing</v>
          </cell>
          <cell r="D32" t="str">
            <v>Boeing</v>
          </cell>
          <cell r="E32" t="str">
            <v/>
          </cell>
          <cell r="G32">
            <v>1</v>
          </cell>
          <cell r="H32" t="str">
            <v>Pratt and Whitney (UTC), BAE, Honeywell, Lockheed Martin, Harris, Rockwell Collins</v>
          </cell>
          <cell r="I32" t="str">
            <v/>
          </cell>
          <cell r="J32" t="str">
            <v/>
          </cell>
          <cell r="K32" t="str">
            <v>Air Force</v>
          </cell>
          <cell r="L32">
            <v>1996</v>
          </cell>
          <cell r="M32" t="str">
            <v>PdE</v>
          </cell>
          <cell r="N32" t="e">
            <v>#N/A</v>
          </cell>
          <cell r="O32">
            <v>35658.899999999994</v>
          </cell>
          <cell r="P32" t="e">
            <v>#NAME?</v>
          </cell>
          <cell r="Q32" t="e">
            <v>#N/A</v>
          </cell>
          <cell r="R32">
            <v>0</v>
          </cell>
          <cell r="S32" t="e">
            <v>#NAME?</v>
          </cell>
          <cell r="T32" t="e">
            <v>#NAME?</v>
          </cell>
          <cell r="U32" t="e">
            <v>#NAME?</v>
          </cell>
          <cell r="W32">
            <v>0</v>
          </cell>
          <cell r="X32">
            <v>-0.73142857142857143</v>
          </cell>
          <cell r="Y32">
            <v>-73.142857142857139</v>
          </cell>
          <cell r="AA32">
            <v>0</v>
          </cell>
          <cell r="AB32" t="e">
            <v>#REF!</v>
          </cell>
          <cell r="AC32">
            <v>210</v>
          </cell>
          <cell r="AD32">
            <v>23119</v>
          </cell>
          <cell r="AE32">
            <v>9.0834378649595569E-3</v>
          </cell>
          <cell r="AF32">
            <v>56.4</v>
          </cell>
          <cell r="AG32" t="e">
            <v>#REF!</v>
          </cell>
          <cell r="AH32" t="str">
            <v/>
          </cell>
          <cell r="AI32" t="str">
            <v/>
          </cell>
          <cell r="AK32">
            <v>0</v>
          </cell>
          <cell r="AL32" t="str">
            <v/>
          </cell>
          <cell r="AM32" t="str">
            <v/>
          </cell>
          <cell r="AP32">
            <v>1</v>
          </cell>
          <cell r="AQ32">
            <v>0</v>
          </cell>
        </row>
        <row r="33">
          <cell r="A33" t="str">
            <v>C-5 AMP</v>
          </cell>
          <cell r="B33" t="str">
            <v>C-5 AMP</v>
          </cell>
          <cell r="C33" t="str">
            <v>Lockheed Martin</v>
          </cell>
          <cell r="D33" t="str">
            <v>Lockheed Martin</v>
          </cell>
          <cell r="E33" t="str">
            <v/>
          </cell>
          <cell r="G33">
            <v>1</v>
          </cell>
          <cell r="H33" t="str">
            <v>Honeywell, BAE</v>
          </cell>
          <cell r="I33" t="str">
            <v/>
          </cell>
          <cell r="J33" t="str">
            <v/>
          </cell>
          <cell r="K33" t="str">
            <v>Air Force</v>
          </cell>
          <cell r="L33">
            <v>2006</v>
          </cell>
          <cell r="M33" t="str">
            <v>PdE</v>
          </cell>
          <cell r="N33" t="e">
            <v>#N/A</v>
          </cell>
          <cell r="O33" t="e">
            <v>#N/A</v>
          </cell>
          <cell r="P33" t="e">
            <v>#NAME?</v>
          </cell>
          <cell r="Q33" t="e">
            <v>#N/A</v>
          </cell>
          <cell r="R33">
            <v>0</v>
          </cell>
          <cell r="S33" t="e">
            <v>#NAME?</v>
          </cell>
          <cell r="T33" t="e">
            <v>#NAME?</v>
          </cell>
          <cell r="U33" t="e">
            <v>#NAME?</v>
          </cell>
          <cell r="W33">
            <v>0</v>
          </cell>
          <cell r="X33">
            <v>-0.72950819672131151</v>
          </cell>
          <cell r="Y33">
            <v>-72.950819672131146</v>
          </cell>
          <cell r="AA33">
            <v>0</v>
          </cell>
          <cell r="AB33" t="e">
            <v>#REF!</v>
          </cell>
          <cell r="AC33">
            <v>61</v>
          </cell>
          <cell r="AD33">
            <v>324.10000000000002</v>
          </cell>
          <cell r="AE33">
            <v>0.18821351434742362</v>
          </cell>
          <cell r="AF33">
            <v>16.5</v>
          </cell>
          <cell r="AG33" t="e">
            <v>#REF!</v>
          </cell>
          <cell r="AH33" t="str">
            <v/>
          </cell>
          <cell r="AI33" t="str">
            <v/>
          </cell>
          <cell r="AK33">
            <v>0</v>
          </cell>
          <cell r="AL33" t="str">
            <v/>
          </cell>
          <cell r="AM33" t="str">
            <v/>
          </cell>
          <cell r="AP33">
            <v>1</v>
          </cell>
          <cell r="AQ33">
            <v>0</v>
          </cell>
        </row>
        <row r="34">
          <cell r="A34" t="str">
            <v>C-5 RERP</v>
          </cell>
          <cell r="B34" t="str">
            <v>C-5 RERP</v>
          </cell>
          <cell r="C34" t="str">
            <v>Lockheed Martin</v>
          </cell>
          <cell r="D34" t="str">
            <v>Lockheed Martin</v>
          </cell>
          <cell r="E34" t="str">
            <v/>
          </cell>
          <cell r="G34">
            <v>1</v>
          </cell>
          <cell r="H34" t="str">
            <v/>
          </cell>
          <cell r="I34" t="str">
            <v/>
          </cell>
          <cell r="J34" t="str">
            <v/>
          </cell>
          <cell r="K34" t="str">
            <v>Air Force</v>
          </cell>
          <cell r="L34">
            <v>2008</v>
          </cell>
          <cell r="M34" t="str">
            <v>PdE</v>
          </cell>
          <cell r="N34">
            <v>-3.4</v>
          </cell>
          <cell r="O34">
            <v>382.70000000000027</v>
          </cell>
          <cell r="P34" t="e">
            <v>#NAME?</v>
          </cell>
          <cell r="Q34">
            <v>-112.55882352941185</v>
          </cell>
          <cell r="R34">
            <v>0</v>
          </cell>
          <cell r="S34" t="e">
            <v>#NAME?</v>
          </cell>
          <cell r="T34" t="e">
            <v>#NAME?</v>
          </cell>
          <cell r="U34" t="e">
            <v>#NAME?</v>
          </cell>
          <cell r="W34">
            <v>0</v>
          </cell>
          <cell r="X34">
            <v>-1.0557692307692308</v>
          </cell>
          <cell r="Y34">
            <v>-105.57692307692308</v>
          </cell>
          <cell r="AA34">
            <v>0</v>
          </cell>
          <cell r="AB34" t="e">
            <v>#REF!</v>
          </cell>
          <cell r="AC34">
            <v>52</v>
          </cell>
          <cell r="AD34">
            <v>-49.5</v>
          </cell>
          <cell r="AE34">
            <v>-1.0505050505050506</v>
          </cell>
          <cell r="AF34">
            <v>-2.9</v>
          </cell>
          <cell r="AG34" t="e">
            <v>#REF!</v>
          </cell>
          <cell r="AH34" t="str">
            <v/>
          </cell>
          <cell r="AI34" t="str">
            <v/>
          </cell>
          <cell r="AK34">
            <v>0</v>
          </cell>
          <cell r="AL34" t="str">
            <v/>
          </cell>
          <cell r="AM34" t="str">
            <v/>
          </cell>
          <cell r="AP34">
            <v>1</v>
          </cell>
          <cell r="AQ34">
            <v>0</v>
          </cell>
        </row>
        <row r="35">
          <cell r="A35" t="str">
            <v>CEC</v>
          </cell>
          <cell r="B35" t="str">
            <v>CEC</v>
          </cell>
          <cell r="C35" t="str">
            <v>Raytheon</v>
          </cell>
          <cell r="D35" t="str">
            <v>Raytheon</v>
          </cell>
          <cell r="E35" t="str">
            <v/>
          </cell>
          <cell r="G35">
            <v>1</v>
          </cell>
          <cell r="H35" t="str">
            <v>General Dynamics, CACI</v>
          </cell>
          <cell r="I35" t="str">
            <v/>
          </cell>
          <cell r="J35" t="str">
            <v/>
          </cell>
          <cell r="K35" t="str">
            <v>Navy</v>
          </cell>
          <cell r="L35">
            <v>2002</v>
          </cell>
          <cell r="M35" t="str">
            <v>PdE</v>
          </cell>
          <cell r="N35">
            <v>17.399999999999999</v>
          </cell>
          <cell r="O35" t="e">
            <v>#NAME?</v>
          </cell>
          <cell r="P35" t="e">
            <v>#NAME?</v>
          </cell>
          <cell r="Q35" t="e">
            <v>#NAME?</v>
          </cell>
          <cell r="R35">
            <v>0</v>
          </cell>
          <cell r="S35" t="e">
            <v>#NAME?</v>
          </cell>
          <cell r="T35" t="e">
            <v>#NAME?</v>
          </cell>
          <cell r="U35" t="e">
            <v>#NAME?</v>
          </cell>
          <cell r="W35">
            <v>0</v>
          </cell>
          <cell r="X35">
            <v>-0.96544117647058836</v>
          </cell>
          <cell r="Y35">
            <v>-96.54411764705884</v>
          </cell>
          <cell r="AA35">
            <v>0</v>
          </cell>
          <cell r="AB35" t="e">
            <v>#REF!</v>
          </cell>
          <cell r="AC35">
            <v>272</v>
          </cell>
          <cell r="AD35">
            <v>135.4</v>
          </cell>
          <cell r="AE35">
            <v>2.0088626292466762</v>
          </cell>
          <cell r="AF35">
            <v>9.4</v>
          </cell>
          <cell r="AG35" t="e">
            <v>#REF!</v>
          </cell>
          <cell r="AH35" t="str">
            <v/>
          </cell>
          <cell r="AI35" t="str">
            <v/>
          </cell>
          <cell r="AK35">
            <v>0</v>
          </cell>
          <cell r="AL35" t="str">
            <v/>
          </cell>
          <cell r="AM35" t="str">
            <v/>
          </cell>
          <cell r="AP35">
            <v>1</v>
          </cell>
          <cell r="AQ35">
            <v>0</v>
          </cell>
        </row>
        <row r="36">
          <cell r="A36" t="str">
            <v>CH-47F</v>
          </cell>
          <cell r="B36" t="str">
            <v>CH-47F</v>
          </cell>
          <cell r="C36" t="str">
            <v>Boeing</v>
          </cell>
          <cell r="D36" t="str">
            <v>Boeing</v>
          </cell>
          <cell r="E36" t="str">
            <v/>
          </cell>
          <cell r="G36">
            <v>1</v>
          </cell>
          <cell r="H36" t="str">
            <v>Rockwell Collins, General Electric, Goodrich</v>
          </cell>
          <cell r="I36" t="str">
            <v/>
          </cell>
          <cell r="J36" t="str">
            <v/>
          </cell>
          <cell r="K36" t="str">
            <v>Army</v>
          </cell>
          <cell r="L36">
            <v>2005</v>
          </cell>
          <cell r="M36" t="str">
            <v>PdE</v>
          </cell>
          <cell r="N36">
            <v>12.7</v>
          </cell>
          <cell r="O36" t="e">
            <v>#NAME?</v>
          </cell>
          <cell r="P36" t="e">
            <v>#NAME?</v>
          </cell>
          <cell r="Q36" t="e">
            <v>#NAME?</v>
          </cell>
          <cell r="R36">
            <v>0</v>
          </cell>
          <cell r="S36" t="e">
            <v>#NAME?</v>
          </cell>
          <cell r="T36" t="e">
            <v>#NAME?</v>
          </cell>
          <cell r="U36" t="e">
            <v>#NAME?</v>
          </cell>
          <cell r="W36">
            <v>0</v>
          </cell>
          <cell r="X36">
            <v>-0.98222656249999996</v>
          </cell>
          <cell r="Y36">
            <v>-98.22265625</v>
          </cell>
          <cell r="AA36">
            <v>0</v>
          </cell>
          <cell r="AB36" t="e">
            <v>#REF!</v>
          </cell>
          <cell r="AC36">
            <v>512</v>
          </cell>
          <cell r="AD36">
            <v>1437.5</v>
          </cell>
          <cell r="AE36">
            <v>0.35617391304347829</v>
          </cell>
          <cell r="AF36">
            <v>9.1</v>
          </cell>
          <cell r="AG36" t="e">
            <v>#REF!</v>
          </cell>
          <cell r="AH36" t="str">
            <v/>
          </cell>
          <cell r="AI36" t="str">
            <v/>
          </cell>
          <cell r="AK36">
            <v>0</v>
          </cell>
          <cell r="AL36" t="str">
            <v/>
          </cell>
          <cell r="AM36" t="str">
            <v/>
          </cell>
          <cell r="AP36">
            <v>1</v>
          </cell>
          <cell r="AQ36">
            <v>0</v>
          </cell>
        </row>
        <row r="37">
          <cell r="A37" t="str">
            <v>CH-53K</v>
          </cell>
          <cell r="B37" t="str">
            <v>CH-53K</v>
          </cell>
          <cell r="C37" t="str">
            <v>Sikorsky Aircraft Corporation (UTC)</v>
          </cell>
          <cell r="D37" t="str">
            <v>Sikorsky Aircraft Corporation (UTC)</v>
          </cell>
          <cell r="E37" t="str">
            <v/>
          </cell>
          <cell r="G37">
            <v>1</v>
          </cell>
          <cell r="H37" t="str">
            <v/>
          </cell>
          <cell r="I37" t="str">
            <v/>
          </cell>
          <cell r="J37" t="str">
            <v/>
          </cell>
          <cell r="K37" t="str">
            <v>Navy</v>
          </cell>
          <cell r="L37">
            <v>2006</v>
          </cell>
          <cell r="M37" t="str">
            <v>DE</v>
          </cell>
          <cell r="N37">
            <v>21.7</v>
          </cell>
          <cell r="O37" t="e">
            <v>#NAME?</v>
          </cell>
          <cell r="P37" t="e">
            <v>#NAME?</v>
          </cell>
          <cell r="Q37" t="e">
            <v>#NAME?</v>
          </cell>
          <cell r="R37">
            <v>0</v>
          </cell>
          <cell r="S37" t="e">
            <v>#NAME?</v>
          </cell>
          <cell r="T37" t="e">
            <v>#NAME?</v>
          </cell>
          <cell r="U37" t="e">
            <v>#NAME?</v>
          </cell>
          <cell r="W37">
            <v>0</v>
          </cell>
          <cell r="X37">
            <v>-0.892948717948718</v>
          </cell>
          <cell r="Y37">
            <v>-89.294871794871796</v>
          </cell>
          <cell r="AA37">
            <v>0</v>
          </cell>
          <cell r="AB37" t="e">
            <v>#REF!</v>
          </cell>
          <cell r="AC37">
            <v>156</v>
          </cell>
          <cell r="AD37">
            <v>5134.8</v>
          </cell>
          <cell r="AE37">
            <v>3.0380930123860714E-2</v>
          </cell>
          <cell r="AF37">
            <v>16.7</v>
          </cell>
          <cell r="AG37" t="e">
            <v>#REF!</v>
          </cell>
          <cell r="AH37" t="str">
            <v/>
          </cell>
          <cell r="AI37" t="str">
            <v/>
          </cell>
          <cell r="AK37">
            <v>0</v>
          </cell>
          <cell r="AL37" t="str">
            <v/>
          </cell>
          <cell r="AM37" t="str">
            <v/>
          </cell>
          <cell r="AP37">
            <v>1</v>
          </cell>
          <cell r="AQ37">
            <v>0</v>
          </cell>
        </row>
        <row r="38">
          <cell r="A38" t="str">
            <v>CHEM DEMIL-ACWA</v>
          </cell>
          <cell r="B38" t="str">
            <v>CHEM DEMIL-ACWA</v>
          </cell>
          <cell r="C38" t="str">
            <v>Bechtel National &amp; Bechtel/Parsons JV</v>
          </cell>
          <cell r="D38" t="str">
            <v>Bechtel National &amp; Bechtel/Parsons JV</v>
          </cell>
          <cell r="E38" t="str">
            <v/>
          </cell>
          <cell r="G38">
            <v>1</v>
          </cell>
          <cell r="H38" t="str">
            <v>Edgerton, Germeshausen and Grier, Westinghouse, Washington Demilitarization Company, Bechtel, Parsons, General Physics Corporation, Stone &amp; Webster, C2HM Hill Demilitarization Incorporated, Teledyne Brown Engineering, Alpha Management Solutions</v>
          </cell>
          <cell r="I38" t="str">
            <v/>
          </cell>
          <cell r="J38" t="str">
            <v/>
          </cell>
          <cell r="K38" t="str">
            <v>DoD-wide</v>
          </cell>
          <cell r="L38">
            <v>2011</v>
          </cell>
          <cell r="M38" t="str">
            <v>PdE/DE</v>
          </cell>
          <cell r="N38">
            <v>336.8</v>
          </cell>
          <cell r="O38" t="e">
            <v>#NAME?</v>
          </cell>
          <cell r="P38" t="e">
            <v>#NAME?</v>
          </cell>
          <cell r="Q38" t="e">
            <v>#NAME?</v>
          </cell>
          <cell r="R38">
            <v>0</v>
          </cell>
          <cell r="S38" t="e">
            <v>#NAME?</v>
          </cell>
          <cell r="T38" t="e">
            <v>#NAME?</v>
          </cell>
          <cell r="U38" t="e">
            <v>#NAME?</v>
          </cell>
          <cell r="W38">
            <v>0</v>
          </cell>
          <cell r="X38" t="e">
            <v>#DIV/0!</v>
          </cell>
          <cell r="Y38" t="e">
            <v>#DIV/0!</v>
          </cell>
          <cell r="AA38">
            <v>0</v>
          </cell>
          <cell r="AB38" t="e">
            <v>#REF!</v>
          </cell>
          <cell r="AC38">
            <v>0</v>
          </cell>
          <cell r="AD38">
            <v>4016</v>
          </cell>
          <cell r="AE38">
            <v>0</v>
          </cell>
          <cell r="AF38">
            <v>243.7</v>
          </cell>
          <cell r="AG38" t="e">
            <v>#REF!</v>
          </cell>
          <cell r="AH38" t="str">
            <v/>
          </cell>
          <cell r="AI38" t="str">
            <v/>
          </cell>
          <cell r="AK38">
            <v>0</v>
          </cell>
          <cell r="AL38" t="str">
            <v/>
          </cell>
          <cell r="AM38" t="str">
            <v/>
          </cell>
          <cell r="AP38">
            <v>1</v>
          </cell>
          <cell r="AQ38">
            <v>0</v>
          </cell>
        </row>
        <row r="39">
          <cell r="A39" t="str">
            <v>CHEM DEMIL-CMA</v>
          </cell>
          <cell r="B39" t="str">
            <v>CHEM DEMIL-CMA</v>
          </cell>
          <cell r="C39" t="str">
            <v>NA (agency withing DOD)</v>
          </cell>
          <cell r="D39" t="str">
            <v>NA (agency withing DOD)</v>
          </cell>
          <cell r="E39" t="str">
            <v/>
          </cell>
          <cell r="G39">
            <v>1</v>
          </cell>
          <cell r="H39" t="str">
            <v/>
          </cell>
          <cell r="I39" t="str">
            <v/>
          </cell>
          <cell r="J39" t="str">
            <v>http://www.cma.army.mil/aboutcma.aspx</v>
          </cell>
          <cell r="K39" t="str">
            <v>DoD-wide</v>
          </cell>
          <cell r="L39">
            <v>1994</v>
          </cell>
          <cell r="M39" t="str">
            <v>PdE</v>
          </cell>
          <cell r="N39">
            <v>93</v>
          </cell>
          <cell r="O39">
            <v>10931.5</v>
          </cell>
          <cell r="P39" t="e">
            <v>#NAME?</v>
          </cell>
          <cell r="Q39">
            <v>117.54301075268818</v>
          </cell>
          <cell r="R39">
            <v>0</v>
          </cell>
          <cell r="S39" t="e">
            <v>#NAME?</v>
          </cell>
          <cell r="T39" t="e">
            <v>#NAME?</v>
          </cell>
          <cell r="U39" t="e">
            <v>#NAME?</v>
          </cell>
          <cell r="W39">
            <v>0</v>
          </cell>
          <cell r="X39">
            <v>-0.99655884377150727</v>
          </cell>
          <cell r="Y39">
            <v>-99.655884377150727</v>
          </cell>
          <cell r="AA39">
            <v>0</v>
          </cell>
          <cell r="AB39" t="e">
            <v>#REF!</v>
          </cell>
          <cell r="AC39">
            <v>29060</v>
          </cell>
          <cell r="AD39">
            <v>9898.4</v>
          </cell>
          <cell r="AE39">
            <v>2.9358280126080984</v>
          </cell>
          <cell r="AF39">
            <v>100</v>
          </cell>
          <cell r="AG39" t="e">
            <v>#REF!</v>
          </cell>
          <cell r="AH39" t="str">
            <v/>
          </cell>
          <cell r="AI39" t="str">
            <v/>
          </cell>
          <cell r="AK39">
            <v>0</v>
          </cell>
          <cell r="AL39" t="str">
            <v/>
          </cell>
          <cell r="AM39" t="str">
            <v/>
          </cell>
          <cell r="AP39">
            <v>1</v>
          </cell>
          <cell r="AQ39">
            <v>0</v>
          </cell>
        </row>
        <row r="40">
          <cell r="A40" t="str">
            <v>CHEM DEMIL-NEWPORT</v>
          </cell>
          <cell r="B40" t="str">
            <v>CHEM DEMIL-NEWPORT</v>
          </cell>
          <cell r="C40">
            <v>0</v>
          </cell>
          <cell r="D40">
            <v>0</v>
          </cell>
          <cell r="E40" t="str">
            <v/>
          </cell>
          <cell r="G40">
            <v>1</v>
          </cell>
          <cell r="H40" t="str">
            <v/>
          </cell>
          <cell r="I40" t="str">
            <v/>
          </cell>
          <cell r="J40" t="str">
            <v/>
          </cell>
          <cell r="K40">
            <v>0</v>
          </cell>
          <cell r="L40">
            <v>1994</v>
          </cell>
          <cell r="M40" t="str">
            <v>PdE</v>
          </cell>
          <cell r="N40" t="e">
            <v>#N/A</v>
          </cell>
          <cell r="O40" t="e">
            <v>#N/A</v>
          </cell>
          <cell r="P40" t="e">
            <v>#NAME?</v>
          </cell>
          <cell r="Q40" t="e">
            <v>#N/A</v>
          </cell>
          <cell r="R40">
            <v>0</v>
          </cell>
          <cell r="S40" t="e">
            <v>#NAME?</v>
          </cell>
          <cell r="T40" t="e">
            <v>#NAME?</v>
          </cell>
          <cell r="U40" t="e">
            <v>#NAME?</v>
          </cell>
          <cell r="W40">
            <v>0</v>
          </cell>
          <cell r="X40" t="e">
            <v>#N/A</v>
          </cell>
          <cell r="Y40" t="e">
            <v>#N/A</v>
          </cell>
          <cell r="AA40">
            <v>0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  <cell r="AH40" t="str">
            <v/>
          </cell>
          <cell r="AI40" t="str">
            <v/>
          </cell>
          <cell r="AK40">
            <v>0</v>
          </cell>
          <cell r="AL40" t="str">
            <v/>
          </cell>
          <cell r="AM40" t="str">
            <v/>
          </cell>
          <cell r="AP40">
            <v>1</v>
          </cell>
          <cell r="AQ40">
            <v>0</v>
          </cell>
        </row>
        <row r="41">
          <cell r="A41" t="str">
            <v>COBRA JUDY REPLACEMENT</v>
          </cell>
          <cell r="B41" t="str">
            <v>COBRA JUDY REPLACEMENT</v>
          </cell>
          <cell r="C41" t="str">
            <v>Raytheon</v>
          </cell>
          <cell r="D41" t="str">
            <v>Raytheon</v>
          </cell>
          <cell r="E41" t="str">
            <v/>
          </cell>
          <cell r="G41">
            <v>1</v>
          </cell>
          <cell r="H41" t="str">
            <v>BAE, Northrop Grumman, Teledyne</v>
          </cell>
          <cell r="I41" t="str">
            <v/>
          </cell>
          <cell r="J41" t="str">
            <v/>
          </cell>
          <cell r="K41" t="str">
            <v>Navy</v>
          </cell>
          <cell r="L41">
            <v>2003</v>
          </cell>
          <cell r="M41" t="str">
            <v>DE</v>
          </cell>
          <cell r="N41">
            <v>17.100000000000001</v>
          </cell>
          <cell r="O41" t="e">
            <v>#NAME?</v>
          </cell>
          <cell r="P41" t="e">
            <v>#NAME?</v>
          </cell>
          <cell r="Q41" t="e">
            <v>#NAME?</v>
          </cell>
          <cell r="R41">
            <v>0</v>
          </cell>
          <cell r="S41" t="e">
            <v>#NAME?</v>
          </cell>
          <cell r="T41" t="e">
            <v>#NAME?</v>
          </cell>
          <cell r="U41" t="e">
            <v>#NAME?</v>
          </cell>
          <cell r="W41">
            <v>0</v>
          </cell>
          <cell r="X41">
            <v>16</v>
          </cell>
          <cell r="Y41">
            <v>1600</v>
          </cell>
          <cell r="AA41">
            <v>0</v>
          </cell>
          <cell r="AB41" t="e">
            <v>#REF!</v>
          </cell>
          <cell r="AC41">
            <v>1</v>
          </cell>
          <cell r="AD41">
            <v>161.30000000000001</v>
          </cell>
          <cell r="AE41">
            <v>6.1996280223186604E-3</v>
          </cell>
          <cell r="AF41">
            <v>17</v>
          </cell>
          <cell r="AG41" t="e">
            <v>#REF!</v>
          </cell>
          <cell r="AH41" t="str">
            <v/>
          </cell>
          <cell r="AI41" t="str">
            <v/>
          </cell>
          <cell r="AK41">
            <v>0</v>
          </cell>
          <cell r="AL41" t="str">
            <v/>
          </cell>
          <cell r="AM41" t="str">
            <v/>
          </cell>
          <cell r="AP41">
            <v>1</v>
          </cell>
          <cell r="AQ41">
            <v>0</v>
          </cell>
        </row>
        <row r="42">
          <cell r="A42" t="str">
            <v>COMANCHE</v>
          </cell>
          <cell r="B42" t="str">
            <v>COMANCHE</v>
          </cell>
          <cell r="C42" t="str">
            <v>Boeing/Sikorsky JV</v>
          </cell>
          <cell r="D42" t="str">
            <v>Boeing/Sikorsky JV</v>
          </cell>
          <cell r="E42" t="str">
            <v/>
          </cell>
          <cell r="G42">
            <v>1</v>
          </cell>
          <cell r="H42" t="str">
            <v/>
          </cell>
          <cell r="I42" t="str">
            <v/>
          </cell>
          <cell r="J42" t="str">
            <v/>
          </cell>
          <cell r="K42" t="str">
            <v>Army</v>
          </cell>
          <cell r="L42">
            <v>2000</v>
          </cell>
          <cell r="M42" t="str">
            <v>DE</v>
          </cell>
          <cell r="N42" t="e">
            <v>#N/A</v>
          </cell>
          <cell r="O42" t="e">
            <v>#N/A</v>
          </cell>
          <cell r="P42" t="e">
            <v>#NAME?</v>
          </cell>
          <cell r="Q42" t="e">
            <v>#N/A</v>
          </cell>
          <cell r="R42">
            <v>0</v>
          </cell>
          <cell r="S42" t="e">
            <v>#NAME?</v>
          </cell>
          <cell r="T42" t="e">
            <v>#NAME?</v>
          </cell>
          <cell r="U42" t="e">
            <v>#NAME?</v>
          </cell>
          <cell r="W42">
            <v>0</v>
          </cell>
          <cell r="X42" t="e">
            <v>#N/A</v>
          </cell>
          <cell r="Y42" t="e">
            <v>#N/A</v>
          </cell>
          <cell r="AA42">
            <v>0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  <cell r="AH42" t="str">
            <v/>
          </cell>
          <cell r="AI42" t="str">
            <v/>
          </cell>
          <cell r="AK42">
            <v>0</v>
          </cell>
          <cell r="AL42" t="str">
            <v/>
          </cell>
          <cell r="AM42" t="str">
            <v/>
          </cell>
          <cell r="AP42">
            <v>1</v>
          </cell>
          <cell r="AQ42">
            <v>0</v>
          </cell>
        </row>
        <row r="43">
          <cell r="A43" t="str">
            <v>CRUSADER</v>
          </cell>
          <cell r="B43" t="str">
            <v>CRUSADER</v>
          </cell>
          <cell r="C43" t="str">
            <v>United Defense, LP (BAE)</v>
          </cell>
          <cell r="D43" t="str">
            <v>United Defense, LP (BAE)</v>
          </cell>
          <cell r="E43" t="str">
            <v/>
          </cell>
          <cell r="G43">
            <v>1</v>
          </cell>
          <cell r="H43" t="str">
            <v>General Dynamics (major subcontractor)</v>
          </cell>
          <cell r="I43" t="str">
            <v/>
          </cell>
          <cell r="J43" t="str">
            <v/>
          </cell>
          <cell r="K43" t="str">
            <v>Army</v>
          </cell>
          <cell r="L43">
            <v>1995</v>
          </cell>
          <cell r="M43" t="str">
            <v>PE</v>
          </cell>
          <cell r="N43" t="e">
            <v>#N/A</v>
          </cell>
          <cell r="O43">
            <v>60502.899999999994</v>
          </cell>
          <cell r="P43" t="e">
            <v>#NAME?</v>
          </cell>
          <cell r="Q43" t="e">
            <v>#N/A</v>
          </cell>
          <cell r="R43">
            <v>0</v>
          </cell>
          <cell r="S43" t="e">
            <v>#NAME?</v>
          </cell>
          <cell r="T43" t="e">
            <v>#NAME?</v>
          </cell>
          <cell r="U43" t="e">
            <v>#NAME?</v>
          </cell>
          <cell r="W43">
            <v>0</v>
          </cell>
          <cell r="X43" t="e">
            <v>#N/A</v>
          </cell>
          <cell r="Y43" t="e">
            <v>#N/A</v>
          </cell>
          <cell r="AA43">
            <v>0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  <cell r="AH43" t="str">
            <v/>
          </cell>
          <cell r="AI43" t="str">
            <v/>
          </cell>
          <cell r="AK43">
            <v>0</v>
          </cell>
          <cell r="AL43" t="str">
            <v/>
          </cell>
          <cell r="AM43" t="str">
            <v/>
          </cell>
          <cell r="AP43">
            <v>1</v>
          </cell>
          <cell r="AQ43">
            <v>0</v>
          </cell>
        </row>
        <row r="44">
          <cell r="A44" t="str">
            <v>CSAR-X</v>
          </cell>
          <cell r="B44" t="str">
            <v>CSAR-X</v>
          </cell>
          <cell r="C44" t="str">
            <v>Boeing</v>
          </cell>
          <cell r="D44" t="str">
            <v>Boeing</v>
          </cell>
          <cell r="E44" t="str">
            <v/>
          </cell>
          <cell r="G44">
            <v>1</v>
          </cell>
          <cell r="H44" t="str">
            <v/>
          </cell>
          <cell r="I44" t="str">
            <v/>
          </cell>
          <cell r="J44" t="str">
            <v/>
          </cell>
          <cell r="K44">
            <v>0</v>
          </cell>
          <cell r="L44" t="str">
            <v/>
          </cell>
          <cell r="M44" t="str">
            <v/>
          </cell>
          <cell r="N44" t="e">
            <v>#N/A</v>
          </cell>
          <cell r="O44" t="e">
            <v>#N/A</v>
          </cell>
          <cell r="P44" t="e">
            <v>#NAME?</v>
          </cell>
          <cell r="Q44" t="e">
            <v>#N/A</v>
          </cell>
          <cell r="R44">
            <v>0</v>
          </cell>
          <cell r="S44" t="e">
            <v>#NAME?</v>
          </cell>
          <cell r="T44" t="e">
            <v>#NAME?</v>
          </cell>
          <cell r="U44" t="e">
            <v>#NAME?</v>
          </cell>
          <cell r="W44">
            <v>0</v>
          </cell>
          <cell r="X44" t="e">
            <v>#N/A</v>
          </cell>
          <cell r="Y44" t="e">
            <v>#N/A</v>
          </cell>
          <cell r="AA44">
            <v>0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  <cell r="AH44" t="str">
            <v/>
          </cell>
          <cell r="AI44" t="str">
            <v/>
          </cell>
          <cell r="AK44">
            <v>0</v>
          </cell>
          <cell r="AL44" t="str">
            <v/>
          </cell>
          <cell r="AM44" t="str">
            <v/>
          </cell>
          <cell r="AP44">
            <v>1</v>
          </cell>
          <cell r="AQ44">
            <v>0</v>
          </cell>
        </row>
        <row r="45">
          <cell r="A45" t="str">
            <v>CVN 21</v>
          </cell>
          <cell r="B45" t="str">
            <v>CVN 21</v>
          </cell>
          <cell r="C45" t="str">
            <v>Northrop Grumman</v>
          </cell>
          <cell r="D45" t="str">
            <v>Northrop Grumman</v>
          </cell>
          <cell r="E45" t="str">
            <v/>
          </cell>
          <cell r="G45">
            <v>1</v>
          </cell>
          <cell r="H45" t="str">
            <v/>
          </cell>
          <cell r="I45" t="str">
            <v/>
          </cell>
          <cell r="J45" t="str">
            <v/>
          </cell>
          <cell r="K45" t="str">
            <v>Navy</v>
          </cell>
          <cell r="L45">
            <v>2000</v>
          </cell>
          <cell r="M45" t="str">
            <v>DE</v>
          </cell>
          <cell r="N45" t="e">
            <v>#N/A</v>
          </cell>
          <cell r="O45" t="e">
            <v>#N/A</v>
          </cell>
          <cell r="P45" t="e">
            <v>#NAME?</v>
          </cell>
          <cell r="Q45" t="e">
            <v>#N/A</v>
          </cell>
          <cell r="R45">
            <v>0</v>
          </cell>
          <cell r="S45" t="e">
            <v>#NAME?</v>
          </cell>
          <cell r="T45" t="e">
            <v>#NAME?</v>
          </cell>
          <cell r="U45" t="e">
            <v>#NAME?</v>
          </cell>
          <cell r="W45">
            <v>0</v>
          </cell>
          <cell r="X45" t="e">
            <v>#N/A</v>
          </cell>
          <cell r="Y45" t="e">
            <v>#N/A</v>
          </cell>
          <cell r="AA45">
            <v>0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  <cell r="AH45" t="str">
            <v/>
          </cell>
          <cell r="AI45" t="str">
            <v/>
          </cell>
          <cell r="AK45">
            <v>0</v>
          </cell>
          <cell r="AL45" t="str">
            <v/>
          </cell>
          <cell r="AM45" t="str">
            <v/>
          </cell>
          <cell r="AP45">
            <v>1</v>
          </cell>
          <cell r="AQ45">
            <v>0</v>
          </cell>
        </row>
        <row r="46">
          <cell r="A46" t="str">
            <v>CVN 68</v>
          </cell>
          <cell r="B46" t="str">
            <v>CVN 68</v>
          </cell>
          <cell r="C46" t="str">
            <v>Huntington Ingalls Industries (HII)</v>
          </cell>
          <cell r="D46" t="str">
            <v>Huntington Ingalls Industries (HII)</v>
          </cell>
          <cell r="E46" t="str">
            <v/>
          </cell>
          <cell r="G46">
            <v>1</v>
          </cell>
          <cell r="H46" t="str">
            <v/>
          </cell>
          <cell r="I46" t="str">
            <v/>
          </cell>
          <cell r="J46" t="str">
            <v/>
          </cell>
          <cell r="K46" t="str">
            <v>Navy</v>
          </cell>
          <cell r="L46">
            <v>1995</v>
          </cell>
          <cell r="M46" t="str">
            <v>PdE</v>
          </cell>
          <cell r="N46" t="e">
            <v>#N/A</v>
          </cell>
          <cell r="O46">
            <v>5597.9999999999991</v>
          </cell>
          <cell r="P46" t="e">
            <v>#NAME?</v>
          </cell>
          <cell r="Q46" t="e">
            <v>#N/A</v>
          </cell>
          <cell r="R46">
            <v>0</v>
          </cell>
          <cell r="S46" t="e">
            <v>#NAME?</v>
          </cell>
          <cell r="T46" t="e">
            <v>#NAME?</v>
          </cell>
          <cell r="U46" t="e">
            <v>#NAME?</v>
          </cell>
          <cell r="W46">
            <v>0</v>
          </cell>
          <cell r="X46">
            <v>12.1</v>
          </cell>
          <cell r="Y46">
            <v>1210</v>
          </cell>
          <cell r="AA46">
            <v>0</v>
          </cell>
          <cell r="AB46" t="e">
            <v>#REF!</v>
          </cell>
          <cell r="AC46">
            <v>1</v>
          </cell>
          <cell r="AD46">
            <v>709.7</v>
          </cell>
          <cell r="AE46">
            <v>1.4090460758066788E-3</v>
          </cell>
          <cell r="AF46">
            <v>13.1</v>
          </cell>
          <cell r="AG46" t="e">
            <v>#REF!</v>
          </cell>
          <cell r="AH46" t="str">
            <v/>
          </cell>
          <cell r="AI46" t="str">
            <v/>
          </cell>
          <cell r="AK46">
            <v>0</v>
          </cell>
          <cell r="AL46" t="str">
            <v/>
          </cell>
          <cell r="AM46" t="str">
            <v/>
          </cell>
          <cell r="AP46">
            <v>1</v>
          </cell>
          <cell r="AQ46">
            <v>0</v>
          </cell>
        </row>
        <row r="47">
          <cell r="A47" t="str">
            <v>CVN 78</v>
          </cell>
          <cell r="B47" t="str">
            <v>CVN 78</v>
          </cell>
          <cell r="C47">
            <v>0</v>
          </cell>
          <cell r="D47">
            <v>0</v>
          </cell>
          <cell r="E47" t="str">
            <v/>
          </cell>
          <cell r="G47">
            <v>1</v>
          </cell>
          <cell r="H47" t="str">
            <v/>
          </cell>
          <cell r="I47" t="str">
            <v/>
          </cell>
          <cell r="J47" t="str">
            <v/>
          </cell>
          <cell r="K47">
            <v>0</v>
          </cell>
          <cell r="L47">
            <v>2000</v>
          </cell>
          <cell r="M47" t="str">
            <v>DE</v>
          </cell>
          <cell r="N47">
            <v>17.899999999999999</v>
          </cell>
          <cell r="O47" t="e">
            <v>#NAME?</v>
          </cell>
          <cell r="P47" t="e">
            <v>#NAME?</v>
          </cell>
          <cell r="Q47" t="e">
            <v>#NAME?</v>
          </cell>
          <cell r="R47">
            <v>0</v>
          </cell>
          <cell r="S47" t="e">
            <v>#NAME?</v>
          </cell>
          <cell r="T47" t="e">
            <v>#NAME?</v>
          </cell>
          <cell r="U47" t="e">
            <v>#NAME?</v>
          </cell>
          <cell r="W47">
            <v>0</v>
          </cell>
          <cell r="X47">
            <v>3.1333333333333333</v>
          </cell>
          <cell r="Y47">
            <v>313.33333333333331</v>
          </cell>
          <cell r="AA47">
            <v>0</v>
          </cell>
          <cell r="AC47">
            <v>3</v>
          </cell>
          <cell r="AD47">
            <v>-706.5</v>
          </cell>
          <cell r="AF47">
            <v>12.4</v>
          </cell>
          <cell r="AG47" t="e">
            <v>#REF!</v>
          </cell>
          <cell r="AH47" t="str">
            <v/>
          </cell>
          <cell r="AI47" t="str">
            <v/>
          </cell>
          <cell r="AK47">
            <v>0</v>
          </cell>
          <cell r="AL47" t="str">
            <v/>
          </cell>
          <cell r="AM47" t="str">
            <v/>
          </cell>
          <cell r="AP47">
            <v>1</v>
          </cell>
          <cell r="AQ47">
            <v>0</v>
          </cell>
        </row>
        <row r="48">
          <cell r="A48" t="str">
            <v>DDG 1000</v>
          </cell>
          <cell r="B48" t="str">
            <v>DDG 1000</v>
          </cell>
          <cell r="C48" t="str">
            <v>Bath Iron Works (General Dynamics)</v>
          </cell>
          <cell r="D48" t="str">
            <v>Bath Iron Works (General Dynamics)</v>
          </cell>
          <cell r="E48" t="str">
            <v>Raytheon (Combat Systems)</v>
          </cell>
          <cell r="G48">
            <v>0</v>
          </cell>
          <cell r="H48" t="str">
            <v>Raytheon, BAE, L-3</v>
          </cell>
          <cell r="I48" t="str">
            <v/>
          </cell>
          <cell r="J48" t="str">
            <v/>
          </cell>
          <cell r="K48" t="str">
            <v>Navy</v>
          </cell>
          <cell r="L48">
            <v>2005</v>
          </cell>
          <cell r="M48" t="str">
            <v>DE</v>
          </cell>
          <cell r="N48">
            <v>22.2</v>
          </cell>
          <cell r="O48" t="e">
            <v>#NAME?</v>
          </cell>
          <cell r="P48" t="e">
            <v>#NAME?</v>
          </cell>
          <cell r="Q48" t="e">
            <v>#NAME?</v>
          </cell>
          <cell r="R48">
            <v>0</v>
          </cell>
          <cell r="S48" t="e">
            <v>#NAME?</v>
          </cell>
          <cell r="T48" t="e">
            <v>#NAME?</v>
          </cell>
          <cell r="U48" t="e">
            <v>#NAME?</v>
          </cell>
        </row>
        <row r="49">
          <cell r="A49" t="str">
            <v>DDG 1000 (RDT&amp;E)</v>
          </cell>
          <cell r="B49" t="str">
            <v>DDG 1000 (RDT&amp;E)</v>
          </cell>
          <cell r="C49">
            <v>0</v>
          </cell>
          <cell r="D49">
            <v>0</v>
          </cell>
          <cell r="E49" t="str">
            <v/>
          </cell>
          <cell r="G49">
            <v>1</v>
          </cell>
          <cell r="H49" t="str">
            <v/>
          </cell>
          <cell r="I49" t="str">
            <v/>
          </cell>
          <cell r="J49" t="str">
            <v/>
          </cell>
          <cell r="K49">
            <v>0</v>
          </cell>
          <cell r="L49">
            <v>1996</v>
          </cell>
          <cell r="M49" t="str">
            <v>PE</v>
          </cell>
          <cell r="N49" t="e">
            <v>#N/A</v>
          </cell>
          <cell r="O49" t="e">
            <v>#N/A</v>
          </cell>
          <cell r="P49" t="e">
            <v>#NAME?</v>
          </cell>
          <cell r="Q49" t="e">
            <v>#N/A</v>
          </cell>
          <cell r="R49">
            <v>0</v>
          </cell>
          <cell r="S49" t="e">
            <v>#NAME?</v>
          </cell>
          <cell r="T49" t="e">
            <v>#NAME?</v>
          </cell>
          <cell r="U49" t="e">
            <v>#NAME?</v>
          </cell>
        </row>
        <row r="50">
          <cell r="A50" t="str">
            <v>DDG 51</v>
          </cell>
          <cell r="B50" t="str">
            <v>DDG 51</v>
          </cell>
          <cell r="C50" t="str">
            <v>Huntington Ingalls Industries (HII)</v>
          </cell>
          <cell r="D50" t="str">
            <v>Huntington Ingalls Industries (HII)</v>
          </cell>
          <cell r="E50" t="str">
            <v>*Bath Iron Works (General Dynamics) finishing</v>
          </cell>
          <cell r="G50">
            <v>0</v>
          </cell>
          <cell r="H50" t="str">
            <v>BAE, Raytheon, Boeing, Northrop Grumman, Aglient, ITT</v>
          </cell>
          <cell r="I50" t="str">
            <v/>
          </cell>
          <cell r="J50" t="str">
            <v/>
          </cell>
          <cell r="K50" t="str">
            <v>Navy</v>
          </cell>
          <cell r="L50">
            <v>1987</v>
          </cell>
          <cell r="M50" t="str">
            <v>PdE</v>
          </cell>
          <cell r="N50">
            <v>23.6</v>
          </cell>
          <cell r="O50" t="e">
            <v>#NAME?</v>
          </cell>
          <cell r="P50" t="e">
            <v>#NAME?</v>
          </cell>
          <cell r="Q50" t="e">
            <v>#NAME?</v>
          </cell>
          <cell r="R50">
            <v>0</v>
          </cell>
          <cell r="S50" t="e">
            <v>#NAME?</v>
          </cell>
          <cell r="T50" t="e">
            <v>#NAME?</v>
          </cell>
          <cell r="U50" t="e">
            <v>#NAME?</v>
          </cell>
        </row>
        <row r="51">
          <cell r="A51" t="str">
            <v>DIMHRS</v>
          </cell>
          <cell r="B51" t="str">
            <v>DIMHRS</v>
          </cell>
          <cell r="C51" t="str">
            <v>Northrop Grumman</v>
          </cell>
          <cell r="D51" t="str">
            <v>Northrop Grumman</v>
          </cell>
          <cell r="E51" t="str">
            <v>PeopleSoft</v>
          </cell>
          <cell r="G51">
            <v>0</v>
          </cell>
          <cell r="H51" t="str">
            <v>Oracle, Novonics, Ampio, ICF Inc.</v>
          </cell>
          <cell r="I51" t="str">
            <v/>
          </cell>
          <cell r="J51" t="str">
            <v/>
          </cell>
          <cell r="K51" t="str">
            <v>DoD-wide</v>
          </cell>
          <cell r="L51">
            <v>2007</v>
          </cell>
          <cell r="M51" t="str">
            <v>DE</v>
          </cell>
          <cell r="N51" t="e">
            <v>#N/A</v>
          </cell>
          <cell r="O51" t="e">
            <v>#N/A</v>
          </cell>
          <cell r="P51" t="e">
            <v>#NAME?</v>
          </cell>
          <cell r="Q51" t="e">
            <v>#N/A</v>
          </cell>
          <cell r="R51">
            <v>0</v>
          </cell>
          <cell r="S51" t="e">
            <v>#NAME?</v>
          </cell>
          <cell r="T51" t="e">
            <v>#NAME?</v>
          </cell>
          <cell r="U51" t="e">
            <v>#NAME?</v>
          </cell>
          <cell r="W51">
            <v>0</v>
          </cell>
          <cell r="X51" t="e">
            <v>#NAME?</v>
          </cell>
          <cell r="Y51" t="e">
            <v>#NAME?</v>
          </cell>
          <cell r="AA51">
            <v>0</v>
          </cell>
          <cell r="AB51" t="e">
            <v>#NAME?</v>
          </cell>
          <cell r="AC51" t="e">
            <v>#NAME?</v>
          </cell>
          <cell r="AD51" t="e">
            <v>#NAME?</v>
          </cell>
          <cell r="AE51" t="e">
            <v>#NAME?</v>
          </cell>
          <cell r="AF51" t="e">
            <v>#NAME?</v>
          </cell>
          <cell r="AG51" t="e">
            <v>#NAME?</v>
          </cell>
          <cell r="AH51" t="str">
            <v/>
          </cell>
          <cell r="AI51" t="str">
            <v/>
          </cell>
          <cell r="AK51">
            <v>0</v>
          </cell>
          <cell r="AL51" t="str">
            <v/>
          </cell>
          <cell r="AM51" t="str">
            <v/>
          </cell>
          <cell r="AP51">
            <v>1</v>
          </cell>
          <cell r="AQ51">
            <v>1</v>
          </cell>
        </row>
        <row r="52">
          <cell r="A52" t="str">
            <v>DON-LAIRCM</v>
          </cell>
          <cell r="B52" t="str">
            <v>DON-LAIRCM</v>
          </cell>
          <cell r="C52">
            <v>0</v>
          </cell>
          <cell r="D52">
            <v>0</v>
          </cell>
          <cell r="E52" t="str">
            <v/>
          </cell>
          <cell r="G52">
            <v>1</v>
          </cell>
          <cell r="H52" t="str">
            <v/>
          </cell>
          <cell r="I52" t="str">
            <v/>
          </cell>
          <cell r="J52" t="str">
            <v/>
          </cell>
          <cell r="K52">
            <v>0</v>
          </cell>
          <cell r="L52" t="str">
            <v/>
          </cell>
          <cell r="M52" t="str">
            <v/>
          </cell>
          <cell r="N52" t="e">
            <v>#N/A</v>
          </cell>
          <cell r="O52" t="e">
            <v>#N/A</v>
          </cell>
          <cell r="P52" t="e">
            <v>#NAME?</v>
          </cell>
          <cell r="Q52" t="e">
            <v>#N/A</v>
          </cell>
          <cell r="R52">
            <v>0</v>
          </cell>
          <cell r="S52" t="e">
            <v>#NAME?</v>
          </cell>
          <cell r="T52" t="e">
            <v>#NAME?</v>
          </cell>
          <cell r="U52" t="e">
            <v>#NAME?</v>
          </cell>
          <cell r="W52">
            <v>0</v>
          </cell>
          <cell r="X52" t="e">
            <v>#NAME?</v>
          </cell>
          <cell r="Y52" t="e">
            <v>#NAME?</v>
          </cell>
          <cell r="AA52">
            <v>0</v>
          </cell>
          <cell r="AB52" t="e">
            <v>#NAME?</v>
          </cell>
          <cell r="AC52" t="e">
            <v>#NAME?</v>
          </cell>
          <cell r="AD52" t="e">
            <v>#NAME?</v>
          </cell>
          <cell r="AE52" t="e">
            <v>#NAME?</v>
          </cell>
          <cell r="AF52" t="e">
            <v>#NAME?</v>
          </cell>
          <cell r="AG52" t="e">
            <v>#NAME?</v>
          </cell>
          <cell r="AH52" t="str">
            <v/>
          </cell>
          <cell r="AI52" t="str">
            <v/>
          </cell>
          <cell r="AK52">
            <v>0</v>
          </cell>
          <cell r="AL52" t="str">
            <v/>
          </cell>
          <cell r="AM52" t="str">
            <v/>
          </cell>
          <cell r="AP52">
            <v>1</v>
          </cell>
          <cell r="AQ52">
            <v>0</v>
          </cell>
        </row>
        <row r="53">
          <cell r="A53" t="str">
            <v>E-2C REPRODUCTION</v>
          </cell>
          <cell r="B53" t="str">
            <v>E-2C REPRODUCTION</v>
          </cell>
          <cell r="C53">
            <v>0</v>
          </cell>
          <cell r="D53">
            <v>0</v>
          </cell>
          <cell r="E53" t="str">
            <v/>
          </cell>
          <cell r="G53">
            <v>1</v>
          </cell>
          <cell r="H53" t="str">
            <v/>
          </cell>
          <cell r="I53" t="str">
            <v/>
          </cell>
          <cell r="J53" t="str">
            <v/>
          </cell>
          <cell r="K53">
            <v>0</v>
          </cell>
          <cell r="L53">
            <v>1994</v>
          </cell>
          <cell r="M53" t="str">
            <v>PdE</v>
          </cell>
          <cell r="N53" t="e">
            <v>#N/A</v>
          </cell>
          <cell r="O53">
            <v>62491.600000000006</v>
          </cell>
          <cell r="P53" t="e">
            <v>#NAME?</v>
          </cell>
          <cell r="Q53" t="e">
            <v>#N/A</v>
          </cell>
          <cell r="R53">
            <v>0</v>
          </cell>
          <cell r="S53" t="e">
            <v>#NAME?</v>
          </cell>
          <cell r="T53" t="e">
            <v>#NAME?</v>
          </cell>
          <cell r="U53" t="e">
            <v>#NAME?</v>
          </cell>
          <cell r="W53">
            <v>0</v>
          </cell>
          <cell r="X53" t="e">
            <v>#NAME?</v>
          </cell>
          <cell r="Y53" t="e">
            <v>#NAME?</v>
          </cell>
          <cell r="AA53">
            <v>0</v>
          </cell>
          <cell r="AB53" t="e">
            <v>#NAME?</v>
          </cell>
          <cell r="AC53" t="e">
            <v>#NAME?</v>
          </cell>
          <cell r="AD53" t="e">
            <v>#NAME?</v>
          </cell>
          <cell r="AE53" t="e">
            <v>#NAME?</v>
          </cell>
          <cell r="AF53" t="e">
            <v>#NAME?</v>
          </cell>
          <cell r="AG53" t="e">
            <v>#NAME?</v>
          </cell>
          <cell r="AH53" t="str">
            <v/>
          </cell>
          <cell r="AI53" t="str">
            <v/>
          </cell>
          <cell r="AK53">
            <v>0</v>
          </cell>
          <cell r="AL53" t="str">
            <v/>
          </cell>
          <cell r="AM53" t="str">
            <v/>
          </cell>
          <cell r="AP53">
            <v>1</v>
          </cell>
          <cell r="AQ53">
            <v>0</v>
          </cell>
        </row>
        <row r="54">
          <cell r="A54" t="str">
            <v>E-2D AHE</v>
          </cell>
          <cell r="B54" t="str">
            <v>E-2D AHE</v>
          </cell>
          <cell r="C54" t="str">
            <v>Northrop Grumman</v>
          </cell>
          <cell r="D54" t="str">
            <v>Northrop Grumman</v>
          </cell>
          <cell r="E54" t="str">
            <v/>
          </cell>
          <cell r="G54">
            <v>1</v>
          </cell>
          <cell r="H54" t="str">
            <v>General Dynamics, Lockheed Martin, Rolls-Royce</v>
          </cell>
          <cell r="I54" t="str">
            <v/>
          </cell>
          <cell r="J54" t="str">
            <v/>
          </cell>
          <cell r="K54" t="str">
            <v>Navy</v>
          </cell>
          <cell r="L54">
            <v>2009</v>
          </cell>
          <cell r="M54" t="str">
            <v>PdE</v>
          </cell>
          <cell r="N54">
            <v>9</v>
          </cell>
          <cell r="O54" t="e">
            <v>#NAME?</v>
          </cell>
          <cell r="P54" t="e">
            <v>#NAME?</v>
          </cell>
          <cell r="Q54" t="e">
            <v>#NAME?</v>
          </cell>
          <cell r="R54">
            <v>0</v>
          </cell>
          <cell r="S54" t="e">
            <v>#NAME?</v>
          </cell>
          <cell r="T54" t="e">
            <v>#NAME?</v>
          </cell>
          <cell r="U54" t="e">
            <v>#NAME?</v>
          </cell>
          <cell r="W54">
            <v>0</v>
          </cell>
          <cell r="X54" t="e">
            <v>#NAME?</v>
          </cell>
          <cell r="Y54" t="e">
            <v>#NAME?</v>
          </cell>
          <cell r="AA54">
            <v>0</v>
          </cell>
          <cell r="AB54" t="e">
            <v>#NAME?</v>
          </cell>
          <cell r="AC54" t="e">
            <v>#NAME?</v>
          </cell>
          <cell r="AD54" t="e">
            <v>#NAME?</v>
          </cell>
          <cell r="AE54" t="e">
            <v>#NAME?</v>
          </cell>
          <cell r="AF54" t="e">
            <v>#NAME?</v>
          </cell>
          <cell r="AG54" t="e">
            <v>#NAME?</v>
          </cell>
          <cell r="AH54" t="str">
            <v/>
          </cell>
          <cell r="AI54" t="str">
            <v/>
          </cell>
          <cell r="AK54">
            <v>0</v>
          </cell>
          <cell r="AL54" t="str">
            <v/>
          </cell>
          <cell r="AM54" t="str">
            <v/>
          </cell>
          <cell r="AP54">
            <v>1</v>
          </cell>
          <cell r="AQ54">
            <v>0</v>
          </cell>
        </row>
        <row r="55">
          <cell r="A55" t="str">
            <v>E-8 JSTARS</v>
          </cell>
          <cell r="B55" t="str">
            <v>E-8 JSTARS</v>
          </cell>
          <cell r="C55" t="str">
            <v>Northrop Grumman</v>
          </cell>
          <cell r="D55" t="str">
            <v>Northrop Grumman</v>
          </cell>
          <cell r="E55" t="str">
            <v/>
          </cell>
          <cell r="G55">
            <v>1</v>
          </cell>
          <cell r="H55" t="str">
            <v/>
          </cell>
          <cell r="I55" t="str">
            <v/>
          </cell>
          <cell r="J55" t="str">
            <v/>
          </cell>
          <cell r="K55">
            <v>0</v>
          </cell>
          <cell r="L55">
            <v>1998</v>
          </cell>
          <cell r="M55" t="str">
            <v>PdE</v>
          </cell>
          <cell r="N55" t="e">
            <v>#N/A</v>
          </cell>
          <cell r="O55" t="e">
            <v>#N/A</v>
          </cell>
          <cell r="P55" t="e">
            <v>#NAME?</v>
          </cell>
          <cell r="Q55" t="e">
            <v>#N/A</v>
          </cell>
          <cell r="R55">
            <v>0</v>
          </cell>
          <cell r="S55" t="e">
            <v>#NAME?</v>
          </cell>
          <cell r="T55" t="e">
            <v>#NAME?</v>
          </cell>
          <cell r="U55" t="e">
            <v>#NAME?</v>
          </cell>
          <cell r="W55">
            <v>0</v>
          </cell>
          <cell r="X55" t="e">
            <v>#NAME?</v>
          </cell>
          <cell r="Y55" t="e">
            <v>#NAME?</v>
          </cell>
          <cell r="AA55">
            <v>0</v>
          </cell>
          <cell r="AB55" t="e">
            <v>#NAME?</v>
          </cell>
          <cell r="AC55" t="e">
            <v>#NAME?</v>
          </cell>
          <cell r="AD55" t="e">
            <v>#NAME?</v>
          </cell>
          <cell r="AE55" t="e">
            <v>#NAME?</v>
          </cell>
          <cell r="AF55" t="e">
            <v>#NAME?</v>
          </cell>
          <cell r="AG55" t="e">
            <v>#NAME?</v>
          </cell>
          <cell r="AH55" t="str">
            <v/>
          </cell>
          <cell r="AI55" t="str">
            <v/>
          </cell>
          <cell r="AK55">
            <v>0</v>
          </cell>
          <cell r="AL55" t="str">
            <v/>
          </cell>
          <cell r="AM55" t="str">
            <v/>
          </cell>
          <cell r="AP55">
            <v>1</v>
          </cell>
          <cell r="AQ55">
            <v>0</v>
          </cell>
        </row>
        <row r="56">
          <cell r="A56" t="str">
            <v>EA-18G</v>
          </cell>
          <cell r="B56" t="str">
            <v>EA-18G</v>
          </cell>
          <cell r="C56" t="str">
            <v>Boeing</v>
          </cell>
          <cell r="D56" t="str">
            <v>Boeing</v>
          </cell>
          <cell r="E56" t="str">
            <v/>
          </cell>
          <cell r="G56">
            <v>1</v>
          </cell>
          <cell r="H56" t="str">
            <v>General Electric</v>
          </cell>
          <cell r="I56" t="str">
            <v/>
          </cell>
          <cell r="J56" t="str">
            <v/>
          </cell>
          <cell r="K56" t="str">
            <v>Navy</v>
          </cell>
          <cell r="L56">
            <v>2004</v>
          </cell>
          <cell r="M56" t="str">
            <v>PdE</v>
          </cell>
          <cell r="N56">
            <v>2.7</v>
          </cell>
          <cell r="O56" t="e">
            <v>#NAME?</v>
          </cell>
          <cell r="P56" t="e">
            <v>#NAME?</v>
          </cell>
          <cell r="Q56" t="e">
            <v>#NAME?</v>
          </cell>
          <cell r="R56">
            <v>0</v>
          </cell>
          <cell r="S56" t="e">
            <v>#NAME?</v>
          </cell>
          <cell r="T56" t="e">
            <v>#NAME?</v>
          </cell>
          <cell r="U56" t="e">
            <v>#NAME?</v>
          </cell>
          <cell r="W56">
            <v>0</v>
          </cell>
          <cell r="X56" t="e">
            <v>#NAME?</v>
          </cell>
          <cell r="Y56" t="e">
            <v>#NAME?</v>
          </cell>
          <cell r="AA56">
            <v>0</v>
          </cell>
          <cell r="AB56" t="e">
            <v>#NAME?</v>
          </cell>
          <cell r="AC56" t="e">
            <v>#NAME?</v>
          </cell>
          <cell r="AD56" t="e">
            <v>#NAME?</v>
          </cell>
          <cell r="AE56" t="e">
            <v>#NAME?</v>
          </cell>
          <cell r="AF56" t="e">
            <v>#NAME?</v>
          </cell>
          <cell r="AG56" t="e">
            <v>#NAME?</v>
          </cell>
          <cell r="AH56" t="str">
            <v/>
          </cell>
          <cell r="AI56" t="str">
            <v/>
          </cell>
          <cell r="AK56">
            <v>0</v>
          </cell>
          <cell r="AL56" t="str">
            <v/>
          </cell>
          <cell r="AM56" t="str">
            <v/>
          </cell>
          <cell r="AP56">
            <v>1</v>
          </cell>
          <cell r="AQ56">
            <v>0</v>
          </cell>
        </row>
        <row r="57">
          <cell r="A57" t="str">
            <v>EA-6B ICAP III</v>
          </cell>
          <cell r="B57" t="str">
            <v>EA-6B ICAP III</v>
          </cell>
          <cell r="C57" t="str">
            <v>Northrop Grumman</v>
          </cell>
          <cell r="D57" t="str">
            <v>Northrop Grumman</v>
          </cell>
          <cell r="E57" t="str">
            <v/>
          </cell>
          <cell r="G57">
            <v>1</v>
          </cell>
          <cell r="H57" t="str">
            <v>Lockheed Martin, Boeing, Raytheon, BAE, Goodrich, Honeywell, Hamilton Sundstrand</v>
          </cell>
          <cell r="I57" t="str">
            <v/>
          </cell>
          <cell r="J57" t="str">
            <v/>
          </cell>
          <cell r="K57" t="str">
            <v>Navy</v>
          </cell>
          <cell r="L57">
            <v>2008</v>
          </cell>
          <cell r="M57" t="str">
            <v>PdE</v>
          </cell>
          <cell r="N57" t="e">
            <v>#N/A</v>
          </cell>
          <cell r="O57">
            <v>41197</v>
          </cell>
          <cell r="P57" t="e">
            <v>#NAME?</v>
          </cell>
          <cell r="Q57" t="e">
            <v>#N/A</v>
          </cell>
          <cell r="R57">
            <v>0</v>
          </cell>
          <cell r="S57" t="e">
            <v>#NAME?</v>
          </cell>
          <cell r="T57" t="e">
            <v>#NAME?</v>
          </cell>
          <cell r="U57" t="e">
            <v>#NAME?</v>
          </cell>
          <cell r="W57">
            <v>0</v>
          </cell>
          <cell r="X57" t="e">
            <v>#NAME?</v>
          </cell>
          <cell r="Y57" t="e">
            <v>#NAME?</v>
          </cell>
          <cell r="AA57">
            <v>0</v>
          </cell>
          <cell r="AB57" t="e">
            <v>#NAME?</v>
          </cell>
          <cell r="AC57" t="e">
            <v>#NAME?</v>
          </cell>
          <cell r="AD57" t="e">
            <v>#NAME?</v>
          </cell>
          <cell r="AE57" t="e">
            <v>#NAME?</v>
          </cell>
          <cell r="AF57" t="e">
            <v>#NAME?</v>
          </cell>
          <cell r="AG57" t="e">
            <v>#NAME?</v>
          </cell>
          <cell r="AH57" t="str">
            <v/>
          </cell>
          <cell r="AI57" t="str">
            <v/>
          </cell>
          <cell r="AK57">
            <v>0</v>
          </cell>
          <cell r="AL57" t="str">
            <v/>
          </cell>
          <cell r="AM57" t="str">
            <v/>
          </cell>
          <cell r="AP57">
            <v>1</v>
          </cell>
          <cell r="AQ57">
            <v>0</v>
          </cell>
        </row>
        <row r="58">
          <cell r="A58" t="str">
            <v>EELV</v>
          </cell>
          <cell r="B58" t="str">
            <v>EELV</v>
          </cell>
          <cell r="C58" t="str">
            <v>United Launch Alliance (Boeing and Lockheed JV)</v>
          </cell>
          <cell r="D58" t="str">
            <v>United Launch Alliance (Boeing and Lockheed JV)</v>
          </cell>
          <cell r="E58" t="str">
            <v/>
          </cell>
          <cell r="G58">
            <v>1</v>
          </cell>
          <cell r="H58" t="str">
            <v/>
          </cell>
          <cell r="I58" t="str">
            <v/>
          </cell>
          <cell r="J58" t="str">
            <v/>
          </cell>
          <cell r="K58">
            <v>0</v>
          </cell>
          <cell r="L58">
            <v>1995</v>
          </cell>
          <cell r="M58" t="str">
            <v>DE</v>
          </cell>
          <cell r="N58" t="e">
            <v>#N/A</v>
          </cell>
          <cell r="O58">
            <v>62423.6</v>
          </cell>
          <cell r="P58" t="e">
            <v>#NAME?</v>
          </cell>
          <cell r="Q58" t="e">
            <v>#N/A</v>
          </cell>
          <cell r="R58">
            <v>0</v>
          </cell>
          <cell r="S58" t="e">
            <v>#NAME?</v>
          </cell>
          <cell r="T58" t="e">
            <v>#NAME?</v>
          </cell>
          <cell r="U58" t="e">
            <v>#NAME?</v>
          </cell>
          <cell r="W58">
            <v>0</v>
          </cell>
          <cell r="X58" t="e">
            <v>#NAME?</v>
          </cell>
          <cell r="Y58" t="e">
            <v>#NAME?</v>
          </cell>
          <cell r="AA58">
            <v>0</v>
          </cell>
          <cell r="AB58" t="e">
            <v>#NAME?</v>
          </cell>
          <cell r="AC58" t="e">
            <v>#NAME?</v>
          </cell>
          <cell r="AD58" t="e">
            <v>#NAME?</v>
          </cell>
          <cell r="AE58" t="e">
            <v>#NAME?</v>
          </cell>
          <cell r="AF58" t="e">
            <v>#NAME?</v>
          </cell>
          <cell r="AG58" t="e">
            <v>#NAME?</v>
          </cell>
          <cell r="AH58" t="str">
            <v/>
          </cell>
          <cell r="AI58" t="str">
            <v/>
          </cell>
          <cell r="AK58">
            <v>0</v>
          </cell>
          <cell r="AL58" t="str">
            <v/>
          </cell>
          <cell r="AM58" t="str">
            <v/>
          </cell>
          <cell r="AP58">
            <v>1</v>
          </cell>
          <cell r="AQ58">
            <v>0</v>
          </cell>
        </row>
        <row r="59">
          <cell r="A59" t="str">
            <v>EFV</v>
          </cell>
          <cell r="B59" t="str">
            <v>EFV</v>
          </cell>
          <cell r="C59" t="str">
            <v>General Dynamics</v>
          </cell>
          <cell r="D59" t="str">
            <v>General Dynamics</v>
          </cell>
          <cell r="E59" t="str">
            <v/>
          </cell>
          <cell r="G59">
            <v>1</v>
          </cell>
          <cell r="H59" t="str">
            <v/>
          </cell>
          <cell r="I59" t="str">
            <v/>
          </cell>
          <cell r="J59" t="str">
            <v/>
          </cell>
          <cell r="K59" t="str">
            <v>Navy</v>
          </cell>
          <cell r="L59">
            <v>2007</v>
          </cell>
          <cell r="M59" t="str">
            <v>DE</v>
          </cell>
          <cell r="N59" t="e">
            <v>#N/A</v>
          </cell>
          <cell r="O59" t="e">
            <v>#N/A</v>
          </cell>
          <cell r="P59" t="e">
            <v>#NAME?</v>
          </cell>
          <cell r="Q59" t="e">
            <v>#N/A</v>
          </cell>
          <cell r="R59">
            <v>0</v>
          </cell>
          <cell r="S59" t="e">
            <v>#NAME?</v>
          </cell>
          <cell r="T59" t="e">
            <v>#NAME?</v>
          </cell>
          <cell r="U59" t="e">
            <v>#NAME?</v>
          </cell>
          <cell r="W59">
            <v>0</v>
          </cell>
          <cell r="X59" t="e">
            <v>#NAME?</v>
          </cell>
          <cell r="Y59" t="e">
            <v>#NAME?</v>
          </cell>
          <cell r="AA59">
            <v>0</v>
          </cell>
          <cell r="AB59" t="e">
            <v>#NAME?</v>
          </cell>
          <cell r="AC59" t="e">
            <v>#NAME?</v>
          </cell>
          <cell r="AD59" t="e">
            <v>#NAME?</v>
          </cell>
          <cell r="AE59" t="e">
            <v>#NAME?</v>
          </cell>
          <cell r="AF59" t="e">
            <v>#NAME?</v>
          </cell>
          <cell r="AG59" t="e">
            <v>#NAME?</v>
          </cell>
          <cell r="AH59" t="str">
            <v/>
          </cell>
          <cell r="AI59" t="str">
            <v/>
          </cell>
          <cell r="AK59">
            <v>0</v>
          </cell>
          <cell r="AL59" t="str">
            <v/>
          </cell>
          <cell r="AM59" t="str">
            <v/>
          </cell>
          <cell r="AP59">
            <v>1</v>
          </cell>
          <cell r="AQ59">
            <v>0</v>
          </cell>
        </row>
        <row r="60">
          <cell r="A60" t="str">
            <v>E-IBCT</v>
          </cell>
          <cell r="B60" t="str">
            <v>E-IBCT</v>
          </cell>
          <cell r="C60" t="str">
            <v>Boeing</v>
          </cell>
          <cell r="D60" t="str">
            <v>Boeing</v>
          </cell>
          <cell r="E60" t="str">
            <v xml:space="preserve">SAIC </v>
          </cell>
          <cell r="G60">
            <v>0</v>
          </cell>
          <cell r="H60" t="str">
            <v/>
          </cell>
          <cell r="I60" t="str">
            <v/>
          </cell>
          <cell r="J60" t="str">
            <v/>
          </cell>
          <cell r="K60" t="str">
            <v>Army</v>
          </cell>
          <cell r="L60">
            <v>2010</v>
          </cell>
          <cell r="M60" t="str">
            <v>PdE</v>
          </cell>
          <cell r="N60" t="e">
            <v>#N/A</v>
          </cell>
          <cell r="O60">
            <v>12518.500000000002</v>
          </cell>
          <cell r="P60" t="e">
            <v>#NAME?</v>
          </cell>
          <cell r="Q60" t="e">
            <v>#N/A</v>
          </cell>
          <cell r="R60">
            <v>0</v>
          </cell>
          <cell r="S60" t="e">
            <v>#NAME?</v>
          </cell>
          <cell r="T60" t="e">
            <v>#NAME?</v>
          </cell>
          <cell r="U60" t="e">
            <v>#NAME?</v>
          </cell>
          <cell r="W60">
            <v>0</v>
          </cell>
          <cell r="X60" t="e">
            <v>#NAME?</v>
          </cell>
          <cell r="Y60" t="e">
            <v>#NAME?</v>
          </cell>
          <cell r="AA60">
            <v>0</v>
          </cell>
          <cell r="AB60" t="e">
            <v>#NAME?</v>
          </cell>
          <cell r="AC60" t="e">
            <v>#NAME?</v>
          </cell>
          <cell r="AD60" t="e">
            <v>#NAME?</v>
          </cell>
          <cell r="AE60" t="e">
            <v>#NAME?</v>
          </cell>
          <cell r="AF60" t="e">
            <v>#NAME?</v>
          </cell>
          <cell r="AG60" t="e">
            <v>#NAME?</v>
          </cell>
          <cell r="AH60" t="str">
            <v/>
          </cell>
          <cell r="AI60" t="str">
            <v/>
          </cell>
          <cell r="AK60">
            <v>0</v>
          </cell>
          <cell r="AL60" t="str">
            <v/>
          </cell>
          <cell r="AM60" t="str">
            <v/>
          </cell>
          <cell r="AP60">
            <v>1</v>
          </cell>
          <cell r="AQ60">
            <v>1</v>
          </cell>
        </row>
        <row r="61">
          <cell r="A61" t="str">
            <v>ER/MP UAS</v>
          </cell>
          <cell r="B61" t="str">
            <v>ER/MP UAS</v>
          </cell>
          <cell r="C61" t="str">
            <v>General Atomics Aeronautical Systems</v>
          </cell>
          <cell r="D61" t="str">
            <v>General Atomics Aeronautical Systems</v>
          </cell>
          <cell r="E61" t="str">
            <v/>
          </cell>
          <cell r="G61">
            <v>1</v>
          </cell>
          <cell r="H61" t="str">
            <v/>
          </cell>
          <cell r="I61" t="str">
            <v/>
          </cell>
          <cell r="J61" t="str">
            <v/>
          </cell>
          <cell r="K61" t="str">
            <v>Army</v>
          </cell>
          <cell r="L61" t="str">
            <v/>
          </cell>
          <cell r="M61" t="str">
            <v/>
          </cell>
          <cell r="N61" t="e">
            <v>#N/A</v>
          </cell>
          <cell r="O61" t="e">
            <v>#N/A</v>
          </cell>
          <cell r="P61" t="e">
            <v>#NAME?</v>
          </cell>
          <cell r="Q61" t="e">
            <v>#N/A</v>
          </cell>
          <cell r="R61">
            <v>0</v>
          </cell>
          <cell r="S61" t="e">
            <v>#NAME?</v>
          </cell>
          <cell r="T61" t="e">
            <v>#NAME?</v>
          </cell>
          <cell r="U61" t="e">
            <v>#NAME?</v>
          </cell>
          <cell r="W61">
            <v>0</v>
          </cell>
          <cell r="X61" t="e">
            <v>#NAME?</v>
          </cell>
          <cell r="Y61" t="e">
            <v>#NAME?</v>
          </cell>
          <cell r="AA61">
            <v>0</v>
          </cell>
          <cell r="AB61" t="e">
            <v>#NAME?</v>
          </cell>
          <cell r="AC61" t="e">
            <v>#NAME?</v>
          </cell>
          <cell r="AD61" t="e">
            <v>#NAME?</v>
          </cell>
          <cell r="AE61" t="e">
            <v>#NAME?</v>
          </cell>
          <cell r="AF61" t="e">
            <v>#NAME?</v>
          </cell>
          <cell r="AG61" t="e">
            <v>#NAME?</v>
          </cell>
          <cell r="AH61" t="str">
            <v/>
          </cell>
          <cell r="AI61" t="str">
            <v/>
          </cell>
          <cell r="AK61">
            <v>0</v>
          </cell>
          <cell r="AL61" t="str">
            <v/>
          </cell>
          <cell r="AM61" t="str">
            <v/>
          </cell>
          <cell r="AP61">
            <v>1</v>
          </cell>
          <cell r="AQ61">
            <v>0</v>
          </cell>
        </row>
        <row r="62">
          <cell r="A62" t="str">
            <v>ERM</v>
          </cell>
          <cell r="B62" t="str">
            <v>ERM</v>
          </cell>
          <cell r="C62" t="str">
            <v>Raytheon</v>
          </cell>
          <cell r="D62" t="str">
            <v>Raytheon</v>
          </cell>
          <cell r="E62" t="str">
            <v/>
          </cell>
          <cell r="G62">
            <v>1</v>
          </cell>
          <cell r="H62" t="str">
            <v/>
          </cell>
          <cell r="I62" t="str">
            <v/>
          </cell>
          <cell r="J62" t="str">
            <v/>
          </cell>
          <cell r="K62" t="str">
            <v>Navy</v>
          </cell>
          <cell r="L62">
            <v>2005</v>
          </cell>
          <cell r="M62" t="str">
            <v>DE</v>
          </cell>
          <cell r="N62" t="e">
            <v>#N/A</v>
          </cell>
          <cell r="O62" t="e">
            <v>#N/A</v>
          </cell>
          <cell r="P62" t="e">
            <v>#NAME?</v>
          </cell>
          <cell r="Q62" t="e">
            <v>#N/A</v>
          </cell>
          <cell r="R62">
            <v>0</v>
          </cell>
          <cell r="S62" t="e">
            <v>#NAME?</v>
          </cell>
          <cell r="T62" t="e">
            <v>#NAME?</v>
          </cell>
          <cell r="U62" t="e">
            <v>#NAME?</v>
          </cell>
          <cell r="W62">
            <v>0</v>
          </cell>
          <cell r="X62" t="e">
            <v>#NAME?</v>
          </cell>
          <cell r="Y62" t="e">
            <v>#NAME?</v>
          </cell>
          <cell r="AA62">
            <v>0</v>
          </cell>
          <cell r="AB62" t="e">
            <v>#NAME?</v>
          </cell>
          <cell r="AC62" t="e">
            <v>#NAME?</v>
          </cell>
          <cell r="AD62" t="e">
            <v>#NAME?</v>
          </cell>
          <cell r="AE62" t="e">
            <v>#NAME?</v>
          </cell>
          <cell r="AF62" t="e">
            <v>#NAME?</v>
          </cell>
          <cell r="AG62" t="e">
            <v>#NAME?</v>
          </cell>
          <cell r="AH62" t="str">
            <v/>
          </cell>
          <cell r="AI62" t="str">
            <v/>
          </cell>
          <cell r="AK62">
            <v>0</v>
          </cell>
          <cell r="AL62" t="str">
            <v/>
          </cell>
          <cell r="AM62" t="str">
            <v/>
          </cell>
          <cell r="AP62">
            <v>1</v>
          </cell>
          <cell r="AQ62">
            <v>0</v>
          </cell>
        </row>
        <row r="63">
          <cell r="A63" t="str">
            <v>EXCALIBUR</v>
          </cell>
          <cell r="B63" t="str">
            <v>EXCALIBUR</v>
          </cell>
          <cell r="C63" t="str">
            <v>Raytheon</v>
          </cell>
          <cell r="D63" t="str">
            <v>Raytheon</v>
          </cell>
          <cell r="E63" t="str">
            <v>BAE Bofors</v>
          </cell>
          <cell r="G63">
            <v>0</v>
          </cell>
          <cell r="H63" t="str">
            <v>General Dynamics, Bofors Defence</v>
          </cell>
          <cell r="I63" t="str">
            <v/>
          </cell>
          <cell r="J63" t="str">
            <v/>
          </cell>
          <cell r="K63" t="str">
            <v>Army</v>
          </cell>
          <cell r="L63">
            <v>2007</v>
          </cell>
          <cell r="M63" t="str">
            <v>PdE</v>
          </cell>
          <cell r="N63">
            <v>-1.1000000000000001</v>
          </cell>
          <cell r="O63" t="e">
            <v>#NAME?</v>
          </cell>
          <cell r="P63" t="e">
            <v>#NAME?</v>
          </cell>
          <cell r="Q63" t="e">
            <v>#NAME?</v>
          </cell>
          <cell r="R63">
            <v>0</v>
          </cell>
          <cell r="S63" t="e">
            <v>#NAME?</v>
          </cell>
          <cell r="T63" t="e">
            <v>#NAME?</v>
          </cell>
          <cell r="U63" t="e">
            <v>#NAME?</v>
          </cell>
          <cell r="W63">
            <v>0</v>
          </cell>
          <cell r="X63" t="e">
            <v>#NAME?</v>
          </cell>
          <cell r="Y63" t="e">
            <v>#NAME?</v>
          </cell>
          <cell r="AA63">
            <v>0</v>
          </cell>
          <cell r="AB63" t="e">
            <v>#NAME?</v>
          </cell>
          <cell r="AC63" t="e">
            <v>#NAME?</v>
          </cell>
          <cell r="AD63" t="e">
            <v>#NAME?</v>
          </cell>
          <cell r="AE63" t="e">
            <v>#NAME?</v>
          </cell>
          <cell r="AF63" t="e">
            <v>#NAME?</v>
          </cell>
          <cell r="AG63" t="e">
            <v>#NAME?</v>
          </cell>
          <cell r="AH63" t="str">
            <v/>
          </cell>
          <cell r="AI63" t="str">
            <v/>
          </cell>
          <cell r="AK63">
            <v>0</v>
          </cell>
          <cell r="AL63" t="str">
            <v/>
          </cell>
          <cell r="AM63" t="str">
            <v/>
          </cell>
          <cell r="AP63">
            <v>1</v>
          </cell>
          <cell r="AQ63">
            <v>1</v>
          </cell>
        </row>
        <row r="64">
          <cell r="A64" t="str">
            <v>F/A-18E/F</v>
          </cell>
          <cell r="B64" t="str">
            <v>F/A-18E/F</v>
          </cell>
          <cell r="C64" t="str">
            <v>Boeing</v>
          </cell>
          <cell r="D64" t="str">
            <v>Boeing</v>
          </cell>
          <cell r="E64" t="str">
            <v>(Northrop Grumman, GE Aviation, Raytheon all contribute)</v>
          </cell>
          <cell r="G64">
            <v>0</v>
          </cell>
          <cell r="H64" t="str">
            <v>General Electric, Raytheon, BAE, Honeywell, Harris, Dyncorp, Northrop Grumman</v>
          </cell>
          <cell r="I64" t="str">
            <v/>
          </cell>
          <cell r="J64" t="str">
            <v/>
          </cell>
          <cell r="K64" t="str">
            <v>Navy</v>
          </cell>
          <cell r="L64">
            <v>2000</v>
          </cell>
          <cell r="M64" t="str">
            <v>PdE</v>
          </cell>
          <cell r="N64">
            <v>5</v>
          </cell>
          <cell r="O64" t="e">
            <v>#NAME?</v>
          </cell>
          <cell r="P64" t="e">
            <v>#NAME?</v>
          </cell>
          <cell r="Q64" t="e">
            <v>#NAME?</v>
          </cell>
          <cell r="R64">
            <v>0</v>
          </cell>
          <cell r="S64" t="e">
            <v>#NAME?</v>
          </cell>
          <cell r="T64" t="e">
            <v>#NAME?</v>
          </cell>
          <cell r="U64" t="e">
            <v>#NAME?</v>
          </cell>
          <cell r="W64">
            <v>0</v>
          </cell>
          <cell r="X64" t="e">
            <v>#NAME?</v>
          </cell>
          <cell r="Y64" t="e">
            <v>#NAME?</v>
          </cell>
          <cell r="AA64">
            <v>0</v>
          </cell>
          <cell r="AB64" t="e">
            <v>#NAME?</v>
          </cell>
          <cell r="AC64" t="e">
            <v>#NAME?</v>
          </cell>
          <cell r="AD64" t="e">
            <v>#NAME?</v>
          </cell>
          <cell r="AE64" t="e">
            <v>#NAME?</v>
          </cell>
          <cell r="AF64" t="e">
            <v>#NAME?</v>
          </cell>
          <cell r="AG64" t="e">
            <v>#NAME?</v>
          </cell>
          <cell r="AH64" t="str">
            <v/>
          </cell>
          <cell r="AI64" t="str">
            <v/>
          </cell>
          <cell r="AK64">
            <v>0</v>
          </cell>
          <cell r="AL64" t="str">
            <v/>
          </cell>
          <cell r="AM64" t="str">
            <v/>
          </cell>
          <cell r="AP64">
            <v>1</v>
          </cell>
          <cell r="AQ64">
            <v>1</v>
          </cell>
        </row>
        <row r="65">
          <cell r="A65" t="str">
            <v>F-22</v>
          </cell>
          <cell r="B65" t="str">
            <v>F-22</v>
          </cell>
          <cell r="C65" t="str">
            <v>Lockheed Martin, Boeing, Pratt &amp; Whitney</v>
          </cell>
          <cell r="D65" t="str">
            <v>Lockheed Martin, Boeing, Pratt &amp; Whitney</v>
          </cell>
          <cell r="E65" t="str">
            <v/>
          </cell>
          <cell r="G65">
            <v>1</v>
          </cell>
          <cell r="H65" t="str">
            <v>Boeing, Pratt and Whitney (UTC), Rockwell Collins, ITT</v>
          </cell>
          <cell r="I65" t="str">
            <v/>
          </cell>
          <cell r="J65" t="str">
            <v/>
          </cell>
          <cell r="K65" t="str">
            <v>Air Force</v>
          </cell>
          <cell r="L65">
            <v>2005</v>
          </cell>
          <cell r="M65" t="str">
            <v>PdE</v>
          </cell>
          <cell r="N65" t="e">
            <v>#N/A</v>
          </cell>
          <cell r="O65" t="e">
            <v>#N/A</v>
          </cell>
          <cell r="P65" t="e">
            <v>#NAME?</v>
          </cell>
          <cell r="Q65" t="e">
            <v>#N/A</v>
          </cell>
          <cell r="R65">
            <v>0</v>
          </cell>
          <cell r="S65" t="e">
            <v>#NAME?</v>
          </cell>
          <cell r="T65" t="e">
            <v>#NAME?</v>
          </cell>
          <cell r="U65" t="e">
            <v>#NAME?</v>
          </cell>
          <cell r="W65">
            <v>0</v>
          </cell>
          <cell r="X65" t="e">
            <v>#NAME?</v>
          </cell>
          <cell r="Y65" t="e">
            <v>#NAME?</v>
          </cell>
          <cell r="AA65">
            <v>0</v>
          </cell>
          <cell r="AB65" t="e">
            <v>#NAME?</v>
          </cell>
          <cell r="AC65" t="e">
            <v>#NAME?</v>
          </cell>
          <cell r="AD65" t="e">
            <v>#NAME?</v>
          </cell>
          <cell r="AE65" t="e">
            <v>#NAME?</v>
          </cell>
          <cell r="AF65" t="e">
            <v>#NAME?</v>
          </cell>
          <cell r="AG65" t="e">
            <v>#NAME?</v>
          </cell>
          <cell r="AH65" t="str">
            <v/>
          </cell>
          <cell r="AI65" t="str">
            <v/>
          </cell>
          <cell r="AK65">
            <v>0</v>
          </cell>
          <cell r="AL65" t="str">
            <v/>
          </cell>
          <cell r="AM65" t="str">
            <v/>
          </cell>
          <cell r="AP65">
            <v>1</v>
          </cell>
          <cell r="AQ65">
            <v>0</v>
          </cell>
        </row>
        <row r="66">
          <cell r="A66" t="str">
            <v>F-35</v>
          </cell>
          <cell r="B66" t="str">
            <v>F-35</v>
          </cell>
          <cell r="C66" t="str">
            <v>Lockheed Martin</v>
          </cell>
          <cell r="D66" t="str">
            <v>Lockheed Martin</v>
          </cell>
          <cell r="E66" t="str">
            <v/>
          </cell>
          <cell r="G66">
            <v>1</v>
          </cell>
          <cell r="H66" t="str">
            <v>Pratt and Whitney (UTC), General Electric/Rolls-Royce, BAE, Rockwell Collins, Boeing, Northrop Grumman</v>
          </cell>
          <cell r="I66" t="str">
            <v/>
          </cell>
          <cell r="J66" t="str">
            <v/>
          </cell>
          <cell r="K66" t="str">
            <v>DoD-wide</v>
          </cell>
          <cell r="L66">
            <v>2002</v>
          </cell>
          <cell r="M66" t="str">
            <v>DE</v>
          </cell>
          <cell r="N66" t="e">
            <v>#N/A</v>
          </cell>
          <cell r="O66" t="e">
            <v>#N/A</v>
          </cell>
          <cell r="P66" t="e">
            <v>#NAME?</v>
          </cell>
          <cell r="Q66" t="e">
            <v>#N/A</v>
          </cell>
          <cell r="R66">
            <v>0</v>
          </cell>
          <cell r="S66" t="e">
            <v>#NAME?</v>
          </cell>
          <cell r="T66" t="e">
            <v>#NAME?</v>
          </cell>
          <cell r="U66" t="e">
            <v>#NAME?</v>
          </cell>
          <cell r="W66">
            <v>0</v>
          </cell>
          <cell r="X66" t="e">
            <v>#NAME?</v>
          </cell>
          <cell r="Y66" t="e">
            <v>#NAME?</v>
          </cell>
          <cell r="AA66">
            <v>0</v>
          </cell>
          <cell r="AB66" t="e">
            <v>#NAME?</v>
          </cell>
          <cell r="AC66" t="e">
            <v>#NAME?</v>
          </cell>
          <cell r="AD66" t="e">
            <v>#NAME?</v>
          </cell>
          <cell r="AE66" t="e">
            <v>#NAME?</v>
          </cell>
          <cell r="AF66" t="e">
            <v>#NAME?</v>
          </cell>
          <cell r="AG66" t="e">
            <v>#NAME?</v>
          </cell>
          <cell r="AH66" t="str">
            <v/>
          </cell>
          <cell r="AI66" t="str">
            <v/>
          </cell>
          <cell r="AK66">
            <v>0</v>
          </cell>
          <cell r="AL66" t="str">
            <v/>
          </cell>
          <cell r="AM66" t="str">
            <v/>
          </cell>
          <cell r="AP66">
            <v>1</v>
          </cell>
          <cell r="AQ66">
            <v>0</v>
          </cell>
        </row>
        <row r="67">
          <cell r="A67" t="str">
            <v>F-35 Aircraft</v>
          </cell>
          <cell r="B67" t="str">
            <v>F-35 Aircraft</v>
          </cell>
          <cell r="C67">
            <v>0</v>
          </cell>
          <cell r="D67">
            <v>0</v>
          </cell>
          <cell r="E67" t="str">
            <v/>
          </cell>
          <cell r="G67">
            <v>1</v>
          </cell>
          <cell r="H67" t="str">
            <v/>
          </cell>
          <cell r="I67" t="str">
            <v/>
          </cell>
          <cell r="J67" t="str">
            <v/>
          </cell>
          <cell r="K67">
            <v>0</v>
          </cell>
          <cell r="L67">
            <v>2012</v>
          </cell>
          <cell r="M67" t="str">
            <v>DE</v>
          </cell>
          <cell r="N67">
            <v>91.9</v>
          </cell>
          <cell r="O67" t="e">
            <v>#NAME?</v>
          </cell>
          <cell r="P67" t="e">
            <v>#NAME?</v>
          </cell>
          <cell r="Q67" t="e">
            <v>#NAME?</v>
          </cell>
          <cell r="R67">
            <v>0</v>
          </cell>
          <cell r="S67" t="e">
            <v>#NAME?</v>
          </cell>
          <cell r="T67" t="e">
            <v>#NAME?</v>
          </cell>
          <cell r="U67" t="e">
            <v>#NAME?</v>
          </cell>
          <cell r="W67">
            <v>0</v>
          </cell>
          <cell r="X67" t="e">
            <v>#NAME?</v>
          </cell>
          <cell r="Y67" t="e">
            <v>#NAME?</v>
          </cell>
          <cell r="AA67">
            <v>0</v>
          </cell>
          <cell r="AB67" t="e">
            <v>#NAME?</v>
          </cell>
          <cell r="AC67" t="e">
            <v>#NAME?</v>
          </cell>
          <cell r="AD67" t="e">
            <v>#NAME?</v>
          </cell>
          <cell r="AE67" t="e">
            <v>#NAME?</v>
          </cell>
          <cell r="AF67" t="e">
            <v>#NAME?</v>
          </cell>
          <cell r="AG67" t="e">
            <v>#NAME?</v>
          </cell>
          <cell r="AH67" t="str">
            <v/>
          </cell>
          <cell r="AI67" t="str">
            <v/>
          </cell>
          <cell r="AK67">
            <v>0</v>
          </cell>
          <cell r="AL67" t="str">
            <v/>
          </cell>
          <cell r="AM67" t="str">
            <v/>
          </cell>
          <cell r="AP67">
            <v>1</v>
          </cell>
          <cell r="AQ67">
            <v>0</v>
          </cell>
        </row>
        <row r="68">
          <cell r="A68" t="str">
            <v>F-35 Engine</v>
          </cell>
          <cell r="B68" t="str">
            <v>F-35 Engine</v>
          </cell>
          <cell r="C68">
            <v>0</v>
          </cell>
          <cell r="D68">
            <v>0</v>
          </cell>
          <cell r="E68" t="str">
            <v/>
          </cell>
          <cell r="G68">
            <v>1</v>
          </cell>
          <cell r="H68" t="str">
            <v/>
          </cell>
          <cell r="I68" t="str">
            <v/>
          </cell>
          <cell r="J68" t="str">
            <v/>
          </cell>
          <cell r="K68">
            <v>0</v>
          </cell>
          <cell r="L68">
            <v>2012</v>
          </cell>
          <cell r="M68" t="str">
            <v>DE</v>
          </cell>
          <cell r="N68">
            <v>83.7</v>
          </cell>
          <cell r="O68" t="e">
            <v>#NAME?</v>
          </cell>
          <cell r="P68" t="e">
            <v>#NAME?</v>
          </cell>
          <cell r="Q68" t="e">
            <v>#NAME?</v>
          </cell>
          <cell r="R68">
            <v>0</v>
          </cell>
          <cell r="S68" t="e">
            <v>#NAME?</v>
          </cell>
          <cell r="T68" t="e">
            <v>#NAME?</v>
          </cell>
          <cell r="U68" t="e">
            <v>#NAME?</v>
          </cell>
          <cell r="W68">
            <v>0</v>
          </cell>
          <cell r="X68" t="e">
            <v>#NAME?</v>
          </cell>
          <cell r="Y68" t="e">
            <v>#NAME?</v>
          </cell>
          <cell r="AA68">
            <v>0</v>
          </cell>
          <cell r="AB68" t="e">
            <v>#NAME?</v>
          </cell>
          <cell r="AC68" t="e">
            <v>#NAME?</v>
          </cell>
          <cell r="AD68" t="e">
            <v>#NAME?</v>
          </cell>
          <cell r="AE68" t="e">
            <v>#NAME?</v>
          </cell>
          <cell r="AF68" t="e">
            <v>#NAME?</v>
          </cell>
          <cell r="AG68" t="e">
            <v>#NAME?</v>
          </cell>
          <cell r="AH68" t="str">
            <v/>
          </cell>
          <cell r="AI68" t="str">
            <v/>
          </cell>
          <cell r="AK68">
            <v>0</v>
          </cell>
          <cell r="AL68" t="str">
            <v/>
          </cell>
          <cell r="AM68" t="str">
            <v/>
          </cell>
          <cell r="AP68">
            <v>1</v>
          </cell>
          <cell r="AQ68">
            <v>0</v>
          </cell>
        </row>
        <row r="69">
          <cell r="A69" t="str">
            <v>FAB-T</v>
          </cell>
          <cell r="B69" t="str">
            <v>FAB-T</v>
          </cell>
          <cell r="C69" t="str">
            <v>Boeing</v>
          </cell>
          <cell r="D69" t="str">
            <v>Boeing</v>
          </cell>
          <cell r="E69" t="str">
            <v/>
          </cell>
          <cell r="G69">
            <v>1</v>
          </cell>
          <cell r="H69" t="str">
            <v xml:space="preserve">               </v>
          </cell>
          <cell r="I69" t="str">
            <v/>
          </cell>
          <cell r="J69" t="str">
            <v/>
          </cell>
          <cell r="K69" t="str">
            <v>Air Force</v>
          </cell>
          <cell r="L69">
            <v>2002</v>
          </cell>
          <cell r="M69" t="str">
            <v>DE</v>
          </cell>
          <cell r="N69">
            <v>39.9</v>
          </cell>
          <cell r="O69" t="e">
            <v>#NAME?</v>
          </cell>
          <cell r="P69" t="e">
            <v>#NAME?</v>
          </cell>
          <cell r="Q69" t="e">
            <v>#NAME?</v>
          </cell>
          <cell r="R69">
            <v>0</v>
          </cell>
          <cell r="S69" t="e">
            <v>#NAME?</v>
          </cell>
          <cell r="T69" t="e">
            <v>#NAME?</v>
          </cell>
          <cell r="U69" t="e">
            <v>#NAME?</v>
          </cell>
          <cell r="W69">
            <v>0</v>
          </cell>
          <cell r="X69" t="e">
            <v>#NAME?</v>
          </cell>
          <cell r="Y69" t="e">
            <v>#NAME?</v>
          </cell>
          <cell r="AA69">
            <v>0</v>
          </cell>
          <cell r="AB69" t="e">
            <v>#NAME?</v>
          </cell>
          <cell r="AC69" t="e">
            <v>#NAME?</v>
          </cell>
          <cell r="AD69" t="e">
            <v>#NAME?</v>
          </cell>
          <cell r="AE69" t="e">
            <v>#NAME?</v>
          </cell>
          <cell r="AF69" t="e">
            <v>#NAME?</v>
          </cell>
          <cell r="AG69" t="e">
            <v>#NAME?</v>
          </cell>
          <cell r="AH69" t="str">
            <v/>
          </cell>
          <cell r="AI69" t="str">
            <v/>
          </cell>
          <cell r="AK69">
            <v>0</v>
          </cell>
          <cell r="AL69" t="str">
            <v/>
          </cell>
          <cell r="AM69" t="str">
            <v/>
          </cell>
          <cell r="AP69">
            <v>1</v>
          </cell>
          <cell r="AQ69">
            <v>0</v>
          </cell>
        </row>
        <row r="70">
          <cell r="A70" t="str">
            <v>FBCB2</v>
          </cell>
          <cell r="B70" t="str">
            <v>FBCB2</v>
          </cell>
          <cell r="C70" t="str">
            <v>Northrop Grumman</v>
          </cell>
          <cell r="D70" t="str">
            <v>Northrop Grumman</v>
          </cell>
          <cell r="E70" t="str">
            <v/>
          </cell>
          <cell r="G70">
            <v>1</v>
          </cell>
          <cell r="H70" t="str">
            <v xml:space="preserve">DRS </v>
          </cell>
          <cell r="I70" t="str">
            <v/>
          </cell>
          <cell r="J70" t="str">
            <v/>
          </cell>
          <cell r="K70" t="str">
            <v>Army</v>
          </cell>
          <cell r="L70">
            <v>2005</v>
          </cell>
          <cell r="M70" t="str">
            <v>PdE</v>
          </cell>
          <cell r="N70" t="e">
            <v>#N/A</v>
          </cell>
          <cell r="O70" t="e">
            <v>#N/A</v>
          </cell>
          <cell r="P70" t="e">
            <v>#NAME?</v>
          </cell>
          <cell r="Q70" t="e">
            <v>#N/A</v>
          </cell>
          <cell r="R70">
            <v>0</v>
          </cell>
          <cell r="S70" t="e">
            <v>#NAME?</v>
          </cell>
          <cell r="T70" t="e">
            <v>#NAME?</v>
          </cell>
          <cell r="U70" t="e">
            <v>#NAME?</v>
          </cell>
          <cell r="W70">
            <v>0</v>
          </cell>
          <cell r="X70" t="e">
            <v>#NAME?</v>
          </cell>
          <cell r="Y70" t="e">
            <v>#NAME?</v>
          </cell>
          <cell r="AA70">
            <v>0</v>
          </cell>
          <cell r="AB70" t="e">
            <v>#NAME?</v>
          </cell>
          <cell r="AC70" t="e">
            <v>#NAME?</v>
          </cell>
          <cell r="AD70" t="e">
            <v>#NAME?</v>
          </cell>
          <cell r="AE70" t="e">
            <v>#NAME?</v>
          </cell>
          <cell r="AF70" t="e">
            <v>#NAME?</v>
          </cell>
          <cell r="AG70" t="e">
            <v>#NAME?</v>
          </cell>
          <cell r="AH70" t="str">
            <v/>
          </cell>
          <cell r="AI70" t="str">
            <v/>
          </cell>
          <cell r="AK70">
            <v>0</v>
          </cell>
          <cell r="AL70" t="str">
            <v/>
          </cell>
          <cell r="AM70" t="str">
            <v/>
          </cell>
          <cell r="AP70">
            <v>1</v>
          </cell>
          <cell r="AQ70">
            <v>0</v>
          </cell>
        </row>
        <row r="71">
          <cell r="A71" t="str">
            <v>FCS</v>
          </cell>
          <cell r="B71" t="str">
            <v>FCS</v>
          </cell>
          <cell r="C71" t="str">
            <v>Boeing</v>
          </cell>
          <cell r="D71" t="str">
            <v>Boeing</v>
          </cell>
          <cell r="E71" t="str">
            <v>SAIC</v>
          </cell>
          <cell r="G71">
            <v>0</v>
          </cell>
          <cell r="H71" t="str">
            <v>BAE, General Dynamics</v>
          </cell>
          <cell r="I71" t="str">
            <v/>
          </cell>
          <cell r="J71" t="str">
            <v/>
          </cell>
          <cell r="K71" t="str">
            <v>Army</v>
          </cell>
          <cell r="L71">
            <v>2003</v>
          </cell>
          <cell r="M71" t="str">
            <v>DE</v>
          </cell>
          <cell r="N71" t="e">
            <v>#N/A</v>
          </cell>
          <cell r="O71" t="e">
            <v>#N/A</v>
          </cell>
          <cell r="P71" t="e">
            <v>#NAME?</v>
          </cell>
          <cell r="Q71" t="e">
            <v>#N/A</v>
          </cell>
          <cell r="R71">
            <v>0</v>
          </cell>
          <cell r="S71" t="e">
            <v>#NAME?</v>
          </cell>
          <cell r="T71" t="e">
            <v>#NAME?</v>
          </cell>
          <cell r="U71" t="e">
            <v>#NAME?</v>
          </cell>
          <cell r="W71">
            <v>0</v>
          </cell>
          <cell r="X71" t="e">
            <v>#NAME?</v>
          </cell>
          <cell r="Y71" t="e">
            <v>#NAME?</v>
          </cell>
          <cell r="AA71">
            <v>0</v>
          </cell>
          <cell r="AB71" t="e">
            <v>#NAME?</v>
          </cell>
          <cell r="AC71" t="e">
            <v>#NAME?</v>
          </cell>
          <cell r="AD71" t="e">
            <v>#NAME?</v>
          </cell>
          <cell r="AE71" t="e">
            <v>#NAME?</v>
          </cell>
          <cell r="AF71" t="e">
            <v>#NAME?</v>
          </cell>
          <cell r="AG71" t="e">
            <v>#NAME?</v>
          </cell>
          <cell r="AH71" t="str">
            <v/>
          </cell>
          <cell r="AI71" t="str">
            <v/>
          </cell>
          <cell r="AK71">
            <v>0</v>
          </cell>
          <cell r="AL71" t="str">
            <v/>
          </cell>
          <cell r="AM71" t="str">
            <v/>
          </cell>
          <cell r="AP71">
            <v>1</v>
          </cell>
          <cell r="AQ71">
            <v>1</v>
          </cell>
        </row>
        <row r="72">
          <cell r="A72" t="str">
            <v>FMTV</v>
          </cell>
          <cell r="B72" t="str">
            <v>FMTV</v>
          </cell>
          <cell r="C72" t="str">
            <v>Oshkosh (2011)</v>
          </cell>
          <cell r="D72" t="str">
            <v>Oshkosh (2011)</v>
          </cell>
          <cell r="E72" t="str">
            <v/>
          </cell>
          <cell r="G72">
            <v>1</v>
          </cell>
          <cell r="H72" t="str">
            <v xml:space="preserve">BAE, Cummins, </v>
          </cell>
          <cell r="I72" t="str">
            <v/>
          </cell>
          <cell r="J72" t="str">
            <v/>
          </cell>
          <cell r="K72" t="str">
            <v>Army</v>
          </cell>
          <cell r="L72">
            <v>1996</v>
          </cell>
          <cell r="M72" t="str">
            <v>PdE</v>
          </cell>
          <cell r="N72">
            <v>-6</v>
          </cell>
          <cell r="O72" t="e">
            <v>#NAME?</v>
          </cell>
          <cell r="P72" t="e">
            <v>#NAME?</v>
          </cell>
          <cell r="Q72" t="e">
            <v>#NAME?</v>
          </cell>
          <cell r="R72">
            <v>0</v>
          </cell>
          <cell r="S72" t="e">
            <v>#NAME?</v>
          </cell>
          <cell r="T72" t="e">
            <v>#NAME?</v>
          </cell>
          <cell r="U72" t="e">
            <v>#NAME?</v>
          </cell>
          <cell r="W72">
            <v>0</v>
          </cell>
          <cell r="X72" t="e">
            <v>#NAME?</v>
          </cell>
          <cell r="Y72" t="e">
            <v>#NAME?</v>
          </cell>
          <cell r="AA72">
            <v>0</v>
          </cell>
          <cell r="AB72" t="e">
            <v>#NAME?</v>
          </cell>
          <cell r="AC72" t="e">
            <v>#NAME?</v>
          </cell>
          <cell r="AD72" t="e">
            <v>#NAME?</v>
          </cell>
          <cell r="AE72" t="e">
            <v>#NAME?</v>
          </cell>
          <cell r="AF72" t="e">
            <v>#NAME?</v>
          </cell>
          <cell r="AG72" t="e">
            <v>#NAME?</v>
          </cell>
          <cell r="AH72" t="str">
            <v/>
          </cell>
          <cell r="AI72" t="str">
            <v/>
          </cell>
          <cell r="AK72">
            <v>0</v>
          </cell>
          <cell r="AL72" t="str">
            <v/>
          </cell>
          <cell r="AM72" t="str">
            <v/>
          </cell>
          <cell r="AP72">
            <v>1</v>
          </cell>
          <cell r="AQ72">
            <v>0</v>
          </cell>
        </row>
        <row r="73">
          <cell r="A73" t="str">
            <v>GBS</v>
          </cell>
          <cell r="B73" t="str">
            <v>GBS</v>
          </cell>
          <cell r="C73" t="str">
            <v>Raytheon</v>
          </cell>
          <cell r="D73" t="str">
            <v>Raytheon</v>
          </cell>
          <cell r="E73" t="str">
            <v/>
          </cell>
          <cell r="G73">
            <v>1</v>
          </cell>
          <cell r="H73" t="str">
            <v>BAE, Booz Allen Hamilton</v>
          </cell>
          <cell r="I73" t="str">
            <v/>
          </cell>
          <cell r="J73" t="str">
            <v/>
          </cell>
          <cell r="K73" t="str">
            <v>Air Force</v>
          </cell>
          <cell r="L73">
            <v>1997</v>
          </cell>
          <cell r="M73" t="str">
            <v>DE</v>
          </cell>
          <cell r="N73">
            <v>21.8</v>
          </cell>
          <cell r="O73" t="e">
            <v>#NAME?</v>
          </cell>
          <cell r="P73" t="e">
            <v>#NAME?</v>
          </cell>
          <cell r="Q73" t="e">
            <v>#NAME?</v>
          </cell>
          <cell r="R73">
            <v>0</v>
          </cell>
          <cell r="S73" t="e">
            <v>#NAME?</v>
          </cell>
          <cell r="T73" t="e">
            <v>#NAME?</v>
          </cell>
          <cell r="U73" t="e">
            <v>#NAME?</v>
          </cell>
          <cell r="W73">
            <v>0</v>
          </cell>
          <cell r="X73" t="e">
            <v>#NAME?</v>
          </cell>
          <cell r="Y73" t="e">
            <v>#NAME?</v>
          </cell>
          <cell r="AA73">
            <v>0</v>
          </cell>
          <cell r="AB73" t="e">
            <v>#NAME?</v>
          </cell>
          <cell r="AC73" t="e">
            <v>#NAME?</v>
          </cell>
          <cell r="AD73" t="e">
            <v>#NAME?</v>
          </cell>
          <cell r="AE73" t="e">
            <v>#NAME?</v>
          </cell>
          <cell r="AF73" t="e">
            <v>#NAME?</v>
          </cell>
          <cell r="AG73" t="e">
            <v>#NAME?</v>
          </cell>
          <cell r="AH73" t="str">
            <v/>
          </cell>
          <cell r="AI73" t="str">
            <v/>
          </cell>
          <cell r="AK73">
            <v>0</v>
          </cell>
          <cell r="AL73" t="str">
            <v/>
          </cell>
          <cell r="AM73" t="str">
            <v/>
          </cell>
          <cell r="AP73">
            <v>1</v>
          </cell>
          <cell r="AQ73">
            <v>0</v>
          </cell>
        </row>
        <row r="74">
          <cell r="A74" t="str">
            <v>GCSS Army</v>
          </cell>
          <cell r="B74" t="str">
            <v>GCSS Army</v>
          </cell>
          <cell r="C74" t="str">
            <v xml:space="preserve">Northrop Grumman </v>
          </cell>
          <cell r="D74" t="str">
            <v xml:space="preserve">Northrop Grumman </v>
          </cell>
          <cell r="E74" t="str">
            <v/>
          </cell>
          <cell r="G74">
            <v>1</v>
          </cell>
          <cell r="H74" t="str">
            <v/>
          </cell>
          <cell r="I74" t="str">
            <v/>
          </cell>
          <cell r="J74" t="str">
            <v/>
          </cell>
          <cell r="K74">
            <v>0</v>
          </cell>
          <cell r="L74" t="str">
            <v/>
          </cell>
          <cell r="M74" t="str">
            <v/>
          </cell>
          <cell r="N74" t="e">
            <v>#N/A</v>
          </cell>
          <cell r="O74" t="e">
            <v>#N/A</v>
          </cell>
          <cell r="P74" t="e">
            <v>#NAME?</v>
          </cell>
          <cell r="Q74" t="e">
            <v>#N/A</v>
          </cell>
          <cell r="R74">
            <v>0</v>
          </cell>
          <cell r="S74" t="e">
            <v>#NAME?</v>
          </cell>
          <cell r="T74" t="e">
            <v>#NAME?</v>
          </cell>
          <cell r="U74" t="e">
            <v>#NAME?</v>
          </cell>
          <cell r="W74">
            <v>0</v>
          </cell>
          <cell r="X74" t="e">
            <v>#NAME?</v>
          </cell>
          <cell r="Y74" t="e">
            <v>#NAME?</v>
          </cell>
          <cell r="AA74">
            <v>0</v>
          </cell>
          <cell r="AB74" t="e">
            <v>#NAME?</v>
          </cell>
          <cell r="AC74" t="e">
            <v>#NAME?</v>
          </cell>
          <cell r="AD74" t="e">
            <v>#NAME?</v>
          </cell>
          <cell r="AE74" t="e">
            <v>#NAME?</v>
          </cell>
          <cell r="AF74" t="e">
            <v>#NAME?</v>
          </cell>
          <cell r="AG74" t="e">
            <v>#NAME?</v>
          </cell>
          <cell r="AH74" t="str">
            <v/>
          </cell>
          <cell r="AI74" t="str">
            <v/>
          </cell>
          <cell r="AK74">
            <v>0</v>
          </cell>
          <cell r="AL74" t="str">
            <v/>
          </cell>
          <cell r="AM74" t="str">
            <v/>
          </cell>
          <cell r="AP74">
            <v>1</v>
          </cell>
          <cell r="AQ74">
            <v>0</v>
          </cell>
        </row>
        <row r="75">
          <cell r="A75" t="str">
            <v>GMLRS</v>
          </cell>
          <cell r="B75" t="str">
            <v>GMLRS</v>
          </cell>
          <cell r="C75" t="str">
            <v>Lockheed Martin</v>
          </cell>
          <cell r="D75" t="str">
            <v>Lockheed Martin</v>
          </cell>
          <cell r="E75" t="str">
            <v/>
          </cell>
          <cell r="G75">
            <v>1</v>
          </cell>
          <cell r="H75" t="str">
            <v>Titan Dynamics Systems, Honeywell</v>
          </cell>
          <cell r="I75" t="str">
            <v/>
          </cell>
          <cell r="J75" t="str">
            <v/>
          </cell>
          <cell r="K75" t="str">
            <v>Army</v>
          </cell>
          <cell r="L75">
            <v>2003</v>
          </cell>
          <cell r="M75" t="str">
            <v>PdE</v>
          </cell>
          <cell r="N75">
            <v>105.4</v>
          </cell>
          <cell r="O75" t="e">
            <v>#NAME?</v>
          </cell>
          <cell r="P75" t="e">
            <v>#NAME?</v>
          </cell>
          <cell r="Q75" t="e">
            <v>#NAME?</v>
          </cell>
          <cell r="R75">
            <v>0</v>
          </cell>
          <cell r="S75" t="e">
            <v>#NAME?</v>
          </cell>
          <cell r="T75" t="e">
            <v>#NAME?</v>
          </cell>
          <cell r="U75" t="e">
            <v>#NAME?</v>
          </cell>
          <cell r="W75">
            <v>0</v>
          </cell>
          <cell r="X75" t="e">
            <v>#NAME?</v>
          </cell>
          <cell r="Y75" t="e">
            <v>#NAME?</v>
          </cell>
          <cell r="AA75">
            <v>0</v>
          </cell>
          <cell r="AB75" t="e">
            <v>#NAME?</v>
          </cell>
          <cell r="AC75" t="e">
            <v>#NAME?</v>
          </cell>
          <cell r="AD75" t="e">
            <v>#NAME?</v>
          </cell>
          <cell r="AE75" t="e">
            <v>#NAME?</v>
          </cell>
          <cell r="AF75" t="e">
            <v>#NAME?</v>
          </cell>
          <cell r="AG75" t="e">
            <v>#NAME?</v>
          </cell>
          <cell r="AH75" t="str">
            <v/>
          </cell>
          <cell r="AI75" t="str">
            <v/>
          </cell>
          <cell r="AK75">
            <v>0</v>
          </cell>
          <cell r="AL75" t="str">
            <v/>
          </cell>
          <cell r="AM75" t="str">
            <v/>
          </cell>
          <cell r="AP75">
            <v>1</v>
          </cell>
          <cell r="AQ75">
            <v>0</v>
          </cell>
        </row>
        <row r="76">
          <cell r="A76" t="str">
            <v>GPS IIIA</v>
          </cell>
          <cell r="B76" t="str">
            <v>GPS IIIA</v>
          </cell>
          <cell r="C76" t="str">
            <v>Lockheed Martin</v>
          </cell>
          <cell r="D76" t="str">
            <v>Lockheed Martin</v>
          </cell>
          <cell r="E76" t="str">
            <v/>
          </cell>
          <cell r="G76">
            <v>1</v>
          </cell>
          <cell r="H76" t="str">
            <v>ITT, General Dynamics, SNECMA (SAFRAN), CFM, General Electric</v>
          </cell>
          <cell r="I76" t="str">
            <v/>
          </cell>
          <cell r="J76" t="str">
            <v>http://www.lockheedmartin.com/products/GPS/index.html</v>
          </cell>
          <cell r="K76" t="str">
            <v>Air Force</v>
          </cell>
          <cell r="L76">
            <v>2010</v>
          </cell>
          <cell r="M76" t="str">
            <v>PdE</v>
          </cell>
          <cell r="N76">
            <v>-2.4</v>
          </cell>
          <cell r="O76" t="e">
            <v>#NAME?</v>
          </cell>
          <cell r="P76" t="e">
            <v>#NAME?</v>
          </cell>
          <cell r="Q76" t="e">
            <v>#NAME?</v>
          </cell>
          <cell r="R76">
            <v>0</v>
          </cell>
          <cell r="S76" t="e">
            <v>#NAME?</v>
          </cell>
          <cell r="T76" t="e">
            <v>#NAME?</v>
          </cell>
          <cell r="U76" t="e">
            <v>#NAME?</v>
          </cell>
          <cell r="W76">
            <v>0</v>
          </cell>
          <cell r="X76" t="e">
            <v>#NAME?</v>
          </cell>
          <cell r="Y76" t="e">
            <v>#NAME?</v>
          </cell>
          <cell r="AA76">
            <v>0</v>
          </cell>
          <cell r="AB76" t="e">
            <v>#NAME?</v>
          </cell>
          <cell r="AC76" t="e">
            <v>#NAME?</v>
          </cell>
          <cell r="AD76" t="e">
            <v>#NAME?</v>
          </cell>
          <cell r="AE76" t="e">
            <v>#NAME?</v>
          </cell>
          <cell r="AF76" t="e">
            <v>#NAME?</v>
          </cell>
          <cell r="AG76" t="e">
            <v>#NAME?</v>
          </cell>
          <cell r="AH76" t="str">
            <v/>
          </cell>
          <cell r="AI76" t="str">
            <v/>
          </cell>
          <cell r="AK76">
            <v>0</v>
          </cell>
          <cell r="AL76" t="str">
            <v/>
          </cell>
          <cell r="AM76" t="str">
            <v/>
          </cell>
          <cell r="AP76">
            <v>1</v>
          </cell>
          <cell r="AQ76">
            <v>0</v>
          </cell>
        </row>
        <row r="77">
          <cell r="A77" t="str">
            <v>H-1 Upgrades</v>
          </cell>
          <cell r="B77" t="str">
            <v>H-1 Upgrades</v>
          </cell>
          <cell r="C77" t="str">
            <v>Bell Helicopter (Textron)</v>
          </cell>
          <cell r="D77" t="str">
            <v>Bell Helicopter (Textron)</v>
          </cell>
          <cell r="E77" t="str">
            <v/>
          </cell>
          <cell r="G77">
            <v>1</v>
          </cell>
          <cell r="H77" t="str">
            <v>Thales, Boeing, Lockheed Martin, AT&amp;T, General Electric</v>
          </cell>
          <cell r="I77" t="str">
            <v/>
          </cell>
          <cell r="J77" t="str">
            <v/>
          </cell>
          <cell r="K77" t="str">
            <v>Navy</v>
          </cell>
          <cell r="L77">
            <v>2008</v>
          </cell>
          <cell r="M77" t="str">
            <v>PdE</v>
          </cell>
          <cell r="N77">
            <v>5.4</v>
          </cell>
          <cell r="O77" t="e">
            <v>#NAME?</v>
          </cell>
          <cell r="P77" t="e">
            <v>#NAME?</v>
          </cell>
          <cell r="Q77" t="e">
            <v>#NAME?</v>
          </cell>
          <cell r="R77">
            <v>0</v>
          </cell>
          <cell r="S77" t="e">
            <v>#NAME?</v>
          </cell>
          <cell r="T77" t="e">
            <v>#NAME?</v>
          </cell>
          <cell r="U77" t="e">
            <v>#NAME?</v>
          </cell>
          <cell r="W77">
            <v>0</v>
          </cell>
          <cell r="X77" t="e">
            <v>#NAME?</v>
          </cell>
          <cell r="Y77" t="e">
            <v>#NAME?</v>
          </cell>
          <cell r="AA77">
            <v>0</v>
          </cell>
          <cell r="AB77" t="e">
            <v>#NAME?</v>
          </cell>
          <cell r="AC77" t="e">
            <v>#NAME?</v>
          </cell>
          <cell r="AD77" t="e">
            <v>#NAME?</v>
          </cell>
          <cell r="AE77" t="e">
            <v>#NAME?</v>
          </cell>
          <cell r="AF77" t="e">
            <v>#NAME?</v>
          </cell>
          <cell r="AG77" t="e">
            <v>#NAME?</v>
          </cell>
          <cell r="AH77" t="str">
            <v/>
          </cell>
          <cell r="AI77" t="str">
            <v/>
          </cell>
          <cell r="AK77">
            <v>0</v>
          </cell>
          <cell r="AL77" t="str">
            <v/>
          </cell>
          <cell r="AM77" t="str">
            <v/>
          </cell>
          <cell r="AP77">
            <v>1</v>
          </cell>
          <cell r="AQ77">
            <v>0</v>
          </cell>
        </row>
        <row r="78">
          <cell r="A78" t="str">
            <v>HC/MC-130 RECAP</v>
          </cell>
          <cell r="B78" t="str">
            <v>HC/MC-130 RECAP</v>
          </cell>
          <cell r="C78">
            <v>0</v>
          </cell>
          <cell r="D78">
            <v>0</v>
          </cell>
          <cell r="E78" t="str">
            <v/>
          </cell>
          <cell r="G78">
            <v>1</v>
          </cell>
          <cell r="H78" t="str">
            <v/>
          </cell>
          <cell r="I78" t="str">
            <v/>
          </cell>
          <cell r="J78" t="str">
            <v/>
          </cell>
          <cell r="K78">
            <v>0</v>
          </cell>
          <cell r="L78">
            <v>2009</v>
          </cell>
          <cell r="M78" t="str">
            <v>PdE</v>
          </cell>
          <cell r="N78">
            <v>0.2</v>
          </cell>
          <cell r="O78" t="e">
            <v>#NAME?</v>
          </cell>
          <cell r="P78" t="e">
            <v>#NAME?</v>
          </cell>
          <cell r="Q78" t="e">
            <v>#NAME?</v>
          </cell>
          <cell r="R78">
            <v>0</v>
          </cell>
          <cell r="S78" t="e">
            <v>#NAME?</v>
          </cell>
          <cell r="T78" t="e">
            <v>#NAME?</v>
          </cell>
          <cell r="U78" t="e">
            <v>#NAME?</v>
          </cell>
          <cell r="W78">
            <v>0</v>
          </cell>
          <cell r="X78" t="e">
            <v>#NAME?</v>
          </cell>
          <cell r="Y78" t="e">
            <v>#NAME?</v>
          </cell>
          <cell r="AA78">
            <v>0</v>
          </cell>
          <cell r="AB78" t="e">
            <v>#NAME?</v>
          </cell>
          <cell r="AC78" t="e">
            <v>#NAME?</v>
          </cell>
          <cell r="AD78" t="e">
            <v>#NAME?</v>
          </cell>
          <cell r="AE78" t="e">
            <v>#NAME?</v>
          </cell>
          <cell r="AF78" t="e">
            <v>#NAME?</v>
          </cell>
          <cell r="AG78" t="e">
            <v>#NAME?</v>
          </cell>
          <cell r="AH78" t="str">
            <v/>
          </cell>
          <cell r="AI78" t="str">
            <v/>
          </cell>
          <cell r="AK78">
            <v>0</v>
          </cell>
          <cell r="AL78" t="str">
            <v/>
          </cell>
          <cell r="AM78" t="str">
            <v/>
          </cell>
          <cell r="AP78">
            <v>1</v>
          </cell>
          <cell r="AQ78">
            <v>0</v>
          </cell>
        </row>
        <row r="79">
          <cell r="A79" t="str">
            <v>HIMARS</v>
          </cell>
          <cell r="B79" t="str">
            <v>HIMARS</v>
          </cell>
          <cell r="C79" t="str">
            <v>Lockheed Martin</v>
          </cell>
          <cell r="D79" t="str">
            <v>Lockheed Martin</v>
          </cell>
          <cell r="E79" t="str">
            <v/>
          </cell>
          <cell r="G79">
            <v>1</v>
          </cell>
          <cell r="H79" t="str">
            <v>Harris, L-3</v>
          </cell>
          <cell r="I79" t="str">
            <v/>
          </cell>
          <cell r="J79" t="str">
            <v/>
          </cell>
          <cell r="K79" t="str">
            <v>Army</v>
          </cell>
          <cell r="L79">
            <v>2003</v>
          </cell>
          <cell r="M79" t="str">
            <v>PdE</v>
          </cell>
          <cell r="N79">
            <v>-3.2</v>
          </cell>
          <cell r="O79" t="e">
            <v>#NAME?</v>
          </cell>
          <cell r="P79" t="e">
            <v>#NAME?</v>
          </cell>
          <cell r="Q79" t="e">
            <v>#NAME?</v>
          </cell>
          <cell r="R79">
            <v>0</v>
          </cell>
          <cell r="S79" t="e">
            <v>#NAME?</v>
          </cell>
          <cell r="T79" t="e">
            <v>#NAME?</v>
          </cell>
          <cell r="U79" t="e">
            <v>#NAME?</v>
          </cell>
          <cell r="W79">
            <v>0</v>
          </cell>
          <cell r="X79" t="e">
            <v>#NAME?</v>
          </cell>
          <cell r="Y79" t="e">
            <v>#NAME?</v>
          </cell>
          <cell r="AA79">
            <v>0</v>
          </cell>
          <cell r="AB79" t="e">
            <v>#NAME?</v>
          </cell>
          <cell r="AC79" t="e">
            <v>#NAME?</v>
          </cell>
          <cell r="AD79" t="e">
            <v>#NAME?</v>
          </cell>
          <cell r="AE79" t="e">
            <v>#NAME?</v>
          </cell>
          <cell r="AF79" t="e">
            <v>#NAME?</v>
          </cell>
          <cell r="AG79" t="e">
            <v>#NAME?</v>
          </cell>
          <cell r="AH79" t="str">
            <v/>
          </cell>
          <cell r="AI79" t="str">
            <v/>
          </cell>
          <cell r="AK79">
            <v>0</v>
          </cell>
          <cell r="AL79" t="str">
            <v/>
          </cell>
          <cell r="AM79" t="str">
            <v/>
          </cell>
          <cell r="AP79">
            <v>1</v>
          </cell>
          <cell r="AQ79">
            <v>0</v>
          </cell>
        </row>
        <row r="80">
          <cell r="A80" t="str">
            <v>HLR</v>
          </cell>
          <cell r="B80" t="str">
            <v>HLR</v>
          </cell>
          <cell r="C80" t="str">
            <v>Sikorsky Aircraft Corporation (UTC)</v>
          </cell>
          <cell r="D80" t="str">
            <v>Sikorsky Aircraft Corporation (UTC)</v>
          </cell>
          <cell r="E80" t="str">
            <v/>
          </cell>
          <cell r="G80">
            <v>1</v>
          </cell>
          <cell r="H80" t="str">
            <v/>
          </cell>
          <cell r="I80" t="str">
            <v/>
          </cell>
          <cell r="J80" t="str">
            <v/>
          </cell>
          <cell r="K80">
            <v>0</v>
          </cell>
          <cell r="L80" t="str">
            <v/>
          </cell>
          <cell r="M80" t="str">
            <v/>
          </cell>
          <cell r="N80" t="e">
            <v>#N/A</v>
          </cell>
          <cell r="O80" t="e">
            <v>#N/A</v>
          </cell>
          <cell r="P80" t="e">
            <v>#NAME?</v>
          </cell>
          <cell r="Q80" t="e">
            <v>#N/A</v>
          </cell>
          <cell r="R80">
            <v>0</v>
          </cell>
          <cell r="S80" t="e">
            <v>#NAME?</v>
          </cell>
          <cell r="T80" t="e">
            <v>#NAME?</v>
          </cell>
          <cell r="U80" t="e">
            <v>#NAME?</v>
          </cell>
          <cell r="W80">
            <v>0</v>
          </cell>
          <cell r="X80" t="e">
            <v>#NAME?</v>
          </cell>
          <cell r="Y80" t="e">
            <v>#NAME?</v>
          </cell>
          <cell r="AA80">
            <v>0</v>
          </cell>
          <cell r="AB80" t="e">
            <v>#NAME?</v>
          </cell>
          <cell r="AC80" t="e">
            <v>#NAME?</v>
          </cell>
          <cell r="AD80" t="e">
            <v>#NAME?</v>
          </cell>
          <cell r="AE80" t="e">
            <v>#NAME?</v>
          </cell>
          <cell r="AF80" t="e">
            <v>#NAME?</v>
          </cell>
          <cell r="AG80" t="e">
            <v>#NAME?</v>
          </cell>
          <cell r="AH80" t="str">
            <v/>
          </cell>
          <cell r="AI80" t="str">
            <v/>
          </cell>
          <cell r="AK80">
            <v>0</v>
          </cell>
          <cell r="AL80" t="str">
            <v/>
          </cell>
          <cell r="AM80" t="str">
            <v/>
          </cell>
          <cell r="AP80">
            <v>1</v>
          </cell>
          <cell r="AQ80">
            <v>0</v>
          </cell>
        </row>
        <row r="81">
          <cell r="A81" t="str">
            <v>HPCM</v>
          </cell>
          <cell r="B81" t="str">
            <v>HPCM</v>
          </cell>
          <cell r="C81" t="str">
            <v>Various</v>
          </cell>
          <cell r="D81" t="str">
            <v>Various</v>
          </cell>
          <cell r="E81" t="str">
            <v/>
          </cell>
          <cell r="G81">
            <v>1</v>
          </cell>
          <cell r="H81" t="str">
            <v>AT&amp;T, Microsoft</v>
          </cell>
          <cell r="I81" t="str">
            <v xml:space="preserve">Lockheed Martin, Verizon, numerous others, highly diversified </v>
          </cell>
          <cell r="J81" t="str">
            <v>See: http://www.hpcmo.hpc.mil/index.php  High Performance Computing Modernization Program Office HPCM Director Cray Henry, Phone: 703-812-4400</v>
          </cell>
          <cell r="K81">
            <v>0</v>
          </cell>
          <cell r="L81" t="str">
            <v/>
          </cell>
          <cell r="M81" t="str">
            <v/>
          </cell>
          <cell r="N81" t="e">
            <v>#N/A</v>
          </cell>
          <cell r="O81" t="e">
            <v>#N/A</v>
          </cell>
          <cell r="P81" t="e">
            <v>#NAME?</v>
          </cell>
          <cell r="Q81" t="e">
            <v>#N/A</v>
          </cell>
          <cell r="R81">
            <v>0</v>
          </cell>
          <cell r="S81" t="e">
            <v>#NAME?</v>
          </cell>
          <cell r="T81" t="e">
            <v>#NAME?</v>
          </cell>
          <cell r="U81" t="e">
            <v>#NAME?</v>
          </cell>
          <cell r="W81">
            <v>0</v>
          </cell>
          <cell r="X81" t="e">
            <v>#NAME?</v>
          </cell>
          <cell r="Y81" t="e">
            <v>#NAME?</v>
          </cell>
          <cell r="AA81">
            <v>0</v>
          </cell>
          <cell r="AB81" t="e">
            <v>#NAME?</v>
          </cell>
          <cell r="AC81" t="e">
            <v>#NAME?</v>
          </cell>
          <cell r="AD81" t="e">
            <v>#NAME?</v>
          </cell>
          <cell r="AE81" t="e">
            <v>#NAME?</v>
          </cell>
          <cell r="AF81" t="e">
            <v>#NAME?</v>
          </cell>
          <cell r="AG81" t="e">
            <v>#NAME?</v>
          </cell>
          <cell r="AH81" t="str">
            <v/>
          </cell>
          <cell r="AI81" t="str">
            <v/>
          </cell>
          <cell r="AK81">
            <v>0</v>
          </cell>
          <cell r="AL81" t="str">
            <v/>
          </cell>
          <cell r="AM81" t="str">
            <v/>
          </cell>
          <cell r="AP81">
            <v>1</v>
          </cell>
          <cell r="AQ81">
            <v>0</v>
          </cell>
        </row>
        <row r="82">
          <cell r="A82" t="str">
            <v>IAMD</v>
          </cell>
          <cell r="B82" t="str">
            <v>IAMD</v>
          </cell>
          <cell r="C82" t="str">
            <v>Northrop Grumman, Raytheon, DMD</v>
          </cell>
          <cell r="D82" t="str">
            <v>Northrop Grumman, Raytheon, DMD</v>
          </cell>
          <cell r="E82" t="str">
            <v/>
          </cell>
          <cell r="G82">
            <v>1</v>
          </cell>
          <cell r="H82" t="str">
            <v/>
          </cell>
          <cell r="I82" t="str">
            <v>Raytheon</v>
          </cell>
          <cell r="J82" t="str">
            <v/>
          </cell>
          <cell r="K82" t="str">
            <v>Army</v>
          </cell>
          <cell r="L82">
            <v>2009</v>
          </cell>
          <cell r="M82" t="str">
            <v>DE</v>
          </cell>
          <cell r="N82">
            <v>-14.8</v>
          </cell>
          <cell r="O82" t="e">
            <v>#NAME?</v>
          </cell>
          <cell r="P82" t="e">
            <v>#NAME?</v>
          </cell>
          <cell r="Q82" t="e">
            <v>#NAME?</v>
          </cell>
          <cell r="R82">
            <v>0</v>
          </cell>
          <cell r="S82" t="e">
            <v>#NAME?</v>
          </cell>
          <cell r="T82" t="e">
            <v>#NAME?</v>
          </cell>
          <cell r="U82" t="e">
            <v>#NAME?</v>
          </cell>
          <cell r="W82">
            <v>0</v>
          </cell>
          <cell r="X82" t="e">
            <v>#NAME?</v>
          </cell>
          <cell r="Y82" t="e">
            <v>#NAME?</v>
          </cell>
          <cell r="AA82">
            <v>0</v>
          </cell>
          <cell r="AB82" t="e">
            <v>#NAME?</v>
          </cell>
          <cell r="AC82" t="e">
            <v>#NAME?</v>
          </cell>
          <cell r="AD82" t="e">
            <v>#NAME?</v>
          </cell>
          <cell r="AE82" t="e">
            <v>#NAME?</v>
          </cell>
          <cell r="AF82" t="e">
            <v>#NAME?</v>
          </cell>
          <cell r="AG82" t="e">
            <v>#NAME?</v>
          </cell>
          <cell r="AH82" t="str">
            <v/>
          </cell>
          <cell r="AI82" t="str">
            <v/>
          </cell>
          <cell r="AK82">
            <v>0</v>
          </cell>
          <cell r="AL82" t="str">
            <v/>
          </cell>
          <cell r="AM82" t="str">
            <v/>
          </cell>
          <cell r="AP82">
            <v>1</v>
          </cell>
          <cell r="AQ82">
            <v>0</v>
          </cell>
        </row>
        <row r="83">
          <cell r="A83" t="str">
            <v>IDECM</v>
          </cell>
          <cell r="B83" t="str">
            <v>IDECM</v>
          </cell>
          <cell r="C83" t="str">
            <v>BAE</v>
          </cell>
          <cell r="D83" t="str">
            <v>BAE</v>
          </cell>
          <cell r="E83" t="str">
            <v/>
          </cell>
          <cell r="G83">
            <v>1</v>
          </cell>
          <cell r="H83" t="str">
            <v>Lockheed Martin, Boeing, L-3, Northrop Grumman, Honeywell, Rockwell Collins, General Electric, Hamilton Sundstrand (UTC), ITT</v>
          </cell>
          <cell r="I83" t="str">
            <v/>
          </cell>
          <cell r="J83" t="str">
            <v>http://www.defenselink.mil/contracts/contract.aspx?contractid=4008</v>
          </cell>
          <cell r="K83" t="str">
            <v>Navy</v>
          </cell>
          <cell r="L83" t="str">
            <v/>
          </cell>
          <cell r="M83" t="str">
            <v/>
          </cell>
          <cell r="N83" t="e">
            <v>#N/A</v>
          </cell>
          <cell r="O83" t="e">
            <v>#N/A</v>
          </cell>
          <cell r="P83" t="e">
            <v>#NAME?</v>
          </cell>
          <cell r="Q83" t="e">
            <v>#N/A</v>
          </cell>
          <cell r="R83">
            <v>0</v>
          </cell>
          <cell r="S83" t="e">
            <v>#NAME?</v>
          </cell>
          <cell r="T83" t="e">
            <v>#NAME?</v>
          </cell>
          <cell r="U83" t="e">
            <v>#NAME?</v>
          </cell>
          <cell r="W83">
            <v>0</v>
          </cell>
          <cell r="X83" t="e">
            <v>#NAME?</v>
          </cell>
          <cell r="Y83" t="e">
            <v>#NAME?</v>
          </cell>
          <cell r="AA83">
            <v>0</v>
          </cell>
          <cell r="AB83" t="e">
            <v>#NAME?</v>
          </cell>
          <cell r="AC83" t="e">
            <v>#NAME?</v>
          </cell>
          <cell r="AD83" t="e">
            <v>#NAME?</v>
          </cell>
          <cell r="AE83" t="e">
            <v>#NAME?</v>
          </cell>
          <cell r="AF83" t="e">
            <v>#NAME?</v>
          </cell>
          <cell r="AG83" t="e">
            <v>#NAME?</v>
          </cell>
          <cell r="AH83" t="str">
            <v/>
          </cell>
          <cell r="AI83" t="str">
            <v/>
          </cell>
          <cell r="AK83">
            <v>0</v>
          </cell>
          <cell r="AL83" t="str">
            <v/>
          </cell>
          <cell r="AM83" t="str">
            <v/>
          </cell>
          <cell r="AP83">
            <v>1</v>
          </cell>
          <cell r="AQ83">
            <v>0</v>
          </cell>
        </row>
        <row r="84">
          <cell r="A84" t="str">
            <v>IDECM Split</v>
          </cell>
          <cell r="B84" t="str">
            <v>IDECM Split</v>
          </cell>
          <cell r="C84">
            <v>0</v>
          </cell>
          <cell r="D84">
            <v>0</v>
          </cell>
          <cell r="E84" t="str">
            <v/>
          </cell>
          <cell r="G84">
            <v>1</v>
          </cell>
          <cell r="H84" t="str">
            <v/>
          </cell>
          <cell r="I84" t="str">
            <v/>
          </cell>
          <cell r="J84" t="str">
            <v/>
          </cell>
          <cell r="K84">
            <v>0</v>
          </cell>
          <cell r="L84">
            <v>2008</v>
          </cell>
          <cell r="M84" t="str">
            <v>PdE</v>
          </cell>
          <cell r="N84">
            <v>9.1</v>
          </cell>
          <cell r="O84" t="e">
            <v>#NAME?</v>
          </cell>
          <cell r="P84" t="e">
            <v>#NAME?</v>
          </cell>
          <cell r="Q84" t="e">
            <v>#NAME?</v>
          </cell>
          <cell r="R84">
            <v>0</v>
          </cell>
          <cell r="S84" t="e">
            <v>#NAME?</v>
          </cell>
          <cell r="T84" t="e">
            <v>#NAME?</v>
          </cell>
          <cell r="U84" t="e">
            <v>#NAME?</v>
          </cell>
          <cell r="W84">
            <v>0</v>
          </cell>
          <cell r="X84" t="e">
            <v>#NAME?</v>
          </cell>
          <cell r="Y84" t="e">
            <v>#NAME?</v>
          </cell>
          <cell r="AA84">
            <v>0</v>
          </cell>
          <cell r="AB84" t="e">
            <v>#NAME?</v>
          </cell>
          <cell r="AC84" t="e">
            <v>#NAME?</v>
          </cell>
          <cell r="AD84" t="e">
            <v>#NAME?</v>
          </cell>
          <cell r="AE84" t="e">
            <v>#NAME?</v>
          </cell>
          <cell r="AF84" t="e">
            <v>#NAME?</v>
          </cell>
          <cell r="AG84" t="e">
            <v>#NAME?</v>
          </cell>
          <cell r="AH84" t="str">
            <v/>
          </cell>
          <cell r="AI84" t="str">
            <v/>
          </cell>
          <cell r="AK84">
            <v>0</v>
          </cell>
          <cell r="AL84" t="str">
            <v/>
          </cell>
          <cell r="AM84" t="str">
            <v/>
          </cell>
          <cell r="AP84">
            <v>1</v>
          </cell>
          <cell r="AQ84">
            <v>0</v>
          </cell>
        </row>
        <row r="85">
          <cell r="A85" t="str">
            <v>IDECM Split</v>
          </cell>
          <cell r="B85" t="str">
            <v>IDECM Split</v>
          </cell>
          <cell r="C85">
            <v>0</v>
          </cell>
          <cell r="D85">
            <v>0</v>
          </cell>
          <cell r="E85" t="str">
            <v/>
          </cell>
          <cell r="G85">
            <v>1</v>
          </cell>
          <cell r="H85" t="str">
            <v/>
          </cell>
          <cell r="I85" t="str">
            <v/>
          </cell>
          <cell r="J85" t="str">
            <v/>
          </cell>
          <cell r="K85">
            <v>0</v>
          </cell>
          <cell r="L85">
            <v>2008</v>
          </cell>
          <cell r="M85" t="str">
            <v>PdE</v>
          </cell>
          <cell r="N85">
            <v>9.1</v>
          </cell>
          <cell r="O85">
            <v>31295.7</v>
          </cell>
          <cell r="P85" t="e">
            <v>#NAME?</v>
          </cell>
          <cell r="Q85">
            <v>3439.0879120879122</v>
          </cell>
          <cell r="R85">
            <v>0</v>
          </cell>
          <cell r="S85" t="e">
            <v>#NAME?</v>
          </cell>
          <cell r="T85" t="e">
            <v>#NAME?</v>
          </cell>
          <cell r="U85" t="e">
            <v>#NAME?</v>
          </cell>
          <cell r="W85">
            <v>0</v>
          </cell>
          <cell r="X85" t="e">
            <v>#NAME?</v>
          </cell>
          <cell r="Y85" t="e">
            <v>#NAME?</v>
          </cell>
          <cell r="AA85">
            <v>0</v>
          </cell>
          <cell r="AB85" t="e">
            <v>#NAME?</v>
          </cell>
          <cell r="AC85" t="e">
            <v>#NAME?</v>
          </cell>
          <cell r="AD85" t="e">
            <v>#NAME?</v>
          </cell>
          <cell r="AE85" t="e">
            <v>#NAME?</v>
          </cell>
          <cell r="AF85" t="e">
            <v>#NAME?</v>
          </cell>
          <cell r="AG85" t="e">
            <v>#NAME?</v>
          </cell>
          <cell r="AH85" t="str">
            <v/>
          </cell>
          <cell r="AI85" t="str">
            <v/>
          </cell>
          <cell r="AK85">
            <v>0</v>
          </cell>
          <cell r="AL85" t="str">
            <v/>
          </cell>
          <cell r="AM85" t="str">
            <v/>
          </cell>
          <cell r="AP85">
            <v>1</v>
          </cell>
          <cell r="AQ85">
            <v>0</v>
          </cell>
        </row>
        <row r="86">
          <cell r="A86" t="str">
            <v>JASSM</v>
          </cell>
          <cell r="B86" t="str">
            <v>JASSM</v>
          </cell>
          <cell r="C86" t="str">
            <v>Lockheed Martin</v>
          </cell>
          <cell r="D86" t="str">
            <v>Lockheed Martin</v>
          </cell>
          <cell r="E86" t="str">
            <v/>
          </cell>
          <cell r="G86">
            <v>1</v>
          </cell>
          <cell r="H86" t="str">
            <v>L-3</v>
          </cell>
          <cell r="I86" t="str">
            <v/>
          </cell>
          <cell r="J86" t="str">
            <v/>
          </cell>
          <cell r="K86" t="str">
            <v>Air Force</v>
          </cell>
          <cell r="L86">
            <v>1995</v>
          </cell>
          <cell r="M86" t="str">
            <v>PdE</v>
          </cell>
          <cell r="N86" t="e">
            <v>#N/A</v>
          </cell>
          <cell r="O86">
            <v>4850.2000000000007</v>
          </cell>
          <cell r="P86" t="e">
            <v>#NAME?</v>
          </cell>
          <cell r="Q86" t="e">
            <v>#N/A</v>
          </cell>
          <cell r="R86">
            <v>0</v>
          </cell>
          <cell r="S86" t="e">
            <v>#NAME?</v>
          </cell>
          <cell r="T86" t="e">
            <v>#NAME?</v>
          </cell>
          <cell r="U86" t="e">
            <v>#NAME?</v>
          </cell>
          <cell r="W86">
            <v>0</v>
          </cell>
          <cell r="X86" t="e">
            <v>#NAME?</v>
          </cell>
          <cell r="Y86" t="e">
            <v>#NAME?</v>
          </cell>
          <cell r="AA86">
            <v>0</v>
          </cell>
          <cell r="AB86" t="e">
            <v>#NAME?</v>
          </cell>
          <cell r="AC86" t="e">
            <v>#NAME?</v>
          </cell>
          <cell r="AD86" t="e">
            <v>#NAME?</v>
          </cell>
          <cell r="AE86" t="e">
            <v>#NAME?</v>
          </cell>
          <cell r="AF86" t="e">
            <v>#NAME?</v>
          </cell>
          <cell r="AG86" t="e">
            <v>#NAME?</v>
          </cell>
          <cell r="AH86" t="str">
            <v/>
          </cell>
          <cell r="AI86" t="str">
            <v/>
          </cell>
          <cell r="AK86">
            <v>0</v>
          </cell>
          <cell r="AL86" t="str">
            <v/>
          </cell>
          <cell r="AM86" t="str">
            <v/>
          </cell>
          <cell r="AP86">
            <v>1</v>
          </cell>
          <cell r="AQ86">
            <v>0</v>
          </cell>
        </row>
        <row r="87">
          <cell r="A87" t="str">
            <v>JASSM Split</v>
          </cell>
          <cell r="B87" t="str">
            <v>JASSM Split</v>
          </cell>
          <cell r="C87">
            <v>0</v>
          </cell>
          <cell r="D87">
            <v>0</v>
          </cell>
          <cell r="E87" t="str">
            <v/>
          </cell>
          <cell r="G87">
            <v>1</v>
          </cell>
          <cell r="H87" t="str">
            <v/>
          </cell>
          <cell r="I87" t="str">
            <v/>
          </cell>
          <cell r="J87" t="str">
            <v/>
          </cell>
          <cell r="K87">
            <v>0</v>
          </cell>
          <cell r="L87">
            <v>2010</v>
          </cell>
          <cell r="M87" t="str">
            <v>PdE</v>
          </cell>
          <cell r="N87">
            <v>52.3</v>
          </cell>
          <cell r="O87">
            <v>29027</v>
          </cell>
          <cell r="P87" t="e">
            <v>#NAME?</v>
          </cell>
          <cell r="Q87">
            <v>555.00956022944558</v>
          </cell>
          <cell r="R87">
            <v>0</v>
          </cell>
          <cell r="S87" t="e">
            <v>#NAME?</v>
          </cell>
          <cell r="T87" t="e">
            <v>#NAME?</v>
          </cell>
          <cell r="U87" t="e">
            <v>#NAME?</v>
          </cell>
          <cell r="W87">
            <v>0</v>
          </cell>
          <cell r="X87" t="e">
            <v>#NAME?</v>
          </cell>
          <cell r="Y87" t="e">
            <v>#NAME?</v>
          </cell>
          <cell r="AA87">
            <v>0</v>
          </cell>
          <cell r="AB87" t="e">
            <v>#NAME?</v>
          </cell>
          <cell r="AC87" t="e">
            <v>#NAME?</v>
          </cell>
          <cell r="AD87" t="e">
            <v>#NAME?</v>
          </cell>
          <cell r="AE87" t="e">
            <v>#NAME?</v>
          </cell>
          <cell r="AF87" t="e">
            <v>#NAME?</v>
          </cell>
          <cell r="AG87" t="e">
            <v>#NAME?</v>
          </cell>
          <cell r="AH87" t="str">
            <v/>
          </cell>
          <cell r="AI87" t="str">
            <v/>
          </cell>
          <cell r="AK87">
            <v>0</v>
          </cell>
          <cell r="AL87" t="str">
            <v/>
          </cell>
          <cell r="AM87" t="str">
            <v/>
          </cell>
          <cell r="AP87">
            <v>1</v>
          </cell>
          <cell r="AQ87">
            <v>0</v>
          </cell>
        </row>
        <row r="88">
          <cell r="A88" t="str">
            <v>JASSM Split</v>
          </cell>
          <cell r="B88" t="str">
            <v>JASSM Split</v>
          </cell>
          <cell r="C88">
            <v>0</v>
          </cell>
          <cell r="D88">
            <v>0</v>
          </cell>
          <cell r="E88" t="str">
            <v/>
          </cell>
          <cell r="G88">
            <v>1</v>
          </cell>
          <cell r="H88" t="str">
            <v/>
          </cell>
          <cell r="I88" t="str">
            <v/>
          </cell>
          <cell r="J88" t="str">
            <v/>
          </cell>
          <cell r="K88">
            <v>0</v>
          </cell>
          <cell r="L88">
            <v>2010</v>
          </cell>
          <cell r="M88" t="str">
            <v>PdE</v>
          </cell>
          <cell r="N88">
            <v>52.3</v>
          </cell>
          <cell r="O88" t="e">
            <v>#NAME?</v>
          </cell>
          <cell r="P88" t="e">
            <v>#NAME?</v>
          </cell>
          <cell r="Q88" t="e">
            <v>#NAME?</v>
          </cell>
          <cell r="R88">
            <v>0</v>
          </cell>
          <cell r="S88" t="e">
            <v>#NAME?</v>
          </cell>
          <cell r="T88" t="e">
            <v>#NAME?</v>
          </cell>
          <cell r="U88" t="e">
            <v>#NAME?</v>
          </cell>
          <cell r="W88">
            <v>0</v>
          </cell>
          <cell r="X88" t="e">
            <v>#NAME?</v>
          </cell>
          <cell r="Y88" t="e">
            <v>#NAME?</v>
          </cell>
          <cell r="AA88">
            <v>0</v>
          </cell>
          <cell r="AB88" t="e">
            <v>#NAME?</v>
          </cell>
          <cell r="AC88" t="e">
            <v>#NAME?</v>
          </cell>
          <cell r="AD88" t="e">
            <v>#NAME?</v>
          </cell>
          <cell r="AE88" t="e">
            <v>#NAME?</v>
          </cell>
          <cell r="AF88" t="e">
            <v>#NAME?</v>
          </cell>
          <cell r="AG88" t="e">
            <v>#NAME?</v>
          </cell>
          <cell r="AH88" t="str">
            <v/>
          </cell>
          <cell r="AI88" t="str">
            <v/>
          </cell>
          <cell r="AK88">
            <v>0</v>
          </cell>
          <cell r="AL88" t="str">
            <v/>
          </cell>
          <cell r="AM88" t="str">
            <v/>
          </cell>
          <cell r="AP88">
            <v>1</v>
          </cell>
          <cell r="AQ88">
            <v>0</v>
          </cell>
        </row>
        <row r="89">
          <cell r="A89" t="str">
            <v>JAVELIN</v>
          </cell>
          <cell r="B89" t="str">
            <v>JAVELIN</v>
          </cell>
          <cell r="C89" t="str">
            <v>Lockheed Martin &amp; Raytheon Javelin JV</v>
          </cell>
          <cell r="D89" t="str">
            <v>Lockheed Martin &amp; Raytheon Javelin JV</v>
          </cell>
          <cell r="E89" t="str">
            <v/>
          </cell>
          <cell r="G89">
            <v>1</v>
          </cell>
          <cell r="H89" t="str">
            <v/>
          </cell>
          <cell r="I89" t="str">
            <v/>
          </cell>
          <cell r="J89" t="str">
            <v/>
          </cell>
          <cell r="K89">
            <v>0</v>
          </cell>
          <cell r="L89">
            <v>1997</v>
          </cell>
          <cell r="M89" t="str">
            <v>PdE</v>
          </cell>
          <cell r="N89" t="e">
            <v>#N/A</v>
          </cell>
          <cell r="O89">
            <v>3734.7999999999997</v>
          </cell>
          <cell r="P89" t="e">
            <v>#NAME?</v>
          </cell>
          <cell r="Q89" t="e">
            <v>#N/A</v>
          </cell>
          <cell r="R89">
            <v>0</v>
          </cell>
          <cell r="S89" t="e">
            <v>#NAME?</v>
          </cell>
          <cell r="T89" t="e">
            <v>#NAME?</v>
          </cell>
          <cell r="U89" t="e">
            <v>#NAME?</v>
          </cell>
          <cell r="W89">
            <v>0</v>
          </cell>
          <cell r="X89" t="e">
            <v>#NAME?</v>
          </cell>
          <cell r="Y89" t="e">
            <v>#NAME?</v>
          </cell>
          <cell r="AA89">
            <v>0</v>
          </cell>
          <cell r="AB89" t="e">
            <v>#NAME?</v>
          </cell>
          <cell r="AC89" t="e">
            <v>#NAME?</v>
          </cell>
          <cell r="AD89" t="e">
            <v>#NAME?</v>
          </cell>
          <cell r="AE89" t="e">
            <v>#NAME?</v>
          </cell>
          <cell r="AF89" t="e">
            <v>#NAME?</v>
          </cell>
          <cell r="AG89" t="e">
            <v>#NAME?</v>
          </cell>
          <cell r="AH89" t="str">
            <v/>
          </cell>
          <cell r="AI89" t="str">
            <v/>
          </cell>
          <cell r="AK89">
            <v>0</v>
          </cell>
          <cell r="AL89" t="str">
            <v/>
          </cell>
          <cell r="AM89" t="str">
            <v/>
          </cell>
          <cell r="AP89">
            <v>1</v>
          </cell>
          <cell r="AQ89">
            <v>0</v>
          </cell>
        </row>
        <row r="90">
          <cell r="A90" t="str">
            <v>JCA</v>
          </cell>
          <cell r="B90" t="str">
            <v>JCA</v>
          </cell>
          <cell r="C90" t="str">
            <v xml:space="preserve">L-3 Communications </v>
          </cell>
          <cell r="D90" t="str">
            <v xml:space="preserve">L-3 Communications </v>
          </cell>
          <cell r="E90" t="str">
            <v/>
          </cell>
          <cell r="G90">
            <v>1</v>
          </cell>
          <cell r="H90" t="str">
            <v>Alenia (Finmeccanica), Boeing</v>
          </cell>
          <cell r="I90" t="str">
            <v/>
          </cell>
          <cell r="J90" t="str">
            <v/>
          </cell>
          <cell r="K90" t="str">
            <v>Army</v>
          </cell>
          <cell r="L90">
            <v>2007</v>
          </cell>
          <cell r="M90" t="str">
            <v>PdE</v>
          </cell>
          <cell r="N90" t="e">
            <v>#N/A</v>
          </cell>
          <cell r="O90">
            <v>64605.799999999996</v>
          </cell>
          <cell r="P90" t="e">
            <v>#NAME?</v>
          </cell>
          <cell r="Q90" t="e">
            <v>#N/A</v>
          </cell>
          <cell r="R90">
            <v>0</v>
          </cell>
          <cell r="S90" t="e">
            <v>#NAME?</v>
          </cell>
          <cell r="T90" t="e">
            <v>#NAME?</v>
          </cell>
          <cell r="U90" t="e">
            <v>#NAME?</v>
          </cell>
          <cell r="W90">
            <v>0</v>
          </cell>
          <cell r="X90" t="e">
            <v>#NAME?</v>
          </cell>
          <cell r="Y90" t="e">
            <v>#NAME?</v>
          </cell>
          <cell r="AA90">
            <v>0</v>
          </cell>
          <cell r="AC90" t="e">
            <v>#NAME?</v>
          </cell>
          <cell r="AD90" t="e">
            <v>#NAME?</v>
          </cell>
          <cell r="AF90" t="e">
            <v>#NAME?</v>
          </cell>
          <cell r="AG90" t="e">
            <v>#NAME?</v>
          </cell>
          <cell r="AI90" t="str">
            <v/>
          </cell>
          <cell r="AK90">
            <v>0</v>
          </cell>
          <cell r="AL90" t="str">
            <v/>
          </cell>
          <cell r="AM90" t="str">
            <v/>
          </cell>
          <cell r="AP90">
            <v>1</v>
          </cell>
          <cell r="AQ90">
            <v>0</v>
          </cell>
        </row>
        <row r="91">
          <cell r="A91" t="str">
            <v>JCM</v>
          </cell>
          <cell r="B91" t="str">
            <v>JCM</v>
          </cell>
          <cell r="C91" t="str">
            <v>Lockheed Martin</v>
          </cell>
          <cell r="D91" t="str">
            <v>Lockheed Martin</v>
          </cell>
          <cell r="E91" t="str">
            <v/>
          </cell>
          <cell r="G91">
            <v>1</v>
          </cell>
          <cell r="H91" t="str">
            <v/>
          </cell>
          <cell r="I91" t="str">
            <v/>
          </cell>
          <cell r="J91" t="str">
            <v/>
          </cell>
          <cell r="K91" t="str">
            <v>Army</v>
          </cell>
          <cell r="L91">
            <v>2004</v>
          </cell>
          <cell r="M91" t="str">
            <v>DE</v>
          </cell>
          <cell r="N91" t="e">
            <v>#N/A</v>
          </cell>
          <cell r="O91" t="e">
            <v>#N/A</v>
          </cell>
          <cell r="P91" t="e">
            <v>#NAME?</v>
          </cell>
          <cell r="Q91" t="e">
            <v>#N/A</v>
          </cell>
          <cell r="R91">
            <v>0</v>
          </cell>
          <cell r="S91" t="e">
            <v>#NAME?</v>
          </cell>
          <cell r="T91" t="e">
            <v>#NAME?</v>
          </cell>
          <cell r="U91" t="e">
            <v>#NAME?</v>
          </cell>
          <cell r="W91">
            <v>0</v>
          </cell>
          <cell r="X91" t="e">
            <v>#NAME?</v>
          </cell>
          <cell r="Y91" t="e">
            <v>#NAME?</v>
          </cell>
          <cell r="AA91">
            <v>0</v>
          </cell>
          <cell r="AB91" t="e">
            <v>#NAME?</v>
          </cell>
          <cell r="AC91" t="e">
            <v>#NAME?</v>
          </cell>
          <cell r="AD91" t="e">
            <v>#NAME?</v>
          </cell>
          <cell r="AE91" t="e">
            <v>#NAME?</v>
          </cell>
          <cell r="AF91" t="e">
            <v>#NAME?</v>
          </cell>
          <cell r="AG91" t="e">
            <v>#NAME?</v>
          </cell>
          <cell r="AH91" t="e">
            <v>#NAME?</v>
          </cell>
          <cell r="AI91" t="str">
            <v/>
          </cell>
          <cell r="AK91">
            <v>0</v>
          </cell>
          <cell r="AL91" t="str">
            <v/>
          </cell>
          <cell r="AM91" t="str">
            <v/>
          </cell>
          <cell r="AP91">
            <v>1</v>
          </cell>
          <cell r="AQ91">
            <v>0</v>
          </cell>
        </row>
        <row r="92">
          <cell r="A92" t="str">
            <v>JDAM</v>
          </cell>
          <cell r="B92" t="str">
            <v>JDAM</v>
          </cell>
          <cell r="C92" t="str">
            <v>Boeing</v>
          </cell>
          <cell r="D92" t="str">
            <v>Boeing</v>
          </cell>
          <cell r="E92" t="str">
            <v/>
          </cell>
          <cell r="G92">
            <v>1</v>
          </cell>
          <cell r="H92" t="str">
            <v>ATK, General Dynamics</v>
          </cell>
          <cell r="I92" t="str">
            <v/>
          </cell>
          <cell r="J92" t="str">
            <v/>
          </cell>
          <cell r="K92" t="str">
            <v>Air Force</v>
          </cell>
          <cell r="L92">
            <v>1995</v>
          </cell>
          <cell r="M92" t="str">
            <v>PdE</v>
          </cell>
          <cell r="N92">
            <v>28</v>
          </cell>
          <cell r="O92" t="e">
            <v>#NAME?</v>
          </cell>
          <cell r="P92" t="e">
            <v>#NAME?</v>
          </cell>
          <cell r="Q92" t="e">
            <v>#NAME?</v>
          </cell>
          <cell r="R92">
            <v>0</v>
          </cell>
          <cell r="S92" t="e">
            <v>#NAME?</v>
          </cell>
          <cell r="T92" t="e">
            <v>#NAME?</v>
          </cell>
          <cell r="U92" t="e">
            <v>#NAME?</v>
          </cell>
          <cell r="W92">
            <v>0</v>
          </cell>
          <cell r="X92" t="e">
            <v>#NAME?</v>
          </cell>
          <cell r="Y92" t="e">
            <v>#NAME?</v>
          </cell>
          <cell r="AA92">
            <v>0</v>
          </cell>
          <cell r="AB92" t="e">
            <v>#NAME?</v>
          </cell>
          <cell r="AC92" t="e">
            <v>#NAME?</v>
          </cell>
          <cell r="AD92" t="e">
            <v>#NAME?</v>
          </cell>
          <cell r="AE92" t="e">
            <v>#NAME?</v>
          </cell>
          <cell r="AF92" t="e">
            <v>#NAME?</v>
          </cell>
          <cell r="AG92" t="e">
            <v>#NAME?</v>
          </cell>
          <cell r="AH92" t="e">
            <v>#NAME?</v>
          </cell>
          <cell r="AI92" t="str">
            <v/>
          </cell>
          <cell r="AK92">
            <v>0</v>
          </cell>
          <cell r="AL92" t="str">
            <v/>
          </cell>
          <cell r="AM92" t="str">
            <v/>
          </cell>
          <cell r="AP92">
            <v>1</v>
          </cell>
          <cell r="AQ92">
            <v>0</v>
          </cell>
        </row>
        <row r="93">
          <cell r="A93" t="str">
            <v>JDAM JPATS</v>
          </cell>
          <cell r="B93" t="str">
            <v>JDAM JPATS</v>
          </cell>
          <cell r="C93">
            <v>0</v>
          </cell>
          <cell r="D93">
            <v>0</v>
          </cell>
          <cell r="E93" t="str">
            <v/>
          </cell>
          <cell r="G93">
            <v>1</v>
          </cell>
          <cell r="H93" t="str">
            <v/>
          </cell>
          <cell r="I93" t="str">
            <v/>
          </cell>
          <cell r="J93" t="str">
            <v/>
          </cell>
          <cell r="K93">
            <v>0</v>
          </cell>
          <cell r="L93" t="str">
            <v/>
          </cell>
          <cell r="M93" t="str">
            <v/>
          </cell>
          <cell r="N93" t="e">
            <v>#N/A</v>
          </cell>
          <cell r="O93" t="e">
            <v>#N/A</v>
          </cell>
          <cell r="P93" t="e">
            <v>#NAME?</v>
          </cell>
          <cell r="Q93" t="e">
            <v>#N/A</v>
          </cell>
          <cell r="R93">
            <v>0</v>
          </cell>
          <cell r="S93" t="e">
            <v>#NAME?</v>
          </cell>
          <cell r="T93" t="e">
            <v>#NAME?</v>
          </cell>
          <cell r="U93" t="e">
            <v>#NAME?</v>
          </cell>
          <cell r="W93">
            <v>0</v>
          </cell>
          <cell r="X93" t="e">
            <v>#NAME?</v>
          </cell>
          <cell r="Y93" t="e">
            <v>#NAME?</v>
          </cell>
          <cell r="AA93">
            <v>0</v>
          </cell>
          <cell r="AB93" t="e">
            <v>#NAME?</v>
          </cell>
          <cell r="AC93" t="e">
            <v>#NAME?</v>
          </cell>
          <cell r="AD93" t="e">
            <v>#NAME?</v>
          </cell>
          <cell r="AE93" t="e">
            <v>#NAME?</v>
          </cell>
          <cell r="AF93" t="e">
            <v>#NAME?</v>
          </cell>
          <cell r="AG93" t="e">
            <v>#NAME?</v>
          </cell>
          <cell r="AH93" t="e">
            <v>#NAME?</v>
          </cell>
          <cell r="AI93" t="str">
            <v/>
          </cell>
          <cell r="AK93">
            <v>0</v>
          </cell>
          <cell r="AL93" t="str">
            <v/>
          </cell>
          <cell r="AM93" t="str">
            <v/>
          </cell>
          <cell r="AP93">
            <v>1</v>
          </cell>
          <cell r="AQ93">
            <v>0</v>
          </cell>
        </row>
        <row r="94">
          <cell r="A94" t="str">
            <v>JHSV</v>
          </cell>
          <cell r="B94" t="str">
            <v>JHSV</v>
          </cell>
          <cell r="C94" t="str">
            <v>Austal</v>
          </cell>
          <cell r="D94" t="str">
            <v>Austal</v>
          </cell>
          <cell r="E94" t="str">
            <v/>
          </cell>
          <cell r="G94">
            <v>1</v>
          </cell>
          <cell r="H94" t="str">
            <v/>
          </cell>
          <cell r="I94" t="str">
            <v>General Dynamics</v>
          </cell>
          <cell r="J94" t="str">
            <v/>
          </cell>
          <cell r="K94" t="str">
            <v>Navy</v>
          </cell>
          <cell r="L94">
            <v>2008</v>
          </cell>
          <cell r="M94" t="str">
            <v>DE</v>
          </cell>
          <cell r="N94">
            <v>-4.4000000000000004</v>
          </cell>
          <cell r="O94" t="e">
            <v>#NAME?</v>
          </cell>
          <cell r="P94" t="e">
            <v>#NAME?</v>
          </cell>
          <cell r="Q94" t="e">
            <v>#NAME?</v>
          </cell>
          <cell r="R94">
            <v>0</v>
          </cell>
          <cell r="S94" t="e">
            <v>#NAME?</v>
          </cell>
          <cell r="T94" t="e">
            <v>#NAME?</v>
          </cell>
          <cell r="U94" t="e">
            <v>#NAME?</v>
          </cell>
          <cell r="W94">
            <v>0</v>
          </cell>
          <cell r="X94" t="e">
            <v>#NAME?</v>
          </cell>
          <cell r="Y94" t="e">
            <v>#NAME?</v>
          </cell>
          <cell r="AA94">
            <v>0</v>
          </cell>
          <cell r="AB94" t="e">
            <v>#NAME?</v>
          </cell>
          <cell r="AC94" t="e">
            <v>#NAME?</v>
          </cell>
          <cell r="AD94" t="e">
            <v>#NAME?</v>
          </cell>
          <cell r="AE94" t="e">
            <v>#NAME?</v>
          </cell>
          <cell r="AF94" t="e">
            <v>#NAME?</v>
          </cell>
          <cell r="AG94" t="e">
            <v>#NAME?</v>
          </cell>
          <cell r="AH94" t="e">
            <v>#NAME?</v>
          </cell>
          <cell r="AI94" t="str">
            <v/>
          </cell>
          <cell r="AK94">
            <v>0</v>
          </cell>
          <cell r="AL94" t="str">
            <v/>
          </cell>
          <cell r="AM94" t="str">
            <v/>
          </cell>
          <cell r="AP94">
            <v>1</v>
          </cell>
          <cell r="AQ94">
            <v>0</v>
          </cell>
        </row>
        <row r="95">
          <cell r="A95" t="str">
            <v>JLENS</v>
          </cell>
          <cell r="B95" t="str">
            <v>JLENS</v>
          </cell>
          <cell r="C95" t="str">
            <v>Raytheon</v>
          </cell>
          <cell r="D95" t="str">
            <v>Raytheon</v>
          </cell>
          <cell r="E95" t="str">
            <v/>
          </cell>
          <cell r="G95">
            <v>1</v>
          </cell>
          <cell r="H95" t="str">
            <v>Northrop Grumman</v>
          </cell>
          <cell r="I95" t="str">
            <v/>
          </cell>
          <cell r="J95" t="str">
            <v/>
          </cell>
          <cell r="K95" t="str">
            <v>Army</v>
          </cell>
          <cell r="L95">
            <v>2005</v>
          </cell>
          <cell r="M95" t="str">
            <v>DE</v>
          </cell>
          <cell r="N95">
            <v>-22.3</v>
          </cell>
          <cell r="O95" t="e">
            <v>#NAME?</v>
          </cell>
          <cell r="P95" t="e">
            <v>#NAME?</v>
          </cell>
          <cell r="Q95" t="e">
            <v>#NAME?</v>
          </cell>
          <cell r="R95">
            <v>0</v>
          </cell>
          <cell r="S95" t="e">
            <v>#NAME?</v>
          </cell>
          <cell r="T95" t="e">
            <v>#NAME?</v>
          </cell>
          <cell r="U95" t="e">
            <v>#NAME?</v>
          </cell>
          <cell r="W95">
            <v>0</v>
          </cell>
          <cell r="X95" t="e">
            <v>#NAME?</v>
          </cell>
          <cell r="Y95" t="e">
            <v>#NAME?</v>
          </cell>
          <cell r="AA95">
            <v>0</v>
          </cell>
          <cell r="AB95" t="e">
            <v>#NAME?</v>
          </cell>
          <cell r="AC95" t="e">
            <v>#NAME?</v>
          </cell>
          <cell r="AD95" t="e">
            <v>#NAME?</v>
          </cell>
          <cell r="AE95" t="e">
            <v>#NAME?</v>
          </cell>
          <cell r="AF95" t="e">
            <v>#NAME?</v>
          </cell>
          <cell r="AG95" t="e">
            <v>#NAME?</v>
          </cell>
          <cell r="AH95" t="e">
            <v>#NAME?</v>
          </cell>
          <cell r="AI95" t="str">
            <v/>
          </cell>
          <cell r="AK95">
            <v>0</v>
          </cell>
          <cell r="AL95" t="str">
            <v/>
          </cell>
          <cell r="AM95" t="str">
            <v/>
          </cell>
          <cell r="AP95">
            <v>1</v>
          </cell>
          <cell r="AQ95">
            <v>0</v>
          </cell>
        </row>
        <row r="96">
          <cell r="A96" t="str">
            <v>Joint MRAP</v>
          </cell>
          <cell r="B96" t="str">
            <v>Joint MRAP</v>
          </cell>
          <cell r="C96" t="str">
            <v>Oshkosh, BAE, Force Protection Industries, General Dynamics, NAVISTAR Defense</v>
          </cell>
          <cell r="D96" t="str">
            <v>Oshkosh, BAE, Force Protection Industries, General Dynamics, NAVISTAR Defense</v>
          </cell>
          <cell r="E96" t="str">
            <v/>
          </cell>
          <cell r="G96">
            <v>1</v>
          </cell>
          <cell r="H96" t="str">
            <v>BAE, Navistar Defense (International), Force Protection Inc, General Dynamics, Oshkosh Truck</v>
          </cell>
          <cell r="I96" t="str">
            <v/>
          </cell>
          <cell r="J96" t="str">
            <v/>
          </cell>
          <cell r="K96" t="str">
            <v>Navy</v>
          </cell>
          <cell r="L96">
            <v>2008</v>
          </cell>
          <cell r="M96" t="str">
            <v>PdE</v>
          </cell>
          <cell r="N96" t="e">
            <v>#N/A</v>
          </cell>
          <cell r="O96" t="e">
            <v>#N/A</v>
          </cell>
          <cell r="P96" t="e">
            <v>#NAME?</v>
          </cell>
          <cell r="Q96" t="e">
            <v>#N/A</v>
          </cell>
          <cell r="R96">
            <v>0</v>
          </cell>
          <cell r="S96" t="e">
            <v>#NAME?</v>
          </cell>
          <cell r="T96" t="e">
            <v>#NAME?</v>
          </cell>
          <cell r="U96" t="e">
            <v>#NAME?</v>
          </cell>
          <cell r="W96">
            <v>0</v>
          </cell>
          <cell r="X96" t="e">
            <v>#NAME?</v>
          </cell>
          <cell r="Y96" t="e">
            <v>#NAME?</v>
          </cell>
          <cell r="AA96">
            <v>0</v>
          </cell>
          <cell r="AB96" t="e">
            <v>#NAME?</v>
          </cell>
          <cell r="AC96" t="e">
            <v>#NAME?</v>
          </cell>
          <cell r="AD96" t="e">
            <v>#NAME?</v>
          </cell>
          <cell r="AE96" t="e">
            <v>#NAME?</v>
          </cell>
          <cell r="AF96" t="e">
            <v>#NAME?</v>
          </cell>
          <cell r="AG96" t="e">
            <v>#NAME?</v>
          </cell>
          <cell r="AH96" t="e">
            <v>#NAME?</v>
          </cell>
          <cell r="AI96" t="str">
            <v/>
          </cell>
          <cell r="AK96">
            <v>0</v>
          </cell>
          <cell r="AL96" t="str">
            <v/>
          </cell>
          <cell r="AM96" t="str">
            <v/>
          </cell>
          <cell r="AP96">
            <v>1</v>
          </cell>
          <cell r="AQ96">
            <v>0</v>
          </cell>
        </row>
        <row r="97">
          <cell r="A97" t="str">
            <v>JPALS</v>
          </cell>
          <cell r="B97" t="str">
            <v>JPALS</v>
          </cell>
          <cell r="C97" t="str">
            <v>Raytheon</v>
          </cell>
          <cell r="D97" t="str">
            <v>Raytheon</v>
          </cell>
          <cell r="E97" t="str">
            <v/>
          </cell>
          <cell r="G97">
            <v>1</v>
          </cell>
          <cell r="H97" t="str">
            <v/>
          </cell>
          <cell r="I97" t="str">
            <v/>
          </cell>
          <cell r="J97" t="str">
            <v>http://findarticles.com/p/articles/mi_m0EIN/is_1999_June_17/ai_54913399/</v>
          </cell>
          <cell r="K97" t="str">
            <v>Navy</v>
          </cell>
          <cell r="L97">
            <v>2008</v>
          </cell>
          <cell r="M97" t="str">
            <v>DE</v>
          </cell>
          <cell r="N97">
            <v>-3.6</v>
          </cell>
          <cell r="O97" t="e">
            <v>#NAME?</v>
          </cell>
          <cell r="P97" t="e">
            <v>#NAME?</v>
          </cell>
          <cell r="Q97" t="e">
            <v>#NAME?</v>
          </cell>
          <cell r="R97">
            <v>0</v>
          </cell>
          <cell r="S97" t="e">
            <v>#NAME?</v>
          </cell>
          <cell r="T97" t="e">
            <v>#NAME?</v>
          </cell>
          <cell r="U97" t="e">
            <v>#NAME?</v>
          </cell>
          <cell r="W97">
            <v>0</v>
          </cell>
          <cell r="X97" t="e">
            <v>#NAME?</v>
          </cell>
          <cell r="Y97" t="e">
            <v>#NAME?</v>
          </cell>
          <cell r="AA97">
            <v>0</v>
          </cell>
          <cell r="AB97" t="e">
            <v>#NAME?</v>
          </cell>
          <cell r="AC97" t="e">
            <v>#NAME?</v>
          </cell>
          <cell r="AD97" t="e">
            <v>#NAME?</v>
          </cell>
          <cell r="AE97" t="e">
            <v>#NAME?</v>
          </cell>
          <cell r="AF97" t="e">
            <v>#NAME?</v>
          </cell>
          <cell r="AG97" t="e">
            <v>#NAME?</v>
          </cell>
          <cell r="AH97" t="e">
            <v>#NAME?</v>
          </cell>
          <cell r="AI97" t="str">
            <v/>
          </cell>
          <cell r="AK97">
            <v>0</v>
          </cell>
          <cell r="AL97" t="str">
            <v/>
          </cell>
          <cell r="AM97" t="str">
            <v/>
          </cell>
          <cell r="AP97">
            <v>1</v>
          </cell>
          <cell r="AQ97">
            <v>0</v>
          </cell>
        </row>
        <row r="98">
          <cell r="A98" t="str">
            <v>JPATS</v>
          </cell>
          <cell r="B98" t="str">
            <v>JPATS</v>
          </cell>
          <cell r="C98" t="str">
            <v>Hawker Beechcraft (Raytheon)</v>
          </cell>
          <cell r="D98" t="str">
            <v>Hawker Beechcraft (Raytheon)</v>
          </cell>
          <cell r="E98" t="str">
            <v/>
          </cell>
          <cell r="G98">
            <v>1</v>
          </cell>
          <cell r="H98" t="str">
            <v/>
          </cell>
          <cell r="I98" t="str">
            <v/>
          </cell>
          <cell r="J98" t="str">
            <v/>
          </cell>
          <cell r="K98" t="str">
            <v>Air Force</v>
          </cell>
          <cell r="L98">
            <v>2002</v>
          </cell>
          <cell r="M98" t="str">
            <v>PdE</v>
          </cell>
          <cell r="N98">
            <v>9.4</v>
          </cell>
          <cell r="O98" t="e">
            <v>#NAME?</v>
          </cell>
          <cell r="P98" t="e">
            <v>#NAME?</v>
          </cell>
          <cell r="Q98" t="e">
            <v>#NAME?</v>
          </cell>
          <cell r="R98">
            <v>0</v>
          </cell>
          <cell r="S98" t="e">
            <v>#NAME?</v>
          </cell>
          <cell r="T98" t="e">
            <v>#NAME?</v>
          </cell>
          <cell r="U98" t="e">
            <v>#NAME?</v>
          </cell>
          <cell r="W98">
            <v>0</v>
          </cell>
          <cell r="X98" t="e">
            <v>#NAME?</v>
          </cell>
          <cell r="Y98" t="e">
            <v>#NAME?</v>
          </cell>
          <cell r="AA98">
            <v>0</v>
          </cell>
          <cell r="AB98" t="e">
            <v>#NAME?</v>
          </cell>
          <cell r="AC98" t="e">
            <v>#NAME?</v>
          </cell>
          <cell r="AD98" t="e">
            <v>#NAME?</v>
          </cell>
          <cell r="AE98" t="e">
            <v>#NAME?</v>
          </cell>
          <cell r="AF98" t="e">
            <v>#NAME?</v>
          </cell>
          <cell r="AG98" t="e">
            <v>#NAME?</v>
          </cell>
          <cell r="AH98" t="e">
            <v>#NAME?</v>
          </cell>
          <cell r="AI98" t="str">
            <v/>
          </cell>
          <cell r="AK98">
            <v>0</v>
          </cell>
          <cell r="AL98" t="str">
            <v/>
          </cell>
          <cell r="AM98" t="str">
            <v/>
          </cell>
          <cell r="AP98">
            <v>1</v>
          </cell>
          <cell r="AQ98">
            <v>0</v>
          </cell>
        </row>
        <row r="99">
          <cell r="A99" t="str">
            <v>JSIMS</v>
          </cell>
          <cell r="B99" t="str">
            <v>JSIMS</v>
          </cell>
          <cell r="C99" t="str">
            <v>TRW Systems (Northrop Grumman)</v>
          </cell>
          <cell r="D99" t="str">
            <v>TRW Systems (Northrop Grumman)</v>
          </cell>
          <cell r="E99" t="str">
            <v/>
          </cell>
          <cell r="G99">
            <v>1</v>
          </cell>
          <cell r="H99" t="str">
            <v/>
          </cell>
          <cell r="I99" t="str">
            <v/>
          </cell>
          <cell r="J99" t="str">
            <v/>
          </cell>
          <cell r="K99" t="str">
            <v>DoD-wide</v>
          </cell>
          <cell r="L99">
            <v>2001</v>
          </cell>
          <cell r="M99" t="str">
            <v>DE</v>
          </cell>
          <cell r="N99" t="e">
            <v>#N/A</v>
          </cell>
          <cell r="O99" t="e">
            <v>#N/A</v>
          </cell>
          <cell r="P99" t="e">
            <v>#NAME?</v>
          </cell>
          <cell r="Q99" t="e">
            <v>#N/A</v>
          </cell>
          <cell r="R99">
            <v>0</v>
          </cell>
          <cell r="S99" t="e">
            <v>#NAME?</v>
          </cell>
          <cell r="T99" t="e">
            <v>#NAME?</v>
          </cell>
          <cell r="U99" t="e">
            <v>#NAME?</v>
          </cell>
          <cell r="W99">
            <v>0</v>
          </cell>
          <cell r="X99" t="e">
            <v>#NAME?</v>
          </cell>
          <cell r="Y99" t="e">
            <v>#NAME?</v>
          </cell>
          <cell r="AA99">
            <v>0</v>
          </cell>
          <cell r="AB99" t="e">
            <v>#NAME?</v>
          </cell>
          <cell r="AC99" t="e">
            <v>#NAME?</v>
          </cell>
          <cell r="AD99" t="e">
            <v>#NAME?</v>
          </cell>
          <cell r="AE99" t="e">
            <v>#NAME?</v>
          </cell>
          <cell r="AF99" t="e">
            <v>#NAME?</v>
          </cell>
          <cell r="AG99" t="e">
            <v>#NAME?</v>
          </cell>
          <cell r="AH99" t="e">
            <v>#NAME?</v>
          </cell>
          <cell r="AI99" t="str">
            <v/>
          </cell>
          <cell r="AK99">
            <v>0</v>
          </cell>
          <cell r="AL99" t="str">
            <v/>
          </cell>
          <cell r="AM99" t="str">
            <v/>
          </cell>
          <cell r="AP99">
            <v>1</v>
          </cell>
          <cell r="AQ99">
            <v>0</v>
          </cell>
        </row>
        <row r="100">
          <cell r="A100" t="str">
            <v>JSOW</v>
          </cell>
          <cell r="B100" t="str">
            <v>JSOW</v>
          </cell>
          <cell r="C100" t="str">
            <v>Raytheon</v>
          </cell>
          <cell r="D100" t="str">
            <v>Raytheon</v>
          </cell>
          <cell r="E100" t="str">
            <v/>
          </cell>
          <cell r="G100">
            <v>1</v>
          </cell>
          <cell r="H100" t="str">
            <v>BAE</v>
          </cell>
          <cell r="I100" t="str">
            <v/>
          </cell>
          <cell r="J100" t="str">
            <v/>
          </cell>
          <cell r="K100" t="str">
            <v>Navy</v>
          </cell>
          <cell r="L100">
            <v>1990</v>
          </cell>
          <cell r="M100" t="str">
            <v>PdE</v>
          </cell>
          <cell r="N100" t="e">
            <v>#N/A</v>
          </cell>
          <cell r="O100" t="e">
            <v>#N/A</v>
          </cell>
          <cell r="P100" t="e">
            <v>#NAME?</v>
          </cell>
          <cell r="Q100" t="e">
            <v>#N/A</v>
          </cell>
          <cell r="R100">
            <v>0</v>
          </cell>
          <cell r="S100" t="e">
            <v>#NAME?</v>
          </cell>
          <cell r="T100" t="e">
            <v>#NAME?</v>
          </cell>
          <cell r="U100" t="e">
            <v>#NAME?</v>
          </cell>
          <cell r="W100">
            <v>0</v>
          </cell>
          <cell r="X100" t="e">
            <v>#NAME?</v>
          </cell>
          <cell r="Y100" t="e">
            <v>#NAME?</v>
          </cell>
          <cell r="AA100">
            <v>0</v>
          </cell>
          <cell r="AB100" t="e">
            <v>#NAME?</v>
          </cell>
          <cell r="AC100" t="e">
            <v>#NAME?</v>
          </cell>
          <cell r="AD100" t="e">
            <v>#NAME?</v>
          </cell>
          <cell r="AE100" t="e">
            <v>#NAME?</v>
          </cell>
          <cell r="AF100" t="e">
            <v>#NAME?</v>
          </cell>
          <cell r="AG100" t="e">
            <v>#NAME?</v>
          </cell>
          <cell r="AH100" t="e">
            <v>#NAME?</v>
          </cell>
          <cell r="AI100" t="str">
            <v/>
          </cell>
          <cell r="AK100">
            <v>0</v>
          </cell>
          <cell r="AL100" t="str">
            <v/>
          </cell>
          <cell r="AM100" t="str">
            <v/>
          </cell>
          <cell r="AP100">
            <v>1</v>
          </cell>
          <cell r="AQ100">
            <v>0</v>
          </cell>
        </row>
        <row r="101">
          <cell r="A101" t="str">
            <v>JSOW Split</v>
          </cell>
          <cell r="B101" t="str">
            <v>JSOW Split</v>
          </cell>
          <cell r="C101">
            <v>0</v>
          </cell>
          <cell r="D101">
            <v>0</v>
          </cell>
          <cell r="E101" t="str">
            <v/>
          </cell>
          <cell r="G101">
            <v>1</v>
          </cell>
          <cell r="H101" t="str">
            <v/>
          </cell>
          <cell r="I101" t="str">
            <v/>
          </cell>
          <cell r="J101" t="str">
            <v/>
          </cell>
          <cell r="K101">
            <v>0</v>
          </cell>
          <cell r="L101">
            <v>1990</v>
          </cell>
          <cell r="M101" t="str">
            <v>PdE</v>
          </cell>
          <cell r="N101">
            <v>10.6</v>
          </cell>
          <cell r="O101" t="e">
            <v>#NAME?</v>
          </cell>
          <cell r="P101" t="e">
            <v>#NAME?</v>
          </cell>
          <cell r="Q101" t="e">
            <v>#NAME?</v>
          </cell>
          <cell r="R101">
            <v>0</v>
          </cell>
          <cell r="S101" t="e">
            <v>#NAME?</v>
          </cell>
          <cell r="T101" t="e">
            <v>#NAME?</v>
          </cell>
          <cell r="U101" t="e">
            <v>#NAME?</v>
          </cell>
          <cell r="W101">
            <v>0</v>
          </cell>
          <cell r="X101" t="e">
            <v>#NAME?</v>
          </cell>
          <cell r="Y101" t="e">
            <v>#NAME?</v>
          </cell>
          <cell r="AA101">
            <v>0</v>
          </cell>
          <cell r="AB101" t="e">
            <v>#NAME?</v>
          </cell>
          <cell r="AC101" t="e">
            <v>#NAME?</v>
          </cell>
          <cell r="AD101" t="e">
            <v>#NAME?</v>
          </cell>
          <cell r="AE101" t="e">
            <v>#NAME?</v>
          </cell>
          <cell r="AF101" t="e">
            <v>#NAME?</v>
          </cell>
          <cell r="AG101" t="e">
            <v>#NAME?</v>
          </cell>
          <cell r="AH101" t="e">
            <v>#NAME?</v>
          </cell>
          <cell r="AI101" t="str">
            <v/>
          </cell>
          <cell r="AK101">
            <v>0</v>
          </cell>
          <cell r="AL101" t="str">
            <v/>
          </cell>
          <cell r="AM101" t="str">
            <v/>
          </cell>
          <cell r="AP101">
            <v>1</v>
          </cell>
          <cell r="AQ101">
            <v>0</v>
          </cell>
        </row>
        <row r="102">
          <cell r="A102" t="str">
            <v>JSOW Split</v>
          </cell>
          <cell r="B102" t="str">
            <v>JSOW Split</v>
          </cell>
          <cell r="C102">
            <v>0</v>
          </cell>
          <cell r="D102">
            <v>0</v>
          </cell>
          <cell r="E102" t="str">
            <v/>
          </cell>
          <cell r="G102">
            <v>1</v>
          </cell>
          <cell r="H102" t="str">
            <v/>
          </cell>
          <cell r="I102" t="str">
            <v/>
          </cell>
          <cell r="J102" t="str">
            <v/>
          </cell>
          <cell r="K102">
            <v>0</v>
          </cell>
          <cell r="L102">
            <v>1990</v>
          </cell>
          <cell r="M102" t="str">
            <v>PdE</v>
          </cell>
          <cell r="N102">
            <v>10.6</v>
          </cell>
          <cell r="O102" t="e">
            <v>#NAME?</v>
          </cell>
          <cell r="P102" t="e">
            <v>#NAME?</v>
          </cell>
          <cell r="Q102" t="e">
            <v>#NAME?</v>
          </cell>
          <cell r="R102">
            <v>0</v>
          </cell>
          <cell r="S102" t="e">
            <v>#NAME?</v>
          </cell>
          <cell r="T102" t="e">
            <v>#NAME?</v>
          </cell>
          <cell r="U102" t="e">
            <v>#NAME?</v>
          </cell>
          <cell r="W102">
            <v>0</v>
          </cell>
          <cell r="X102" t="e">
            <v>#NAME?</v>
          </cell>
          <cell r="Y102" t="e">
            <v>#NAME?</v>
          </cell>
          <cell r="AA102">
            <v>0</v>
          </cell>
          <cell r="AB102" t="e">
            <v>#NAME?</v>
          </cell>
          <cell r="AC102" t="e">
            <v>#NAME?</v>
          </cell>
          <cell r="AD102" t="e">
            <v>#NAME?</v>
          </cell>
          <cell r="AE102" t="e">
            <v>#NAME?</v>
          </cell>
          <cell r="AF102" t="e">
            <v>#NAME?</v>
          </cell>
          <cell r="AG102" t="e">
            <v>#NAME?</v>
          </cell>
          <cell r="AH102" t="e">
            <v>#NAME?</v>
          </cell>
          <cell r="AI102" t="str">
            <v/>
          </cell>
          <cell r="AK102">
            <v>0</v>
          </cell>
          <cell r="AL102" t="str">
            <v/>
          </cell>
          <cell r="AM102" t="str">
            <v/>
          </cell>
          <cell r="AP102">
            <v>1</v>
          </cell>
          <cell r="AQ102">
            <v>0</v>
          </cell>
        </row>
        <row r="103">
          <cell r="A103" t="str">
            <v>JTRS GMR</v>
          </cell>
          <cell r="B103" t="str">
            <v>JTRS GMR</v>
          </cell>
          <cell r="C103" t="str">
            <v>Boeing</v>
          </cell>
          <cell r="D103" t="str">
            <v>Boeing</v>
          </cell>
          <cell r="E103" t="str">
            <v/>
          </cell>
          <cell r="G103">
            <v>1</v>
          </cell>
          <cell r="H103" t="str">
            <v>BAE, Lockheed Martin, ViaSat, General Dynamics, Harris, Thales, Raytheon</v>
          </cell>
          <cell r="I103" t="str">
            <v/>
          </cell>
          <cell r="J103" t="str">
            <v/>
          </cell>
          <cell r="K103" t="str">
            <v>DoD-wide</v>
          </cell>
          <cell r="L103">
            <v>2002</v>
          </cell>
          <cell r="M103" t="str">
            <v>DE</v>
          </cell>
          <cell r="N103">
            <v>-25.2</v>
          </cell>
          <cell r="O103" t="e">
            <v>#NAME?</v>
          </cell>
          <cell r="P103" t="e">
            <v>#NAME?</v>
          </cell>
          <cell r="Q103" t="e">
            <v>#NAME?</v>
          </cell>
          <cell r="R103">
            <v>0</v>
          </cell>
          <cell r="S103" t="e">
            <v>#NAME?</v>
          </cell>
          <cell r="T103" t="e">
            <v>#NAME?</v>
          </cell>
          <cell r="U103" t="e">
            <v>#NAME?</v>
          </cell>
          <cell r="W103">
            <v>0</v>
          </cell>
          <cell r="X103" t="e">
            <v>#NAME?</v>
          </cell>
          <cell r="Y103" t="e">
            <v>#NAME?</v>
          </cell>
          <cell r="AA103">
            <v>0</v>
          </cell>
          <cell r="AB103" t="e">
            <v>#NAME?</v>
          </cell>
          <cell r="AC103" t="e">
            <v>#NAME?</v>
          </cell>
          <cell r="AD103" t="e">
            <v>#NAME?</v>
          </cell>
          <cell r="AE103" t="e">
            <v>#NAME?</v>
          </cell>
          <cell r="AF103" t="e">
            <v>#NAME?</v>
          </cell>
          <cell r="AG103" t="e">
            <v>#NAME?</v>
          </cell>
          <cell r="AH103" t="e">
            <v>#NAME?</v>
          </cell>
          <cell r="AI103" t="str">
            <v/>
          </cell>
          <cell r="AK103">
            <v>0</v>
          </cell>
          <cell r="AL103" t="str">
            <v/>
          </cell>
          <cell r="AM103" t="str">
            <v/>
          </cell>
          <cell r="AP103">
            <v>1</v>
          </cell>
          <cell r="AQ103">
            <v>0</v>
          </cell>
        </row>
        <row r="104">
          <cell r="A104" t="str">
            <v>JTRS HMS</v>
          </cell>
          <cell r="B104" t="str">
            <v>JTRS HMS</v>
          </cell>
          <cell r="C104" t="str">
            <v>General Dynamics</v>
          </cell>
          <cell r="D104" t="str">
            <v>General Dynamics</v>
          </cell>
          <cell r="E104" t="str">
            <v/>
          </cell>
          <cell r="G104">
            <v>1</v>
          </cell>
          <cell r="H104" t="str">
            <v>BAE, Rockwell Collins</v>
          </cell>
          <cell r="I104" t="str">
            <v/>
          </cell>
          <cell r="J104" t="str">
            <v/>
          </cell>
          <cell r="K104" t="str">
            <v>DoD-wide</v>
          </cell>
          <cell r="L104">
            <v>2011</v>
          </cell>
          <cell r="M104" t="str">
            <v>DE/PdE</v>
          </cell>
          <cell r="N104">
            <v>-25.8</v>
          </cell>
          <cell r="O104" t="e">
            <v>#NAME?</v>
          </cell>
          <cell r="P104" t="e">
            <v>#NAME?</v>
          </cell>
          <cell r="Q104" t="e">
            <v>#NAME?</v>
          </cell>
          <cell r="R104">
            <v>0</v>
          </cell>
          <cell r="S104" t="e">
            <v>#NAME?</v>
          </cell>
          <cell r="T104" t="e">
            <v>#NAME?</v>
          </cell>
          <cell r="U104" t="e">
            <v>#NAME?</v>
          </cell>
          <cell r="W104">
            <v>0</v>
          </cell>
          <cell r="X104" t="e">
            <v>#NAME?</v>
          </cell>
          <cell r="Y104" t="e">
            <v>#NAME?</v>
          </cell>
          <cell r="AA104">
            <v>0</v>
          </cell>
          <cell r="AB104" t="e">
            <v>#NAME?</v>
          </cell>
          <cell r="AC104" t="e">
            <v>#NAME?</v>
          </cell>
          <cell r="AD104" t="e">
            <v>#NAME?</v>
          </cell>
          <cell r="AE104" t="e">
            <v>#NAME?</v>
          </cell>
          <cell r="AF104" t="e">
            <v>#NAME?</v>
          </cell>
          <cell r="AG104" t="e">
            <v>#NAME?</v>
          </cell>
          <cell r="AH104" t="e">
            <v>#NAME?</v>
          </cell>
          <cell r="AI104" t="str">
            <v/>
          </cell>
          <cell r="AK104">
            <v>0</v>
          </cell>
          <cell r="AL104" t="str">
            <v/>
          </cell>
          <cell r="AM104" t="str">
            <v/>
          </cell>
          <cell r="AP104">
            <v>1</v>
          </cell>
          <cell r="AQ104">
            <v>0</v>
          </cell>
        </row>
        <row r="105">
          <cell r="A105" t="str">
            <v>JTRS NED</v>
          </cell>
          <cell r="B105" t="str">
            <v>JTRS NED</v>
          </cell>
          <cell r="C105" t="str">
            <v>Multiple</v>
          </cell>
          <cell r="D105" t="str">
            <v>Multiple</v>
          </cell>
          <cell r="E105" t="str">
            <v/>
          </cell>
          <cell r="G105">
            <v>1</v>
          </cell>
          <cell r="H105" t="str">
            <v>ITT, Booz Allen Hamilton, Raytheon, Harris, Thales</v>
          </cell>
          <cell r="I105" t="str">
            <v/>
          </cell>
          <cell r="J105" t="str">
            <v/>
          </cell>
          <cell r="K105" t="str">
            <v>DoD-wide</v>
          </cell>
          <cell r="L105">
            <v>2002</v>
          </cell>
          <cell r="M105" t="str">
            <v>DE</v>
          </cell>
          <cell r="N105">
            <v>117.9</v>
          </cell>
          <cell r="O105" t="e">
            <v>#NAME?</v>
          </cell>
          <cell r="P105" t="e">
            <v>#NAME?</v>
          </cell>
          <cell r="Q105" t="e">
            <v>#NAME?</v>
          </cell>
          <cell r="R105">
            <v>0</v>
          </cell>
          <cell r="S105" t="e">
            <v>#NAME?</v>
          </cell>
          <cell r="T105" t="e">
            <v>#NAME?</v>
          </cell>
          <cell r="U105" t="e">
            <v>#NAME?</v>
          </cell>
          <cell r="W105">
            <v>0</v>
          </cell>
          <cell r="X105" t="e">
            <v>#NAME?</v>
          </cell>
          <cell r="Y105" t="e">
            <v>#NAME?</v>
          </cell>
          <cell r="AA105">
            <v>0</v>
          </cell>
          <cell r="AB105" t="e">
            <v>#NAME?</v>
          </cell>
          <cell r="AC105" t="e">
            <v>#NAME?</v>
          </cell>
          <cell r="AD105" t="e">
            <v>#NAME?</v>
          </cell>
          <cell r="AE105" t="e">
            <v>#NAME?</v>
          </cell>
          <cell r="AF105" t="e">
            <v>#NAME?</v>
          </cell>
          <cell r="AG105" t="e">
            <v>#NAME?</v>
          </cell>
          <cell r="AH105" t="e">
            <v>#NAME?</v>
          </cell>
          <cell r="AI105" t="str">
            <v/>
          </cell>
          <cell r="AK105">
            <v>0</v>
          </cell>
          <cell r="AL105" t="str">
            <v/>
          </cell>
          <cell r="AM105" t="str">
            <v/>
          </cell>
          <cell r="AP105">
            <v>1</v>
          </cell>
          <cell r="AQ105">
            <v>0</v>
          </cell>
        </row>
        <row r="106">
          <cell r="A106" t="str">
            <v>KC-130J</v>
          </cell>
          <cell r="B106" t="str">
            <v>KC-130J</v>
          </cell>
          <cell r="C106">
            <v>0</v>
          </cell>
          <cell r="D106">
            <v>0</v>
          </cell>
          <cell r="E106" t="str">
            <v/>
          </cell>
          <cell r="G106">
            <v>1</v>
          </cell>
          <cell r="H106" t="str">
            <v/>
          </cell>
          <cell r="I106" t="str">
            <v/>
          </cell>
          <cell r="J106" t="str">
            <v/>
          </cell>
          <cell r="K106">
            <v>0</v>
          </cell>
          <cell r="L106">
            <v>2010</v>
          </cell>
          <cell r="M106" t="str">
            <v>PdE</v>
          </cell>
          <cell r="N106">
            <v>6.5</v>
          </cell>
          <cell r="O106" t="e">
            <v>#NAME?</v>
          </cell>
          <cell r="P106" t="e">
            <v>#NAME?</v>
          </cell>
          <cell r="Q106" t="e">
            <v>#NAME?</v>
          </cell>
          <cell r="R106">
            <v>0</v>
          </cell>
          <cell r="S106" t="e">
            <v>#NAME?</v>
          </cell>
          <cell r="T106" t="e">
            <v>#NAME?</v>
          </cell>
          <cell r="U106" t="e">
            <v>#NAME?</v>
          </cell>
          <cell r="W106">
            <v>0</v>
          </cell>
          <cell r="X106" t="e">
            <v>#NAME?</v>
          </cell>
          <cell r="Y106" t="e">
            <v>#NAME?</v>
          </cell>
          <cell r="AA106">
            <v>0</v>
          </cell>
          <cell r="AB106" t="e">
            <v>#NAME?</v>
          </cell>
          <cell r="AC106" t="e">
            <v>#NAME?</v>
          </cell>
          <cell r="AD106" t="e">
            <v>#NAME?</v>
          </cell>
          <cell r="AE106" t="e">
            <v>#NAME?</v>
          </cell>
          <cell r="AF106" t="e">
            <v>#NAME?</v>
          </cell>
          <cell r="AG106" t="e">
            <v>#NAME?</v>
          </cell>
          <cell r="AH106" t="e">
            <v>#NAME?</v>
          </cell>
          <cell r="AI106" t="str">
            <v/>
          </cell>
          <cell r="AK106">
            <v>0</v>
          </cell>
          <cell r="AL106" t="str">
            <v/>
          </cell>
          <cell r="AM106" t="str">
            <v/>
          </cell>
          <cell r="AP106">
            <v>1</v>
          </cell>
          <cell r="AQ106">
            <v>0</v>
          </cell>
        </row>
        <row r="107">
          <cell r="A107" t="str">
            <v>KC-45A</v>
          </cell>
          <cell r="B107" t="str">
            <v>KC-45A</v>
          </cell>
          <cell r="C107" t="str">
            <v>EADS</v>
          </cell>
          <cell r="D107" t="str">
            <v>EADS</v>
          </cell>
          <cell r="E107" t="str">
            <v/>
          </cell>
          <cell r="G107">
            <v>1</v>
          </cell>
          <cell r="H107" t="str">
            <v/>
          </cell>
          <cell r="I107" t="str">
            <v/>
          </cell>
          <cell r="J107" t="str">
            <v/>
          </cell>
          <cell r="K107">
            <v>0</v>
          </cell>
          <cell r="L107" t="str">
            <v/>
          </cell>
          <cell r="M107" t="str">
            <v/>
          </cell>
          <cell r="N107" t="e">
            <v>#N/A</v>
          </cell>
          <cell r="O107" t="e">
            <v>#N/A</v>
          </cell>
          <cell r="P107" t="e">
            <v>#NAME?</v>
          </cell>
          <cell r="Q107" t="e">
            <v>#N/A</v>
          </cell>
          <cell r="R107">
            <v>0</v>
          </cell>
          <cell r="S107" t="e">
            <v>#NAME?</v>
          </cell>
          <cell r="T107" t="e">
            <v>#NAME?</v>
          </cell>
          <cell r="U107" t="e">
            <v>#NAME?</v>
          </cell>
          <cell r="W107">
            <v>0</v>
          </cell>
          <cell r="X107" t="e">
            <v>#NAME?</v>
          </cell>
          <cell r="Y107" t="e">
            <v>#NAME?</v>
          </cell>
          <cell r="AA107">
            <v>0</v>
          </cell>
          <cell r="AB107" t="e">
            <v>#NAME?</v>
          </cell>
          <cell r="AC107" t="e">
            <v>#NAME?</v>
          </cell>
          <cell r="AD107" t="e">
            <v>#NAME?</v>
          </cell>
          <cell r="AE107" t="e">
            <v>#NAME?</v>
          </cell>
          <cell r="AF107" t="e">
            <v>#NAME?</v>
          </cell>
          <cell r="AG107" t="e">
            <v>#NAME?</v>
          </cell>
          <cell r="AH107" t="e">
            <v>#NAME?</v>
          </cell>
          <cell r="AI107" t="str">
            <v/>
          </cell>
          <cell r="AK107">
            <v>0</v>
          </cell>
          <cell r="AL107" t="str">
            <v/>
          </cell>
          <cell r="AM107" t="str">
            <v/>
          </cell>
          <cell r="AP107">
            <v>1</v>
          </cell>
          <cell r="AQ107">
            <v>0</v>
          </cell>
        </row>
        <row r="108">
          <cell r="A108" t="str">
            <v>KC-46A</v>
          </cell>
          <cell r="B108" t="str">
            <v>KC-46A</v>
          </cell>
          <cell r="C108">
            <v>0</v>
          </cell>
          <cell r="D108">
            <v>0</v>
          </cell>
          <cell r="E108" t="str">
            <v/>
          </cell>
          <cell r="G108">
            <v>1</v>
          </cell>
          <cell r="H108" t="str">
            <v/>
          </cell>
          <cell r="I108" t="str">
            <v/>
          </cell>
          <cell r="J108" t="str">
            <v/>
          </cell>
          <cell r="K108">
            <v>0</v>
          </cell>
          <cell r="L108">
            <v>2011</v>
          </cell>
          <cell r="M108" t="str">
            <v>DE</v>
          </cell>
          <cell r="N108">
            <v>0.5</v>
          </cell>
          <cell r="O108" t="e">
            <v>#NAME?</v>
          </cell>
          <cell r="P108" t="e">
            <v>#NAME?</v>
          </cell>
          <cell r="Q108" t="e">
            <v>#NAME?</v>
          </cell>
          <cell r="R108">
            <v>0</v>
          </cell>
          <cell r="S108" t="e">
            <v>#NAME?</v>
          </cell>
          <cell r="T108" t="e">
            <v>#NAME?</v>
          </cell>
          <cell r="U108" t="e">
            <v>#NAME?</v>
          </cell>
          <cell r="W108">
            <v>0</v>
          </cell>
          <cell r="X108" t="e">
            <v>#NAME?</v>
          </cell>
          <cell r="Y108" t="e">
            <v>#NAME?</v>
          </cell>
          <cell r="AA108">
            <v>0</v>
          </cell>
          <cell r="AB108" t="e">
            <v>#NAME?</v>
          </cell>
          <cell r="AC108" t="e">
            <v>#NAME?</v>
          </cell>
          <cell r="AD108" t="e">
            <v>#NAME?</v>
          </cell>
          <cell r="AE108" t="e">
            <v>#NAME?</v>
          </cell>
          <cell r="AF108" t="e">
            <v>#NAME?</v>
          </cell>
          <cell r="AG108" t="e">
            <v>#NAME?</v>
          </cell>
          <cell r="AH108" t="e">
            <v>#NAME?</v>
          </cell>
          <cell r="AI108" t="str">
            <v/>
          </cell>
          <cell r="AK108">
            <v>0</v>
          </cell>
          <cell r="AL108" t="str">
            <v/>
          </cell>
          <cell r="AM108" t="str">
            <v/>
          </cell>
          <cell r="AP108">
            <v>1</v>
          </cell>
          <cell r="AQ108">
            <v>0</v>
          </cell>
        </row>
        <row r="109">
          <cell r="A109" t="str">
            <v>LAIRCM</v>
          </cell>
          <cell r="B109" t="str">
            <v>LAIRCM</v>
          </cell>
          <cell r="C109" t="str">
            <v>Northrop Grumman</v>
          </cell>
          <cell r="D109" t="str">
            <v>Northrop Grumman</v>
          </cell>
          <cell r="E109" t="str">
            <v/>
          </cell>
          <cell r="G109">
            <v>1</v>
          </cell>
          <cell r="H109" t="str">
            <v/>
          </cell>
          <cell r="I109" t="str">
            <v/>
          </cell>
          <cell r="J109" t="str">
            <v/>
          </cell>
          <cell r="K109" t="str">
            <v>Air Force</v>
          </cell>
          <cell r="L109">
            <v>2008</v>
          </cell>
          <cell r="M109" t="str">
            <v>PdE</v>
          </cell>
          <cell r="N109" t="e">
            <v>#N/A</v>
          </cell>
          <cell r="O109" t="e">
            <v>#N/A</v>
          </cell>
          <cell r="P109" t="e">
            <v>#NAME?</v>
          </cell>
          <cell r="Q109" t="e">
            <v>#N/A</v>
          </cell>
          <cell r="R109">
            <v>0</v>
          </cell>
          <cell r="S109" t="e">
            <v>#NAME?</v>
          </cell>
          <cell r="T109" t="e">
            <v>#NAME?</v>
          </cell>
          <cell r="U109" t="e">
            <v>#NAME?</v>
          </cell>
          <cell r="W109">
            <v>0</v>
          </cell>
          <cell r="X109" t="e">
            <v>#NAME?</v>
          </cell>
          <cell r="Y109" t="e">
            <v>#NAME?</v>
          </cell>
          <cell r="AA109">
            <v>0</v>
          </cell>
          <cell r="AB109" t="e">
            <v>#NAME?</v>
          </cell>
          <cell r="AC109" t="e">
            <v>#NAME?</v>
          </cell>
          <cell r="AD109" t="e">
            <v>#NAME?</v>
          </cell>
          <cell r="AE109" t="e">
            <v>#NAME?</v>
          </cell>
          <cell r="AF109" t="e">
            <v>#NAME?</v>
          </cell>
          <cell r="AG109" t="e">
            <v>#NAME?</v>
          </cell>
          <cell r="AH109" t="e">
            <v>#NAME?</v>
          </cell>
          <cell r="AI109" t="str">
            <v/>
          </cell>
          <cell r="AK109">
            <v>0</v>
          </cell>
          <cell r="AL109" t="str">
            <v/>
          </cell>
          <cell r="AM109" t="str">
            <v/>
          </cell>
          <cell r="AP109">
            <v>1</v>
          </cell>
          <cell r="AQ109">
            <v>0</v>
          </cell>
        </row>
        <row r="110">
          <cell r="A110" t="str">
            <v>LAND WARRIOR</v>
          </cell>
          <cell r="B110" t="str">
            <v>LAND WARRIOR</v>
          </cell>
          <cell r="C110" t="str">
            <v>General Dynamics</v>
          </cell>
          <cell r="D110" t="str">
            <v>General Dynamics</v>
          </cell>
          <cell r="E110" t="str">
            <v/>
          </cell>
          <cell r="G110">
            <v>1</v>
          </cell>
          <cell r="H110" t="str">
            <v/>
          </cell>
          <cell r="I110" t="str">
            <v/>
          </cell>
          <cell r="J110" t="str">
            <v/>
          </cell>
          <cell r="K110" t="str">
            <v>Army</v>
          </cell>
          <cell r="L110">
            <v>2003</v>
          </cell>
          <cell r="M110" t="str">
            <v xml:space="preserve">DE </v>
          </cell>
          <cell r="N110" t="e">
            <v>#N/A</v>
          </cell>
          <cell r="O110" t="e">
            <v>#N/A</v>
          </cell>
          <cell r="P110" t="e">
            <v>#NAME?</v>
          </cell>
          <cell r="Q110" t="e">
            <v>#N/A</v>
          </cell>
          <cell r="R110">
            <v>0</v>
          </cell>
          <cell r="S110" t="e">
            <v>#NAME?</v>
          </cell>
          <cell r="T110" t="e">
            <v>#NAME?</v>
          </cell>
          <cell r="U110" t="e">
            <v>#NAME?</v>
          </cell>
          <cell r="W110">
            <v>0</v>
          </cell>
          <cell r="X110" t="e">
            <v>#NAME?</v>
          </cell>
          <cell r="Y110" t="e">
            <v>#NAME?</v>
          </cell>
          <cell r="AA110">
            <v>0</v>
          </cell>
          <cell r="AB110" t="e">
            <v>#NAME?</v>
          </cell>
          <cell r="AC110" t="e">
            <v>#NAME?</v>
          </cell>
          <cell r="AD110" t="e">
            <v>#NAME?</v>
          </cell>
          <cell r="AE110" t="e">
            <v>#NAME?</v>
          </cell>
          <cell r="AF110" t="e">
            <v>#NAME?</v>
          </cell>
          <cell r="AG110" t="e">
            <v>#NAME?</v>
          </cell>
          <cell r="AH110" t="e">
            <v>#NAME?</v>
          </cell>
          <cell r="AI110" t="str">
            <v/>
          </cell>
          <cell r="AK110">
            <v>0</v>
          </cell>
          <cell r="AL110" t="str">
            <v/>
          </cell>
          <cell r="AM110" t="str">
            <v/>
          </cell>
          <cell r="AP110">
            <v>1</v>
          </cell>
          <cell r="AQ110">
            <v>0</v>
          </cell>
        </row>
        <row r="111">
          <cell r="A111" t="str">
            <v>LCS</v>
          </cell>
          <cell r="B111" t="str">
            <v>LCS</v>
          </cell>
          <cell r="C111" t="str">
            <v xml:space="preserve">Lockheed Martin, Austal </v>
          </cell>
          <cell r="D111" t="str">
            <v xml:space="preserve">Lockheed Martin, Austal </v>
          </cell>
          <cell r="E111" t="str">
            <v/>
          </cell>
          <cell r="G111">
            <v>1</v>
          </cell>
          <cell r="H111" t="str">
            <v>BAE, CSC</v>
          </cell>
          <cell r="I111" t="str">
            <v/>
          </cell>
          <cell r="J111" t="str">
            <v/>
          </cell>
          <cell r="K111" t="str">
            <v>Navy</v>
          </cell>
          <cell r="L111">
            <v>2010</v>
          </cell>
          <cell r="M111" t="str">
            <v>DE</v>
          </cell>
          <cell r="N111">
            <v>0</v>
          </cell>
          <cell r="O111" t="e">
            <v>#NAME?</v>
          </cell>
          <cell r="P111" t="e">
            <v>#NAME?</v>
          </cell>
          <cell r="Q111" t="e">
            <v>#NAME?</v>
          </cell>
          <cell r="R111">
            <v>0</v>
          </cell>
          <cell r="S111" t="e">
            <v>#NAME?</v>
          </cell>
          <cell r="T111" t="e">
            <v>#NAME?</v>
          </cell>
          <cell r="U111" t="e">
            <v>#NAME?</v>
          </cell>
          <cell r="W111">
            <v>0</v>
          </cell>
          <cell r="X111" t="e">
            <v>#NAME?</v>
          </cell>
          <cell r="Y111" t="e">
            <v>#NAME?</v>
          </cell>
          <cell r="AA111">
            <v>0</v>
          </cell>
          <cell r="AB111" t="e">
            <v>#NAME?</v>
          </cell>
          <cell r="AC111" t="e">
            <v>#NAME?</v>
          </cell>
          <cell r="AD111" t="e">
            <v>#NAME?</v>
          </cell>
          <cell r="AE111" t="e">
            <v>#NAME?</v>
          </cell>
          <cell r="AF111" t="e">
            <v>#NAME?</v>
          </cell>
          <cell r="AG111" t="e">
            <v>#NAME?</v>
          </cell>
          <cell r="AH111" t="e">
            <v>#NAME?</v>
          </cell>
          <cell r="AI111" t="str">
            <v/>
          </cell>
          <cell r="AK111">
            <v>0</v>
          </cell>
          <cell r="AL111" t="str">
            <v/>
          </cell>
          <cell r="AM111" t="str">
            <v/>
          </cell>
          <cell r="AP111">
            <v>1</v>
          </cell>
          <cell r="AQ111">
            <v>0</v>
          </cell>
        </row>
        <row r="112">
          <cell r="A112" t="str">
            <v>LCS (RDT&amp;E)</v>
          </cell>
          <cell r="B112" t="str">
            <v>LCS (RDT&amp;E)</v>
          </cell>
          <cell r="C112">
            <v>0</v>
          </cell>
          <cell r="D112">
            <v>0</v>
          </cell>
          <cell r="E112" t="str">
            <v/>
          </cell>
          <cell r="G112">
            <v>1</v>
          </cell>
          <cell r="H112" t="str">
            <v/>
          </cell>
          <cell r="I112" t="str">
            <v/>
          </cell>
          <cell r="J112" t="str">
            <v/>
          </cell>
          <cell r="K112">
            <v>0</v>
          </cell>
          <cell r="L112">
            <v>2004</v>
          </cell>
          <cell r="M112" t="str">
            <v>PE</v>
          </cell>
          <cell r="N112" t="e">
            <v>#N/A</v>
          </cell>
          <cell r="O112" t="e">
            <v>#N/A</v>
          </cell>
          <cell r="P112" t="e">
            <v>#NAME?</v>
          </cell>
          <cell r="Q112" t="e">
            <v>#N/A</v>
          </cell>
          <cell r="R112">
            <v>0</v>
          </cell>
          <cell r="S112" t="e">
            <v>#NAME?</v>
          </cell>
          <cell r="T112" t="e">
            <v>#NAME?</v>
          </cell>
          <cell r="U112" t="e">
            <v>#NAME?</v>
          </cell>
          <cell r="W112">
            <v>0</v>
          </cell>
          <cell r="X112" t="e">
            <v>#NAME?</v>
          </cell>
          <cell r="Y112" t="e">
            <v>#NAME?</v>
          </cell>
          <cell r="AA112">
            <v>0</v>
          </cell>
          <cell r="AB112" t="e">
            <v>#NAME?</v>
          </cell>
          <cell r="AC112" t="e">
            <v>#NAME?</v>
          </cell>
          <cell r="AD112" t="e">
            <v>#NAME?</v>
          </cell>
          <cell r="AE112" t="e">
            <v>#NAME?</v>
          </cell>
          <cell r="AF112" t="e">
            <v>#NAME?</v>
          </cell>
          <cell r="AG112" t="e">
            <v>#NAME?</v>
          </cell>
          <cell r="AH112" t="e">
            <v>#NAME?</v>
          </cell>
          <cell r="AI112" t="str">
            <v/>
          </cell>
          <cell r="AK112">
            <v>0</v>
          </cell>
          <cell r="AL112" t="str">
            <v/>
          </cell>
          <cell r="AM112" t="str">
            <v/>
          </cell>
          <cell r="AP112">
            <v>1</v>
          </cell>
          <cell r="AQ112">
            <v>0</v>
          </cell>
        </row>
        <row r="113">
          <cell r="A113" t="str">
            <v>LHA Replacement</v>
          </cell>
          <cell r="B113" t="str">
            <v>LHA Replacement</v>
          </cell>
          <cell r="C113" t="str">
            <v>Northrop Grumman</v>
          </cell>
          <cell r="D113" t="str">
            <v>Northrop Grumman</v>
          </cell>
          <cell r="E113" t="str">
            <v/>
          </cell>
          <cell r="G113">
            <v>1</v>
          </cell>
          <cell r="H113" t="str">
            <v/>
          </cell>
          <cell r="I113" t="str">
            <v/>
          </cell>
          <cell r="J113" t="str">
            <v/>
          </cell>
          <cell r="K113" t="str">
            <v>Navy</v>
          </cell>
          <cell r="L113">
            <v>2006</v>
          </cell>
          <cell r="M113" t="str">
            <v>DE</v>
          </cell>
          <cell r="N113">
            <v>3.9</v>
          </cell>
          <cell r="O113" t="e">
            <v>#NAME?</v>
          </cell>
          <cell r="P113" t="e">
            <v>#NAME?</v>
          </cell>
          <cell r="Q113" t="e">
            <v>#NAME?</v>
          </cell>
          <cell r="R113">
            <v>0</v>
          </cell>
          <cell r="S113" t="e">
            <v>#NAME?</v>
          </cell>
          <cell r="T113" t="e">
            <v>#NAME?</v>
          </cell>
          <cell r="U113" t="e">
            <v>#NAME?</v>
          </cell>
          <cell r="W113">
            <v>0</v>
          </cell>
          <cell r="X113" t="e">
            <v>#NAME?</v>
          </cell>
          <cell r="Y113" t="e">
            <v>#NAME?</v>
          </cell>
          <cell r="AA113">
            <v>0</v>
          </cell>
          <cell r="AB113" t="e">
            <v>#NAME?</v>
          </cell>
          <cell r="AC113" t="e">
            <v>#NAME?</v>
          </cell>
          <cell r="AD113" t="e">
            <v>#NAME?</v>
          </cell>
          <cell r="AE113" t="e">
            <v>#NAME?</v>
          </cell>
          <cell r="AF113" t="e">
            <v>#NAME?</v>
          </cell>
          <cell r="AG113" t="e">
            <v>#NAME?</v>
          </cell>
          <cell r="AH113" t="e">
            <v>#NAME?</v>
          </cell>
          <cell r="AI113" t="str">
            <v/>
          </cell>
          <cell r="AK113">
            <v>0</v>
          </cell>
          <cell r="AL113" t="str">
            <v/>
          </cell>
          <cell r="AM113" t="str">
            <v/>
          </cell>
          <cell r="AP113">
            <v>1</v>
          </cell>
          <cell r="AQ113">
            <v>0</v>
          </cell>
        </row>
        <row r="114">
          <cell r="A114" t="str">
            <v>LHD 1</v>
          </cell>
          <cell r="B114" t="str">
            <v>LHD 1</v>
          </cell>
          <cell r="C114" t="str">
            <v>Huntington Ingalls Industries (HII)</v>
          </cell>
          <cell r="D114" t="str">
            <v>Huntington Ingalls Industries (HII)</v>
          </cell>
          <cell r="E114" t="str">
            <v/>
          </cell>
          <cell r="G114">
            <v>1</v>
          </cell>
          <cell r="H114" t="str">
            <v/>
          </cell>
          <cell r="I114" t="str">
            <v/>
          </cell>
          <cell r="J114" t="str">
            <v/>
          </cell>
          <cell r="K114">
            <v>0</v>
          </cell>
          <cell r="L114">
            <v>1982</v>
          </cell>
          <cell r="M114" t="str">
            <v>DE</v>
          </cell>
          <cell r="N114" t="e">
            <v>#N/A</v>
          </cell>
          <cell r="O114" t="e">
            <v>#N/A</v>
          </cell>
          <cell r="P114" t="e">
            <v>#NAME?</v>
          </cell>
          <cell r="Q114" t="e">
            <v>#N/A</v>
          </cell>
          <cell r="R114">
            <v>0</v>
          </cell>
          <cell r="S114" t="e">
            <v>#NAME?</v>
          </cell>
          <cell r="T114" t="e">
            <v>#NAME?</v>
          </cell>
          <cell r="U114" t="e">
            <v>#NAME?</v>
          </cell>
          <cell r="W114">
            <v>0</v>
          </cell>
          <cell r="X114" t="e">
            <v>#NAME?</v>
          </cell>
          <cell r="Y114" t="e">
            <v>#NAME?</v>
          </cell>
          <cell r="AA114">
            <v>0</v>
          </cell>
          <cell r="AB114" t="e">
            <v>#NAME?</v>
          </cell>
          <cell r="AC114" t="e">
            <v>#NAME?</v>
          </cell>
          <cell r="AD114" t="e">
            <v>#NAME?</v>
          </cell>
          <cell r="AE114" t="e">
            <v>#NAME?</v>
          </cell>
          <cell r="AF114" t="e">
            <v>#NAME?</v>
          </cell>
          <cell r="AG114" t="e">
            <v>#NAME?</v>
          </cell>
          <cell r="AH114" t="e">
            <v>#NAME?</v>
          </cell>
          <cell r="AI114" t="str">
            <v/>
          </cell>
          <cell r="AK114">
            <v>0</v>
          </cell>
          <cell r="AL114" t="str">
            <v/>
          </cell>
          <cell r="AM114" t="str">
            <v/>
          </cell>
          <cell r="AP114">
            <v>1</v>
          </cell>
          <cell r="AQ114">
            <v>0</v>
          </cell>
        </row>
        <row r="115">
          <cell r="A115" t="str">
            <v>LONGBOW APACHE (AH-64D)</v>
          </cell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  <cell r="P115" t="e">
            <v>#N/A</v>
          </cell>
          <cell r="Q115" t="e">
            <v>#N/A</v>
          </cell>
          <cell r="R115">
            <v>0</v>
          </cell>
          <cell r="S115" t="e">
            <v>#N/A</v>
          </cell>
          <cell r="T115" t="e">
            <v>#N/A</v>
          </cell>
          <cell r="U115" t="e">
            <v>#N/A</v>
          </cell>
          <cell r="W115">
            <v>0</v>
          </cell>
          <cell r="X115" t="e">
            <v>#N/A</v>
          </cell>
          <cell r="Y115" t="e">
            <v>#N/A</v>
          </cell>
          <cell r="AA115">
            <v>0</v>
          </cell>
          <cell r="AB115" t="e">
            <v>#N/A</v>
          </cell>
          <cell r="AC115" t="e">
            <v>#N/A</v>
          </cell>
          <cell r="AD115" t="e">
            <v>#N/A</v>
          </cell>
          <cell r="AE115" t="e">
            <v>#N/A</v>
          </cell>
          <cell r="AF115" t="e">
            <v>#N/A</v>
          </cell>
          <cell r="AG115" t="e">
            <v>#N/A</v>
          </cell>
          <cell r="AH115" t="e">
            <v>#N/A</v>
          </cell>
          <cell r="AI115" t="str">
            <v/>
          </cell>
          <cell r="AK115">
            <v>0</v>
          </cell>
          <cell r="AL115" t="str">
            <v/>
          </cell>
          <cell r="AM115" t="str">
            <v/>
          </cell>
          <cell r="AP115">
            <v>1</v>
          </cell>
          <cell r="AQ115" t="e">
            <v>#N/A</v>
          </cell>
        </row>
        <row r="116">
          <cell r="A116" t="str">
            <v>LONGBOW HELLFIRE</v>
          </cell>
          <cell r="B116" t="str">
            <v>LONGBOW HELLFIRE</v>
          </cell>
          <cell r="C116" t="str">
            <v>Lockheed Martin and Northrop Grumman (JV)</v>
          </cell>
          <cell r="D116" t="str">
            <v>Lockheed Martin and Northrop Grumman (JV)</v>
          </cell>
          <cell r="E116" t="str">
            <v/>
          </cell>
          <cell r="G116">
            <v>1</v>
          </cell>
          <cell r="H116" t="str">
            <v/>
          </cell>
          <cell r="I116" t="str">
            <v/>
          </cell>
          <cell r="J116" t="str">
            <v/>
          </cell>
          <cell r="K116">
            <v>0</v>
          </cell>
          <cell r="L116">
            <v>1996</v>
          </cell>
          <cell r="M116" t="str">
            <v>PdE</v>
          </cell>
          <cell r="N116" t="e">
            <v>#N/A</v>
          </cell>
          <cell r="O116" t="e">
            <v>#N/A</v>
          </cell>
          <cell r="P116" t="e">
            <v>#NAME?</v>
          </cell>
          <cell r="Q116" t="e">
            <v>#N/A</v>
          </cell>
          <cell r="R116">
            <v>0</v>
          </cell>
          <cell r="S116" t="e">
            <v>#NAME?</v>
          </cell>
          <cell r="T116" t="e">
            <v>#NAME?</v>
          </cell>
          <cell r="U116" t="e">
            <v>#NAME?</v>
          </cell>
          <cell r="W116">
            <v>0</v>
          </cell>
          <cell r="X116" t="e">
            <v>#NAME?</v>
          </cell>
          <cell r="Y116" t="e">
            <v>#NAME?</v>
          </cell>
          <cell r="AA116">
            <v>0</v>
          </cell>
          <cell r="AB116" t="e">
            <v>#NAME?</v>
          </cell>
          <cell r="AC116" t="e">
            <v>#NAME?</v>
          </cell>
          <cell r="AD116" t="e">
            <v>#NAME?</v>
          </cell>
          <cell r="AE116" t="e">
            <v>#NAME?</v>
          </cell>
          <cell r="AF116" t="e">
            <v>#NAME?</v>
          </cell>
          <cell r="AG116" t="e">
            <v>#NAME?</v>
          </cell>
          <cell r="AH116" t="e">
            <v>#NAME?</v>
          </cell>
          <cell r="AI116" t="str">
            <v/>
          </cell>
          <cell r="AK116">
            <v>0</v>
          </cell>
          <cell r="AL116" t="str">
            <v/>
          </cell>
          <cell r="AM116" t="str">
            <v/>
          </cell>
          <cell r="AP116">
            <v>1</v>
          </cell>
          <cell r="AQ116">
            <v>0</v>
          </cell>
        </row>
        <row r="117">
          <cell r="A117" t="str">
            <v>LPD 17</v>
          </cell>
          <cell r="B117" t="str">
            <v>LPD 17</v>
          </cell>
          <cell r="C117" t="str">
            <v>Huntington Ingalls Industries (HII)</v>
          </cell>
          <cell r="D117" t="str">
            <v>Huntington Ingalls Industries (HII)</v>
          </cell>
          <cell r="E117" t="str">
            <v/>
          </cell>
          <cell r="G117">
            <v>1</v>
          </cell>
          <cell r="H117" t="str">
            <v>BAE Systems, Northrop Grumman, Raytheon, CACI</v>
          </cell>
          <cell r="I117" t="str">
            <v/>
          </cell>
          <cell r="J117" t="str">
            <v/>
          </cell>
          <cell r="K117" t="str">
            <v>Navy</v>
          </cell>
          <cell r="L117">
            <v>1996</v>
          </cell>
          <cell r="M117" t="str">
            <v>DE</v>
          </cell>
          <cell r="N117">
            <v>102.7</v>
          </cell>
          <cell r="O117" t="e">
            <v>#NAME?</v>
          </cell>
          <cell r="P117" t="e">
            <v>#NAME?</v>
          </cell>
          <cell r="Q117" t="e">
            <v>#NAME?</v>
          </cell>
          <cell r="R117">
            <v>0</v>
          </cell>
          <cell r="S117" t="e">
            <v>#NAME?</v>
          </cell>
          <cell r="T117" t="e">
            <v>#NAME?</v>
          </cell>
          <cell r="U117" t="e">
            <v>#NAME?</v>
          </cell>
          <cell r="W117">
            <v>0</v>
          </cell>
          <cell r="X117" t="e">
            <v>#NAME?</v>
          </cell>
          <cell r="Y117" t="e">
            <v>#NAME?</v>
          </cell>
          <cell r="AA117">
            <v>0</v>
          </cell>
          <cell r="AB117" t="e">
            <v>#NAME?</v>
          </cell>
          <cell r="AC117" t="e">
            <v>#NAME?</v>
          </cell>
          <cell r="AD117" t="e">
            <v>#NAME?</v>
          </cell>
          <cell r="AE117" t="e">
            <v>#NAME?</v>
          </cell>
          <cell r="AF117" t="e">
            <v>#NAME?</v>
          </cell>
          <cell r="AG117" t="e">
            <v>#NAME?</v>
          </cell>
          <cell r="AH117" t="e">
            <v>#NAME?</v>
          </cell>
          <cell r="AI117" t="str">
            <v/>
          </cell>
          <cell r="AK117">
            <v>0</v>
          </cell>
          <cell r="AL117" t="str">
            <v/>
          </cell>
          <cell r="AM117" t="str">
            <v/>
          </cell>
          <cell r="AP117">
            <v>1</v>
          </cell>
          <cell r="AQ117">
            <v>0</v>
          </cell>
        </row>
        <row r="118">
          <cell r="A118" t="str">
            <v>LUH</v>
          </cell>
          <cell r="B118" t="str">
            <v>LUH</v>
          </cell>
          <cell r="C118" t="str">
            <v>EADS</v>
          </cell>
          <cell r="D118" t="str">
            <v>EADS</v>
          </cell>
          <cell r="E118" t="str">
            <v/>
          </cell>
          <cell r="G118">
            <v>1</v>
          </cell>
          <cell r="H118" t="str">
            <v/>
          </cell>
          <cell r="I118" t="str">
            <v/>
          </cell>
          <cell r="J118" t="str">
            <v/>
          </cell>
          <cell r="K118" t="str">
            <v>Army</v>
          </cell>
          <cell r="L118">
            <v>2006</v>
          </cell>
          <cell r="M118" t="str">
            <v>PdE</v>
          </cell>
          <cell r="N118">
            <v>-0.9</v>
          </cell>
          <cell r="O118" t="e">
            <v>#NAME?</v>
          </cell>
          <cell r="P118" t="e">
            <v>#NAME?</v>
          </cell>
          <cell r="Q118" t="e">
            <v>#NAME?</v>
          </cell>
          <cell r="R118">
            <v>0</v>
          </cell>
          <cell r="S118" t="e">
            <v>#NAME?</v>
          </cell>
          <cell r="T118" t="e">
            <v>#NAME?</v>
          </cell>
          <cell r="U118" t="e">
            <v>#NAME?</v>
          </cell>
          <cell r="W118">
            <v>0</v>
          </cell>
          <cell r="X118" t="e">
            <v>#NAME?</v>
          </cell>
          <cell r="Y118" t="e">
            <v>#NAME?</v>
          </cell>
          <cell r="AA118">
            <v>0</v>
          </cell>
          <cell r="AB118" t="e">
            <v>#NAME?</v>
          </cell>
          <cell r="AC118" t="e">
            <v>#NAME?</v>
          </cell>
          <cell r="AD118" t="e">
            <v>#NAME?</v>
          </cell>
          <cell r="AE118" t="e">
            <v>#NAME?</v>
          </cell>
          <cell r="AF118" t="e">
            <v>#NAME?</v>
          </cell>
          <cell r="AG118" t="e">
            <v>#NAME?</v>
          </cell>
          <cell r="AH118" t="e">
            <v>#NAME?</v>
          </cell>
          <cell r="AI118" t="str">
            <v/>
          </cell>
          <cell r="AK118">
            <v>0</v>
          </cell>
          <cell r="AL118" t="str">
            <v/>
          </cell>
          <cell r="AM118" t="str">
            <v/>
          </cell>
          <cell r="AP118">
            <v>1</v>
          </cell>
          <cell r="AQ118">
            <v>0</v>
          </cell>
        </row>
        <row r="119">
          <cell r="A119" t="str">
            <v>M1A2 ABRAMS UPGRADE</v>
          </cell>
          <cell r="B119" t="str">
            <v>M1A2 ABRAMS UPGRADE</v>
          </cell>
          <cell r="C119" t="str">
            <v>General Dynamics</v>
          </cell>
          <cell r="D119" t="str">
            <v>General Dynamics</v>
          </cell>
          <cell r="E119" t="str">
            <v/>
          </cell>
          <cell r="G119">
            <v>1</v>
          </cell>
          <cell r="H119" t="str">
            <v/>
          </cell>
          <cell r="I119" t="str">
            <v/>
          </cell>
          <cell r="J119" t="str">
            <v/>
          </cell>
          <cell r="K119" t="str">
            <v>Army</v>
          </cell>
          <cell r="L119">
            <v>1995</v>
          </cell>
          <cell r="M119" t="str">
            <v>PdE</v>
          </cell>
          <cell r="N119" t="e">
            <v>#N/A</v>
          </cell>
          <cell r="O119" t="e">
            <v>#N/A</v>
          </cell>
          <cell r="P119" t="e">
            <v>#NAME?</v>
          </cell>
          <cell r="Q119" t="e">
            <v>#N/A</v>
          </cell>
          <cell r="R119">
            <v>0</v>
          </cell>
          <cell r="S119" t="e">
            <v>#NAME?</v>
          </cell>
          <cell r="T119" t="e">
            <v>#NAME?</v>
          </cell>
          <cell r="U119" t="e">
            <v>#NAME?</v>
          </cell>
          <cell r="W119">
            <v>0</v>
          </cell>
          <cell r="X119" t="e">
            <v>#NAME?</v>
          </cell>
          <cell r="Y119" t="e">
            <v>#NAME?</v>
          </cell>
          <cell r="AA119">
            <v>0</v>
          </cell>
          <cell r="AB119" t="e">
            <v>#NAME?</v>
          </cell>
          <cell r="AC119" t="e">
            <v>#NAME?</v>
          </cell>
          <cell r="AD119" t="e">
            <v>#NAME?</v>
          </cell>
          <cell r="AE119" t="e">
            <v>#NAME?</v>
          </cell>
          <cell r="AF119" t="e">
            <v>#NAME?</v>
          </cell>
          <cell r="AG119" t="e">
            <v>#NAME?</v>
          </cell>
          <cell r="AH119" t="e">
            <v>#NAME?</v>
          </cell>
          <cell r="AI119" t="str">
            <v/>
          </cell>
          <cell r="AK119">
            <v>0</v>
          </cell>
          <cell r="AL119" t="str">
            <v/>
          </cell>
          <cell r="AM119" t="str">
            <v/>
          </cell>
          <cell r="AP119">
            <v>1</v>
          </cell>
          <cell r="AQ119">
            <v>0</v>
          </cell>
        </row>
        <row r="120">
          <cell r="A120" t="str">
            <v>MCS</v>
          </cell>
          <cell r="B120" t="str">
            <v>MCS</v>
          </cell>
          <cell r="C120">
            <v>0</v>
          </cell>
          <cell r="D120">
            <v>0</v>
          </cell>
          <cell r="E120" t="str">
            <v/>
          </cell>
          <cell r="G120">
            <v>1</v>
          </cell>
          <cell r="H120" t="str">
            <v/>
          </cell>
          <cell r="I120" t="str">
            <v/>
          </cell>
          <cell r="J120" t="str">
            <v/>
          </cell>
          <cell r="K120">
            <v>0</v>
          </cell>
          <cell r="L120">
            <v>1980</v>
          </cell>
          <cell r="M120" t="str">
            <v>DE</v>
          </cell>
          <cell r="N120" t="e">
            <v>#N/A</v>
          </cell>
          <cell r="O120" t="e">
            <v>#N/A</v>
          </cell>
          <cell r="P120" t="e">
            <v>#NAME?</v>
          </cell>
          <cell r="Q120" t="e">
            <v>#N/A</v>
          </cell>
          <cell r="R120">
            <v>0</v>
          </cell>
          <cell r="S120" t="e">
            <v>#NAME?</v>
          </cell>
          <cell r="T120" t="e">
            <v>#NAME?</v>
          </cell>
          <cell r="U120" t="e">
            <v>#NAME?</v>
          </cell>
          <cell r="W120">
            <v>0</v>
          </cell>
          <cell r="X120" t="e">
            <v>#NAME?</v>
          </cell>
          <cell r="Y120" t="e">
            <v>#NAME?</v>
          </cell>
          <cell r="AA120">
            <v>0</v>
          </cell>
          <cell r="AB120" t="e">
            <v>#NAME?</v>
          </cell>
          <cell r="AC120" t="e">
            <v>#NAME?</v>
          </cell>
          <cell r="AD120" t="e">
            <v>#NAME?</v>
          </cell>
          <cell r="AE120" t="e">
            <v>#NAME?</v>
          </cell>
          <cell r="AF120" t="e">
            <v>#NAME?</v>
          </cell>
          <cell r="AG120" t="e">
            <v>#NAME?</v>
          </cell>
          <cell r="AH120" t="e">
            <v>#NAME?</v>
          </cell>
          <cell r="AI120" t="str">
            <v/>
          </cell>
          <cell r="AK120">
            <v>0</v>
          </cell>
          <cell r="AL120" t="str">
            <v/>
          </cell>
          <cell r="AM120" t="str">
            <v/>
          </cell>
          <cell r="AP120">
            <v>1</v>
          </cell>
          <cell r="AQ120">
            <v>0</v>
          </cell>
        </row>
        <row r="121">
          <cell r="A121" t="str">
            <v>MH-60R</v>
          </cell>
          <cell r="B121" t="str">
            <v>MH-60R</v>
          </cell>
          <cell r="C121" t="str">
            <v>Sikorsky Aircraft Corporation (UTC)</v>
          </cell>
          <cell r="D121" t="str">
            <v>Sikorsky Aircraft Corporation (UTC)</v>
          </cell>
          <cell r="E121" t="str">
            <v>Lockheed Martin - Avionics</v>
          </cell>
          <cell r="G121">
            <v>0</v>
          </cell>
          <cell r="H121" t="str">
            <v>Raytheon, Harris, General Dynamics, DRS, Boeing, Goodrich, Honewell</v>
          </cell>
          <cell r="I121" t="str">
            <v/>
          </cell>
          <cell r="J121" t="str">
            <v/>
          </cell>
          <cell r="K121" t="str">
            <v>Navy</v>
          </cell>
          <cell r="L121">
            <v>2006</v>
          </cell>
          <cell r="M121" t="str">
            <v>PdE</v>
          </cell>
          <cell r="N121">
            <v>14</v>
          </cell>
          <cell r="O121" t="e">
            <v>#NAME?</v>
          </cell>
          <cell r="P121" t="e">
            <v>#NAME?</v>
          </cell>
          <cell r="Q121" t="e">
            <v>#NAME?</v>
          </cell>
          <cell r="R121">
            <v>0</v>
          </cell>
          <cell r="S121" t="e">
            <v>#NAME?</v>
          </cell>
          <cell r="T121" t="e">
            <v>#NAME?</v>
          </cell>
          <cell r="U121" t="e">
            <v>#NAME?</v>
          </cell>
          <cell r="W121">
            <v>0</v>
          </cell>
          <cell r="X121" t="e">
            <v>#NAME?</v>
          </cell>
          <cell r="Y121" t="e">
            <v>#NAME?</v>
          </cell>
          <cell r="AA121">
            <v>0</v>
          </cell>
          <cell r="AB121" t="e">
            <v>#NAME?</v>
          </cell>
          <cell r="AC121" t="e">
            <v>#NAME?</v>
          </cell>
          <cell r="AD121" t="e">
            <v>#NAME?</v>
          </cell>
          <cell r="AE121" t="e">
            <v>#NAME?</v>
          </cell>
          <cell r="AF121" t="e">
            <v>#NAME?</v>
          </cell>
          <cell r="AG121" t="e">
            <v>#NAME?</v>
          </cell>
          <cell r="AH121" t="e">
            <v>#NAME?</v>
          </cell>
          <cell r="AI121" t="str">
            <v/>
          </cell>
          <cell r="AK121">
            <v>0</v>
          </cell>
          <cell r="AL121" t="str">
            <v/>
          </cell>
          <cell r="AM121" t="str">
            <v/>
          </cell>
          <cell r="AP121">
            <v>1</v>
          </cell>
          <cell r="AQ121">
            <v>1</v>
          </cell>
        </row>
        <row r="122">
          <cell r="A122" t="str">
            <v>MH-60S</v>
          </cell>
          <cell r="B122" t="str">
            <v>MH-60S</v>
          </cell>
          <cell r="C122" t="str">
            <v>Sikorsky Aircraft Corporation (UTC)</v>
          </cell>
          <cell r="D122" t="str">
            <v>Sikorsky Aircraft Corporation (UTC)</v>
          </cell>
          <cell r="E122" t="str">
            <v/>
          </cell>
          <cell r="G122">
            <v>1</v>
          </cell>
          <cell r="H122" t="str">
            <v>Harris, Sikorsky (UTC), L-3, CSC, General Electric, Kaman Aerospace, SAIC</v>
          </cell>
          <cell r="I122" t="str">
            <v/>
          </cell>
          <cell r="J122" t="str">
            <v/>
          </cell>
          <cell r="K122" t="str">
            <v>Navy</v>
          </cell>
          <cell r="L122">
            <v>1998</v>
          </cell>
          <cell r="M122" t="str">
            <v>PdE</v>
          </cell>
          <cell r="N122">
            <v>16.100000000000001</v>
          </cell>
          <cell r="O122" t="e">
            <v>#NAME?</v>
          </cell>
          <cell r="P122" t="e">
            <v>#NAME?</v>
          </cell>
          <cell r="Q122" t="e">
            <v>#NAME?</v>
          </cell>
          <cell r="R122">
            <v>0</v>
          </cell>
          <cell r="S122" t="e">
            <v>#NAME?</v>
          </cell>
          <cell r="T122" t="e">
            <v>#NAME?</v>
          </cell>
          <cell r="U122" t="e">
            <v>#NAME?</v>
          </cell>
          <cell r="W122">
            <v>0</v>
          </cell>
          <cell r="X122" t="e">
            <v>#NAME?</v>
          </cell>
          <cell r="Y122" t="e">
            <v>#NAME?</v>
          </cell>
          <cell r="AA122">
            <v>0</v>
          </cell>
          <cell r="AB122" t="e">
            <v>#NAME?</v>
          </cell>
          <cell r="AC122" t="e">
            <v>#NAME?</v>
          </cell>
          <cell r="AD122" t="e">
            <v>#NAME?</v>
          </cell>
          <cell r="AE122" t="e">
            <v>#NAME?</v>
          </cell>
          <cell r="AF122" t="e">
            <v>#NAME?</v>
          </cell>
          <cell r="AG122" t="e">
            <v>#NAME?</v>
          </cell>
          <cell r="AH122" t="e">
            <v>#NAME?</v>
          </cell>
          <cell r="AI122" t="str">
            <v/>
          </cell>
          <cell r="AK122">
            <v>0</v>
          </cell>
          <cell r="AL122" t="str">
            <v/>
          </cell>
          <cell r="AM122" t="str">
            <v/>
          </cell>
          <cell r="AP122">
            <v>1</v>
          </cell>
          <cell r="AQ122">
            <v>0</v>
          </cell>
        </row>
        <row r="123">
          <cell r="A123" t="str">
            <v>MIDS JTRS</v>
          </cell>
          <cell r="B123" t="str">
            <v>MIDS JTRS</v>
          </cell>
          <cell r="C123" t="str">
            <v>BAE/Rockwell Collins JV</v>
          </cell>
          <cell r="D123" t="str">
            <v>BAE/Rockwell Collins JV</v>
          </cell>
          <cell r="E123" t="str">
            <v>ViaSat/Data Link Solutions</v>
          </cell>
          <cell r="G123">
            <v>0</v>
          </cell>
          <cell r="H123" t="str">
            <v>Northrop Grumman, Harris Corporation, BAE, Rockwell Collins, CSC, Euromids, Booz Allen Hamilton</v>
          </cell>
          <cell r="I123" t="str">
            <v/>
          </cell>
          <cell r="J123" t="str">
            <v/>
          </cell>
          <cell r="K123" t="str">
            <v>DoD-wide</v>
          </cell>
          <cell r="L123">
            <v>2003</v>
          </cell>
          <cell r="M123" t="str">
            <v>PdE</v>
          </cell>
          <cell r="N123">
            <v>17.5</v>
          </cell>
          <cell r="O123" t="e">
            <v>#NAME?</v>
          </cell>
          <cell r="P123" t="e">
            <v>#NAME?</v>
          </cell>
          <cell r="Q123" t="e">
            <v>#NAME?</v>
          </cell>
          <cell r="R123">
            <v>0</v>
          </cell>
          <cell r="S123" t="e">
            <v>#NAME?</v>
          </cell>
          <cell r="T123" t="e">
            <v>#NAME?</v>
          </cell>
          <cell r="U123" t="e">
            <v>#NAME?</v>
          </cell>
          <cell r="W123">
            <v>0</v>
          </cell>
          <cell r="X123" t="e">
            <v>#NAME?</v>
          </cell>
          <cell r="Y123" t="e">
            <v>#NAME?</v>
          </cell>
          <cell r="AA123">
            <v>0</v>
          </cell>
          <cell r="AB123" t="e">
            <v>#NAME?</v>
          </cell>
          <cell r="AC123" t="e">
            <v>#NAME?</v>
          </cell>
          <cell r="AD123" t="e">
            <v>#NAME?</v>
          </cell>
          <cell r="AE123" t="e">
            <v>#NAME?</v>
          </cell>
          <cell r="AF123" t="e">
            <v>#NAME?</v>
          </cell>
          <cell r="AG123" t="e">
            <v>#NAME?</v>
          </cell>
          <cell r="AH123" t="e">
            <v>#NAME?</v>
          </cell>
          <cell r="AI123" t="str">
            <v/>
          </cell>
          <cell r="AK123">
            <v>0</v>
          </cell>
          <cell r="AL123" t="str">
            <v/>
          </cell>
          <cell r="AM123" t="str">
            <v/>
          </cell>
          <cell r="AP123">
            <v>1</v>
          </cell>
          <cell r="AQ123">
            <v>1</v>
          </cell>
        </row>
        <row r="124">
          <cell r="A124" t="str">
            <v>MIDS-LVT</v>
          </cell>
          <cell r="B124" t="str">
            <v>MIDS-LVT</v>
          </cell>
          <cell r="C124" t="str">
            <v>MIDSCO (JV of Thomson CSF, GEC, Siemens, Italtel, Enosa)</v>
          </cell>
          <cell r="D124" t="str">
            <v>MIDSCO (JV of Thomson CSF, GEC, Siemens, Italtel, Enosa)</v>
          </cell>
          <cell r="E124" t="str">
            <v/>
          </cell>
          <cell r="G124">
            <v>1</v>
          </cell>
          <cell r="H124" t="str">
            <v/>
          </cell>
          <cell r="I124" t="str">
            <v/>
          </cell>
          <cell r="J124" t="str">
            <v/>
          </cell>
          <cell r="K124">
            <v>0</v>
          </cell>
          <cell r="L124">
            <v>2003</v>
          </cell>
          <cell r="M124" t="str">
            <v>PdE</v>
          </cell>
          <cell r="N124" t="e">
            <v>#N/A</v>
          </cell>
          <cell r="O124" t="e">
            <v>#N/A</v>
          </cell>
          <cell r="P124" t="e">
            <v>#NAME?</v>
          </cell>
          <cell r="Q124" t="e">
            <v>#N/A</v>
          </cell>
          <cell r="R124">
            <v>0</v>
          </cell>
          <cell r="S124" t="e">
            <v>#NAME?</v>
          </cell>
          <cell r="T124" t="e">
            <v>#NAME?</v>
          </cell>
          <cell r="U124" t="e">
            <v>#NAME?</v>
          </cell>
          <cell r="W124">
            <v>0</v>
          </cell>
          <cell r="X124" t="e">
            <v>#NAME?</v>
          </cell>
          <cell r="Y124" t="e">
            <v>#NAME?</v>
          </cell>
          <cell r="AA124">
            <v>0</v>
          </cell>
          <cell r="AB124" t="e">
            <v>#NAME?</v>
          </cell>
          <cell r="AC124" t="e">
            <v>#NAME?</v>
          </cell>
          <cell r="AD124" t="e">
            <v>#NAME?</v>
          </cell>
          <cell r="AE124" t="e">
            <v>#NAME?</v>
          </cell>
          <cell r="AF124" t="e">
            <v>#NAME?</v>
          </cell>
          <cell r="AG124" t="e">
            <v>#NAME?</v>
          </cell>
          <cell r="AH124" t="e">
            <v>#NAME?</v>
          </cell>
          <cell r="AI124" t="str">
            <v/>
          </cell>
          <cell r="AK124">
            <v>0</v>
          </cell>
          <cell r="AL124" t="str">
            <v/>
          </cell>
          <cell r="AM124" t="str">
            <v/>
          </cell>
          <cell r="AP124">
            <v>1</v>
          </cell>
          <cell r="AQ124">
            <v>0</v>
          </cell>
        </row>
        <row r="125">
          <cell r="A125" t="str">
            <v>MINUTEMAN III GRP</v>
          </cell>
          <cell r="B125" t="str">
            <v>MINUTEMAN III GRP</v>
          </cell>
          <cell r="C125" t="str">
            <v>Boeing</v>
          </cell>
          <cell r="D125" t="str">
            <v>Boeing</v>
          </cell>
          <cell r="E125" t="str">
            <v/>
          </cell>
          <cell r="G125">
            <v>1</v>
          </cell>
          <cell r="H125" t="str">
            <v>Hewlett Packard</v>
          </cell>
          <cell r="I125" t="str">
            <v/>
          </cell>
          <cell r="J125" t="str">
            <v/>
          </cell>
          <cell r="K125" t="str">
            <v>Air Force</v>
          </cell>
          <cell r="L125">
            <v>1993</v>
          </cell>
          <cell r="M125" t="str">
            <v>PdE</v>
          </cell>
          <cell r="N125" t="e">
            <v>#N/A</v>
          </cell>
          <cell r="O125" t="e">
            <v>#N/A</v>
          </cell>
          <cell r="P125" t="e">
            <v>#NAME?</v>
          </cell>
          <cell r="Q125" t="e">
            <v>#N/A</v>
          </cell>
          <cell r="R125">
            <v>0</v>
          </cell>
          <cell r="S125" t="e">
            <v>#NAME?</v>
          </cell>
          <cell r="T125" t="e">
            <v>#NAME?</v>
          </cell>
          <cell r="U125" t="e">
            <v>#NAME?</v>
          </cell>
          <cell r="W125">
            <v>0</v>
          </cell>
          <cell r="X125" t="e">
            <v>#NAME?</v>
          </cell>
          <cell r="Y125" t="e">
            <v>#NAME?</v>
          </cell>
          <cell r="AA125">
            <v>0</v>
          </cell>
          <cell r="AB125" t="e">
            <v>#NAME?</v>
          </cell>
          <cell r="AC125" t="e">
            <v>#NAME?</v>
          </cell>
          <cell r="AD125" t="e">
            <v>#NAME?</v>
          </cell>
          <cell r="AE125" t="e">
            <v>#NAME?</v>
          </cell>
          <cell r="AF125" t="e">
            <v>#NAME?</v>
          </cell>
          <cell r="AG125" t="e">
            <v>#NAME?</v>
          </cell>
          <cell r="AH125" t="e">
            <v>#NAME?</v>
          </cell>
          <cell r="AI125" t="str">
            <v/>
          </cell>
          <cell r="AK125">
            <v>0</v>
          </cell>
          <cell r="AL125" t="str">
            <v/>
          </cell>
          <cell r="AM125" t="str">
            <v/>
          </cell>
          <cell r="AP125">
            <v>1</v>
          </cell>
          <cell r="AQ125">
            <v>0</v>
          </cell>
        </row>
        <row r="126">
          <cell r="A126" t="str">
            <v>MINUTEMAN III PRP</v>
          </cell>
          <cell r="B126" t="str">
            <v>MINUTEMAN III PRP</v>
          </cell>
          <cell r="C126" t="str">
            <v>Northrop Grumman</v>
          </cell>
          <cell r="D126" t="str">
            <v>Northrop Grumman</v>
          </cell>
          <cell r="E126" t="str">
            <v/>
          </cell>
          <cell r="G126">
            <v>1</v>
          </cell>
          <cell r="H126" t="str">
            <v>ATK Aerospace, Pratt &amp; Whitney (UTC), AM General, L-3, ITT, BAE</v>
          </cell>
          <cell r="I126" t="str">
            <v/>
          </cell>
          <cell r="J126" t="str">
            <v>http://www.defenselink.mil/contracts/contract.aspx?contractid=3626</v>
          </cell>
          <cell r="K126" t="str">
            <v>Air Force</v>
          </cell>
          <cell r="L126">
            <v>1994</v>
          </cell>
          <cell r="M126" t="str">
            <v>PdE</v>
          </cell>
          <cell r="N126" t="e">
            <v>#N/A</v>
          </cell>
          <cell r="O126" t="e">
            <v>#N/A</v>
          </cell>
          <cell r="P126" t="e">
            <v>#NAME?</v>
          </cell>
          <cell r="Q126" t="e">
            <v>#N/A</v>
          </cell>
          <cell r="R126">
            <v>0</v>
          </cell>
          <cell r="S126" t="e">
            <v>#NAME?</v>
          </cell>
          <cell r="T126" t="e">
            <v>#NAME?</v>
          </cell>
          <cell r="U126" t="e">
            <v>#NAME?</v>
          </cell>
          <cell r="W126">
            <v>0</v>
          </cell>
          <cell r="X126" t="e">
            <v>#NAME?</v>
          </cell>
          <cell r="Y126" t="e">
            <v>#NAME?</v>
          </cell>
          <cell r="AA126">
            <v>0</v>
          </cell>
          <cell r="AB126" t="e">
            <v>#NAME?</v>
          </cell>
          <cell r="AC126" t="e">
            <v>#NAME?</v>
          </cell>
          <cell r="AD126" t="e">
            <v>#NAME?</v>
          </cell>
          <cell r="AE126" t="e">
            <v>#NAME?</v>
          </cell>
          <cell r="AF126" t="e">
            <v>#NAME?</v>
          </cell>
          <cell r="AG126" t="e">
            <v>#NAME?</v>
          </cell>
          <cell r="AH126" t="e">
            <v>#NAME?</v>
          </cell>
          <cell r="AI126" t="str">
            <v/>
          </cell>
          <cell r="AK126">
            <v>0</v>
          </cell>
          <cell r="AL126" t="str">
            <v/>
          </cell>
          <cell r="AM126" t="str">
            <v/>
          </cell>
          <cell r="AP126">
            <v>1</v>
          </cell>
          <cell r="AQ126">
            <v>0</v>
          </cell>
        </row>
        <row r="127">
          <cell r="A127" t="str">
            <v>MP RITP</v>
          </cell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  <cell r="P127" t="e">
            <v>#N/A</v>
          </cell>
          <cell r="Q127" t="e">
            <v>#N/A</v>
          </cell>
          <cell r="R127">
            <v>0</v>
          </cell>
          <cell r="S127" t="e">
            <v>#N/A</v>
          </cell>
          <cell r="T127" t="e">
            <v>#N/A</v>
          </cell>
          <cell r="U127" t="e">
            <v>#N/A</v>
          </cell>
          <cell r="W127">
            <v>0</v>
          </cell>
          <cell r="X127" t="e">
            <v>#N/A</v>
          </cell>
          <cell r="Y127" t="e">
            <v>#N/A</v>
          </cell>
          <cell r="AA127">
            <v>0</v>
          </cell>
          <cell r="AB127" t="e">
            <v>#N/A</v>
          </cell>
          <cell r="AC127" t="e">
            <v>#N/A</v>
          </cell>
          <cell r="AD127" t="e">
            <v>#N/A</v>
          </cell>
          <cell r="AE127" t="e">
            <v>#N/A</v>
          </cell>
          <cell r="AF127" t="e">
            <v>#N/A</v>
          </cell>
          <cell r="AG127" t="e">
            <v>#N/A</v>
          </cell>
          <cell r="AH127" t="e">
            <v>#N/A</v>
          </cell>
          <cell r="AI127" t="str">
            <v/>
          </cell>
          <cell r="AK127">
            <v>0</v>
          </cell>
          <cell r="AL127" t="str">
            <v/>
          </cell>
          <cell r="AM127" t="str">
            <v/>
          </cell>
          <cell r="AP127">
            <v>1</v>
          </cell>
          <cell r="AQ127" t="e">
            <v>#N/A</v>
          </cell>
        </row>
        <row r="128">
          <cell r="A128" t="str">
            <v>MP RTIP (RDT&amp;E)</v>
          </cell>
          <cell r="B128" t="str">
            <v>MP RTIP (RDT&amp;E)</v>
          </cell>
          <cell r="C128">
            <v>0</v>
          </cell>
          <cell r="D128">
            <v>0</v>
          </cell>
          <cell r="E128" t="str">
            <v/>
          </cell>
          <cell r="G128">
            <v>1</v>
          </cell>
          <cell r="H128" t="str">
            <v/>
          </cell>
          <cell r="I128" t="str">
            <v/>
          </cell>
          <cell r="J128" t="str">
            <v/>
          </cell>
          <cell r="K128">
            <v>0</v>
          </cell>
          <cell r="L128">
            <v>2000</v>
          </cell>
          <cell r="M128" t="str">
            <v>DE</v>
          </cell>
          <cell r="N128" t="e">
            <v>#N/A</v>
          </cell>
          <cell r="O128" t="e">
            <v>#N/A</v>
          </cell>
          <cell r="P128" t="e">
            <v>#NAME?</v>
          </cell>
          <cell r="Q128" t="e">
            <v>#N/A</v>
          </cell>
          <cell r="R128">
            <v>0</v>
          </cell>
          <cell r="S128" t="e">
            <v>#NAME?</v>
          </cell>
          <cell r="T128" t="e">
            <v>#NAME?</v>
          </cell>
          <cell r="U128" t="e">
            <v>#NAME?</v>
          </cell>
          <cell r="W128">
            <v>0</v>
          </cell>
          <cell r="X128" t="e">
            <v>#NAME?</v>
          </cell>
          <cell r="Y128" t="e">
            <v>#NAME?</v>
          </cell>
          <cell r="AA128">
            <v>0</v>
          </cell>
          <cell r="AB128" t="e">
            <v>#NAME?</v>
          </cell>
          <cell r="AC128" t="e">
            <v>#NAME?</v>
          </cell>
          <cell r="AD128" t="e">
            <v>#NAME?</v>
          </cell>
          <cell r="AE128" t="e">
            <v>#NAME?</v>
          </cell>
          <cell r="AF128" t="e">
            <v>#NAME?</v>
          </cell>
          <cell r="AG128" t="e">
            <v>#NAME?</v>
          </cell>
          <cell r="AH128" t="e">
            <v>#NAME?</v>
          </cell>
          <cell r="AI128" t="str">
            <v/>
          </cell>
          <cell r="AK128">
            <v>0</v>
          </cell>
          <cell r="AL128" t="str">
            <v/>
          </cell>
          <cell r="AM128" t="str">
            <v/>
          </cell>
          <cell r="AP128">
            <v>1</v>
          </cell>
          <cell r="AQ128">
            <v>0</v>
          </cell>
        </row>
        <row r="129">
          <cell r="A129" t="str">
            <v>MPS</v>
          </cell>
          <cell r="B129" t="str">
            <v>MPS</v>
          </cell>
          <cell r="C129">
            <v>0</v>
          </cell>
          <cell r="D129">
            <v>0</v>
          </cell>
          <cell r="E129" t="str">
            <v/>
          </cell>
          <cell r="G129">
            <v>1</v>
          </cell>
          <cell r="H129" t="str">
            <v/>
          </cell>
          <cell r="I129" t="str">
            <v>Air Force restructured MPS into two programs, Increments I-III and Increment IV MPS Increments I-III retained as ACATID, per April 15, 2008, USD(AT&amp;L) memorandum and subsequently deletedfrom Air Force ACATID List as 90% complete. GIPT oversight responsibility redesignated, per April 24, 2009, USD(AT&amp;L) memorandum. MPS Increment IV below MDAP threshold as a MAISACAT IAMprogram.</v>
          </cell>
          <cell r="J129" t="str">
            <v/>
          </cell>
          <cell r="K129" t="str">
            <v>Air Force</v>
          </cell>
          <cell r="L129">
            <v>2004</v>
          </cell>
          <cell r="M129" t="str">
            <v>DE</v>
          </cell>
          <cell r="N129" t="e">
            <v>#N/A</v>
          </cell>
          <cell r="O129" t="e">
            <v>#N/A</v>
          </cell>
          <cell r="P129" t="e">
            <v>#NAME?</v>
          </cell>
          <cell r="Q129" t="e">
            <v>#N/A</v>
          </cell>
          <cell r="R129">
            <v>0</v>
          </cell>
          <cell r="S129" t="e">
            <v>#NAME?</v>
          </cell>
          <cell r="T129" t="e">
            <v>#NAME?</v>
          </cell>
          <cell r="U129" t="e">
            <v>#NAME?</v>
          </cell>
          <cell r="W129">
            <v>0</v>
          </cell>
          <cell r="X129" t="e">
            <v>#NAME?</v>
          </cell>
          <cell r="Y129" t="e">
            <v>#NAME?</v>
          </cell>
          <cell r="AA129">
            <v>0</v>
          </cell>
          <cell r="AB129" t="e">
            <v>#NAME?</v>
          </cell>
          <cell r="AC129" t="e">
            <v>#NAME?</v>
          </cell>
          <cell r="AD129" t="e">
            <v>#NAME?</v>
          </cell>
          <cell r="AE129" t="e">
            <v>#NAME?</v>
          </cell>
          <cell r="AF129" t="e">
            <v>#NAME?</v>
          </cell>
          <cell r="AG129" t="e">
            <v>#NAME?</v>
          </cell>
          <cell r="AH129" t="e">
            <v>#NAME?</v>
          </cell>
          <cell r="AI129" t="str">
            <v/>
          </cell>
          <cell r="AK129">
            <v>0</v>
          </cell>
          <cell r="AL129" t="str">
            <v/>
          </cell>
          <cell r="AM129" t="str">
            <v/>
          </cell>
          <cell r="AP129">
            <v>1</v>
          </cell>
          <cell r="AQ129">
            <v>0</v>
          </cell>
        </row>
        <row r="130">
          <cell r="A130" t="str">
            <v>MQ-1 PREDATOR</v>
          </cell>
          <cell r="B130" t="str">
            <v>MQ-1 PREDATOR</v>
          </cell>
          <cell r="C130" t="str">
            <v>General Atomics Aeronautical Systems</v>
          </cell>
          <cell r="D130" t="str">
            <v>General Atomics Aeronautical Systems</v>
          </cell>
          <cell r="E130" t="str">
            <v/>
          </cell>
          <cell r="G130">
            <v>1</v>
          </cell>
          <cell r="H130" t="str">
            <v/>
          </cell>
          <cell r="I130" t="str">
            <v/>
          </cell>
          <cell r="J130" t="str">
            <v/>
          </cell>
          <cell r="K130" t="str">
            <v>Air Force</v>
          </cell>
          <cell r="L130" t="str">
            <v/>
          </cell>
          <cell r="M130" t="str">
            <v/>
          </cell>
          <cell r="N130" t="e">
            <v>#N/A</v>
          </cell>
          <cell r="O130" t="e">
            <v>#N/A</v>
          </cell>
          <cell r="P130" t="e">
            <v>#NAME?</v>
          </cell>
          <cell r="Q130" t="e">
            <v>#N/A</v>
          </cell>
          <cell r="R130">
            <v>0</v>
          </cell>
          <cell r="S130" t="e">
            <v>#NAME?</v>
          </cell>
          <cell r="T130" t="e">
            <v>#NAME?</v>
          </cell>
          <cell r="U130" t="e">
            <v>#NAME?</v>
          </cell>
          <cell r="W130">
            <v>0</v>
          </cell>
          <cell r="X130" t="e">
            <v>#NAME?</v>
          </cell>
          <cell r="Y130" t="e">
            <v>#NAME?</v>
          </cell>
          <cell r="AA130">
            <v>0</v>
          </cell>
          <cell r="AB130" t="e">
            <v>#NAME?</v>
          </cell>
          <cell r="AC130" t="e">
            <v>#NAME?</v>
          </cell>
          <cell r="AD130" t="e">
            <v>#NAME?</v>
          </cell>
          <cell r="AE130" t="e">
            <v>#NAME?</v>
          </cell>
          <cell r="AF130" t="e">
            <v>#NAME?</v>
          </cell>
          <cell r="AG130" t="e">
            <v>#NAME?</v>
          </cell>
          <cell r="AH130" t="e">
            <v>#NAME?</v>
          </cell>
          <cell r="AI130" t="str">
            <v/>
          </cell>
          <cell r="AK130">
            <v>0</v>
          </cell>
          <cell r="AL130" t="str">
            <v/>
          </cell>
          <cell r="AM130" t="str">
            <v/>
          </cell>
          <cell r="AP130">
            <v>1</v>
          </cell>
          <cell r="AQ130">
            <v>0</v>
          </cell>
        </row>
        <row r="131">
          <cell r="A131" t="str">
            <v>MQ-1C GRAY EAGLE</v>
          </cell>
          <cell r="B131" t="str">
            <v>MQ-1C GRAY EAGLE</v>
          </cell>
          <cell r="C131">
            <v>0</v>
          </cell>
          <cell r="D131">
            <v>0</v>
          </cell>
          <cell r="E131" t="str">
            <v/>
          </cell>
          <cell r="G131">
            <v>1</v>
          </cell>
          <cell r="H131" t="str">
            <v/>
          </cell>
          <cell r="I131" t="str">
            <v/>
          </cell>
          <cell r="J131" t="str">
            <v/>
          </cell>
          <cell r="K131">
            <v>0</v>
          </cell>
          <cell r="L131">
            <v>2010</v>
          </cell>
          <cell r="M131" t="str">
            <v>PdE</v>
          </cell>
          <cell r="N131">
            <v>-14.5</v>
          </cell>
          <cell r="O131" t="e">
            <v>#NAME?</v>
          </cell>
          <cell r="P131" t="e">
            <v>#NAME?</v>
          </cell>
          <cell r="Q131" t="e">
            <v>#NAME?</v>
          </cell>
          <cell r="R131">
            <v>0</v>
          </cell>
          <cell r="S131" t="e">
            <v>#NAME?</v>
          </cell>
          <cell r="T131" t="e">
            <v>#NAME?</v>
          </cell>
          <cell r="U131" t="e">
            <v>#NAME?</v>
          </cell>
          <cell r="W131">
            <v>0</v>
          </cell>
          <cell r="X131" t="e">
            <v>#NAME?</v>
          </cell>
          <cell r="Y131" t="e">
            <v>#NAME?</v>
          </cell>
          <cell r="AA131">
            <v>0</v>
          </cell>
          <cell r="AB131" t="e">
            <v>#NAME?</v>
          </cell>
          <cell r="AC131" t="e">
            <v>#NAME?</v>
          </cell>
          <cell r="AD131" t="e">
            <v>#NAME?</v>
          </cell>
          <cell r="AE131" t="e">
            <v>#NAME?</v>
          </cell>
          <cell r="AF131" t="e">
            <v>#NAME?</v>
          </cell>
          <cell r="AG131" t="e">
            <v>#NAME?</v>
          </cell>
          <cell r="AH131" t="e">
            <v>#NAME?</v>
          </cell>
          <cell r="AI131" t="str">
            <v/>
          </cell>
          <cell r="AK131">
            <v>0</v>
          </cell>
          <cell r="AL131" t="str">
            <v/>
          </cell>
          <cell r="AM131" t="str">
            <v/>
          </cell>
          <cell r="AP131">
            <v>1</v>
          </cell>
          <cell r="AQ131">
            <v>0</v>
          </cell>
        </row>
        <row r="132">
          <cell r="A132" t="str">
            <v>MQ-4C BAMS</v>
          </cell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  <cell r="P132" t="e">
            <v>#N/A</v>
          </cell>
          <cell r="Q132" t="e">
            <v>#N/A</v>
          </cell>
          <cell r="R132">
            <v>0</v>
          </cell>
          <cell r="S132" t="e">
            <v>#N/A</v>
          </cell>
          <cell r="T132" t="e">
            <v>#N/A</v>
          </cell>
          <cell r="U132" t="e">
            <v>#N/A</v>
          </cell>
          <cell r="W132">
            <v>0</v>
          </cell>
          <cell r="X132" t="e">
            <v>#N/A</v>
          </cell>
          <cell r="Y132" t="e">
            <v>#N/A</v>
          </cell>
          <cell r="AA132">
            <v>0</v>
          </cell>
          <cell r="AB132" t="e">
            <v>#N/A</v>
          </cell>
          <cell r="AC132" t="e">
            <v>#N/A</v>
          </cell>
          <cell r="AD132" t="e">
            <v>#N/A</v>
          </cell>
          <cell r="AE132" t="e">
            <v>#N/A</v>
          </cell>
          <cell r="AF132" t="e">
            <v>#N/A</v>
          </cell>
          <cell r="AG132" t="e">
            <v>#N/A</v>
          </cell>
          <cell r="AH132" t="e">
            <v>#N/A</v>
          </cell>
          <cell r="AI132" t="str">
            <v/>
          </cell>
          <cell r="AK132">
            <v>0</v>
          </cell>
          <cell r="AL132" t="str">
            <v/>
          </cell>
          <cell r="AM132" t="str">
            <v/>
          </cell>
          <cell r="AP132">
            <v>1</v>
          </cell>
          <cell r="AQ132" t="e">
            <v>#N/A</v>
          </cell>
        </row>
        <row r="133">
          <cell r="A133" t="str">
            <v>MQ-9 REAPER</v>
          </cell>
          <cell r="B133" t="str">
            <v>MQ-9 REAPER</v>
          </cell>
          <cell r="C133" t="str">
            <v>General Atomics Aeronautical Systems</v>
          </cell>
          <cell r="D133" t="str">
            <v>General Atomics Aeronautical Systems</v>
          </cell>
          <cell r="E133" t="str">
            <v/>
          </cell>
          <cell r="G133">
            <v>1</v>
          </cell>
          <cell r="H133" t="str">
            <v/>
          </cell>
          <cell r="I133" t="str">
            <v/>
          </cell>
          <cell r="J133" t="str">
            <v/>
          </cell>
          <cell r="K133" t="str">
            <v>Air Force</v>
          </cell>
          <cell r="L133">
            <v>2008</v>
          </cell>
          <cell r="M133" t="str">
            <v>PdE</v>
          </cell>
          <cell r="N133">
            <v>8.6999999999999993</v>
          </cell>
          <cell r="O133" t="e">
            <v>#NAME?</v>
          </cell>
          <cell r="P133" t="e">
            <v>#NAME?</v>
          </cell>
          <cell r="Q133" t="e">
            <v>#NAME?</v>
          </cell>
          <cell r="R133">
            <v>0</v>
          </cell>
          <cell r="S133" t="e">
            <v>#NAME?</v>
          </cell>
          <cell r="T133" t="e">
            <v>#NAME?</v>
          </cell>
          <cell r="U133" t="e">
            <v>#NAME?</v>
          </cell>
          <cell r="W133">
            <v>0</v>
          </cell>
          <cell r="X133" t="e">
            <v>#NAME?</v>
          </cell>
          <cell r="Y133" t="e">
            <v>#NAME?</v>
          </cell>
          <cell r="AA133">
            <v>0</v>
          </cell>
          <cell r="AB133" t="e">
            <v>#NAME?</v>
          </cell>
          <cell r="AC133" t="e">
            <v>#NAME?</v>
          </cell>
          <cell r="AD133" t="e">
            <v>#NAME?</v>
          </cell>
          <cell r="AE133" t="e">
            <v>#NAME?</v>
          </cell>
          <cell r="AF133" t="e">
            <v>#NAME?</v>
          </cell>
          <cell r="AG133" t="e">
            <v>#NAME?</v>
          </cell>
          <cell r="AH133" t="e">
            <v>#NAME?</v>
          </cell>
          <cell r="AI133" t="str">
            <v/>
          </cell>
          <cell r="AK133">
            <v>0</v>
          </cell>
          <cell r="AL133" t="str">
            <v/>
          </cell>
          <cell r="AM133" t="str">
            <v/>
          </cell>
          <cell r="AP133">
            <v>1</v>
          </cell>
          <cell r="AQ133">
            <v>0</v>
          </cell>
        </row>
        <row r="134">
          <cell r="A134" t="str">
            <v>MUOS</v>
          </cell>
          <cell r="B134" t="str">
            <v>MUOS</v>
          </cell>
          <cell r="C134" t="str">
            <v>Lockheed Martin</v>
          </cell>
          <cell r="D134" t="str">
            <v>Lockheed Martin</v>
          </cell>
          <cell r="E134" t="str">
            <v/>
          </cell>
          <cell r="G134">
            <v>1</v>
          </cell>
          <cell r="H134" t="str">
            <v>Booz Allen Hamilton, Raytheon</v>
          </cell>
          <cell r="I134" t="str">
            <v/>
          </cell>
          <cell r="J134" t="str">
            <v/>
          </cell>
          <cell r="K134" t="str">
            <v>Navy</v>
          </cell>
          <cell r="L134">
            <v>2004</v>
          </cell>
          <cell r="M134" t="str">
            <v>PdE</v>
          </cell>
          <cell r="N134">
            <v>3.3</v>
          </cell>
          <cell r="O134" t="e">
            <v>#NAME?</v>
          </cell>
          <cell r="P134" t="e">
            <v>#NAME?</v>
          </cell>
          <cell r="Q134" t="e">
            <v>#NAME?</v>
          </cell>
          <cell r="R134">
            <v>0</v>
          </cell>
          <cell r="S134" t="e">
            <v>#NAME?</v>
          </cell>
          <cell r="T134" t="e">
            <v>#NAME?</v>
          </cell>
          <cell r="U134" t="e">
            <v>#NAME?</v>
          </cell>
          <cell r="W134">
            <v>0</v>
          </cell>
          <cell r="X134" t="e">
            <v>#NAME?</v>
          </cell>
          <cell r="Y134" t="e">
            <v>#NAME?</v>
          </cell>
          <cell r="AA134">
            <v>0</v>
          </cell>
          <cell r="AB134" t="e">
            <v>#NAME?</v>
          </cell>
          <cell r="AC134" t="e">
            <v>#NAME?</v>
          </cell>
          <cell r="AD134" t="e">
            <v>#NAME?</v>
          </cell>
          <cell r="AE134" t="e">
            <v>#NAME?</v>
          </cell>
          <cell r="AF134" t="e">
            <v>#NAME?</v>
          </cell>
          <cell r="AG134" t="e">
            <v>#NAME?</v>
          </cell>
          <cell r="AH134" t="e">
            <v>#NAME?</v>
          </cell>
          <cell r="AI134" t="str">
            <v/>
          </cell>
          <cell r="AK134">
            <v>0</v>
          </cell>
          <cell r="AL134" t="str">
            <v/>
          </cell>
          <cell r="AM134" t="str">
            <v/>
          </cell>
          <cell r="AP134">
            <v>1</v>
          </cell>
          <cell r="AQ134">
            <v>0</v>
          </cell>
        </row>
        <row r="135">
          <cell r="A135" t="str">
            <v>NAS</v>
          </cell>
          <cell r="B135" t="str">
            <v>NAS</v>
          </cell>
          <cell r="C135" t="str">
            <v>Unknown</v>
          </cell>
          <cell r="D135" t="str">
            <v>Unknown</v>
          </cell>
          <cell r="E135" t="str">
            <v/>
          </cell>
          <cell r="G135">
            <v>1</v>
          </cell>
          <cell r="H135" t="str">
            <v>Boeing, SAIC, Multimax Inc.</v>
          </cell>
          <cell r="I135" t="str">
            <v>Lockheed Martin, Raytheon Technical Services, Parsons Infrastructure and Technology Group, Mitre Corporation, ITT Corporation</v>
          </cell>
          <cell r="J135" t="str">
            <v>david.lankford@faa.gov : David Lankford FAA Acquisition and Management</v>
          </cell>
          <cell r="K135" t="str">
            <v>Air Force</v>
          </cell>
          <cell r="L135">
            <v>2005</v>
          </cell>
          <cell r="M135" t="str">
            <v>PdE</v>
          </cell>
          <cell r="N135">
            <v>4.5</v>
          </cell>
          <cell r="O135" t="e">
            <v>#NAME?</v>
          </cell>
          <cell r="P135" t="e">
            <v>#NAME?</v>
          </cell>
          <cell r="Q135" t="e">
            <v>#NAME?</v>
          </cell>
          <cell r="R135">
            <v>0</v>
          </cell>
          <cell r="S135" t="e">
            <v>#NAME?</v>
          </cell>
          <cell r="T135" t="e">
            <v>#NAME?</v>
          </cell>
          <cell r="U135" t="e">
            <v>#NAME?</v>
          </cell>
          <cell r="W135">
            <v>0</v>
          </cell>
          <cell r="X135" t="e">
            <v>#NAME?</v>
          </cell>
          <cell r="Y135" t="e">
            <v>#NAME?</v>
          </cell>
          <cell r="AA135">
            <v>0</v>
          </cell>
          <cell r="AB135" t="e">
            <v>#NAME?</v>
          </cell>
          <cell r="AC135" t="e">
            <v>#NAME?</v>
          </cell>
          <cell r="AD135" t="e">
            <v>#NAME?</v>
          </cell>
          <cell r="AE135" t="e">
            <v>#NAME?</v>
          </cell>
          <cell r="AF135" t="e">
            <v>#NAME?</v>
          </cell>
          <cell r="AG135" t="e">
            <v>#NAME?</v>
          </cell>
          <cell r="AH135" t="e">
            <v>#NAME?</v>
          </cell>
          <cell r="AI135" t="str">
            <v/>
          </cell>
          <cell r="AK135">
            <v>0</v>
          </cell>
          <cell r="AL135" t="str">
            <v/>
          </cell>
          <cell r="AM135" t="str">
            <v/>
          </cell>
          <cell r="AP135">
            <v>1</v>
          </cell>
          <cell r="AQ135">
            <v>0</v>
          </cell>
        </row>
        <row r="136">
          <cell r="A136" t="str">
            <v>NAVSTAR GPS</v>
          </cell>
          <cell r="B136" t="str">
            <v>NAVSTAR GPS</v>
          </cell>
          <cell r="C136" t="str">
            <v>Boeing</v>
          </cell>
          <cell r="D136" t="str">
            <v>Boeing</v>
          </cell>
          <cell r="E136" t="str">
            <v>Lockheed Martin</v>
          </cell>
          <cell r="G136">
            <v>0</v>
          </cell>
          <cell r="H136" t="str">
            <v xml:space="preserve">Raytheon, Northrop Grumman, Raytheon, SAIC, Rockwell Collins, L-3, Honeywell, AT&amp;T, ARINC, Mantech, BAE, </v>
          </cell>
          <cell r="I136" t="str">
            <v/>
          </cell>
          <cell r="J136" t="str">
            <v>http://www.boeing.com/defense-space/space/gps/docs/GPSIIF_overview.pdf</v>
          </cell>
          <cell r="K136" t="str">
            <v>Air Force</v>
          </cell>
          <cell r="L136">
            <v>2000</v>
          </cell>
          <cell r="M136" t="str">
            <v>PdE</v>
          </cell>
          <cell r="N136" t="e">
            <v>#N/A</v>
          </cell>
          <cell r="O136" t="e">
            <v>#N/A</v>
          </cell>
          <cell r="P136" t="e">
            <v>#NAME?</v>
          </cell>
          <cell r="Q136" t="e">
            <v>#N/A</v>
          </cell>
          <cell r="R136">
            <v>0</v>
          </cell>
          <cell r="S136" t="e">
            <v>#NAME?</v>
          </cell>
          <cell r="T136" t="e">
            <v>#NAME?</v>
          </cell>
          <cell r="U136" t="e">
            <v>#NAME?</v>
          </cell>
          <cell r="W136">
            <v>0</v>
          </cell>
          <cell r="X136" t="e">
            <v>#NAME?</v>
          </cell>
          <cell r="Y136" t="e">
            <v>#NAME?</v>
          </cell>
          <cell r="AA136">
            <v>0</v>
          </cell>
          <cell r="AB136" t="e">
            <v>#NAME?</v>
          </cell>
          <cell r="AC136" t="e">
            <v>#NAME?</v>
          </cell>
          <cell r="AD136" t="e">
            <v>#NAME?</v>
          </cell>
          <cell r="AE136" t="e">
            <v>#NAME?</v>
          </cell>
          <cell r="AF136" t="e">
            <v>#NAME?</v>
          </cell>
          <cell r="AG136" t="e">
            <v>#NAME?</v>
          </cell>
          <cell r="AH136" t="e">
            <v>#NAME?</v>
          </cell>
          <cell r="AI136" t="str">
            <v/>
          </cell>
          <cell r="AK136">
            <v>0</v>
          </cell>
          <cell r="AL136" t="str">
            <v/>
          </cell>
          <cell r="AM136" t="str">
            <v/>
          </cell>
          <cell r="AP136">
            <v>1</v>
          </cell>
          <cell r="AQ136">
            <v>1</v>
          </cell>
        </row>
        <row r="137">
          <cell r="A137" t="str">
            <v>NAVSTAR GPS SPLIT</v>
          </cell>
          <cell r="B137" t="str">
            <v>NAVSTAR GPS SPLIT</v>
          </cell>
          <cell r="C137">
            <v>0</v>
          </cell>
          <cell r="D137">
            <v>0</v>
          </cell>
          <cell r="E137" t="str">
            <v/>
          </cell>
          <cell r="G137">
            <v>1</v>
          </cell>
          <cell r="H137" t="str">
            <v/>
          </cell>
          <cell r="I137" t="str">
            <v/>
          </cell>
          <cell r="J137" t="str">
            <v/>
          </cell>
          <cell r="K137">
            <v>0</v>
          </cell>
          <cell r="L137">
            <v>2000</v>
          </cell>
          <cell r="M137" t="str">
            <v>PdE</v>
          </cell>
          <cell r="N137">
            <v>28.6</v>
          </cell>
          <cell r="O137" t="e">
            <v>#NAME?</v>
          </cell>
          <cell r="P137" t="e">
            <v>#NAME?</v>
          </cell>
          <cell r="Q137" t="e">
            <v>#NAME?</v>
          </cell>
          <cell r="R137">
            <v>0</v>
          </cell>
          <cell r="S137" t="e">
            <v>#NAME?</v>
          </cell>
          <cell r="T137" t="e">
            <v>#NAME?</v>
          </cell>
          <cell r="U137" t="e">
            <v>#NAME?</v>
          </cell>
          <cell r="W137">
            <v>0</v>
          </cell>
          <cell r="X137" t="e">
            <v>#NAME?</v>
          </cell>
          <cell r="Y137" t="e">
            <v>#NAME?</v>
          </cell>
          <cell r="AA137">
            <v>0</v>
          </cell>
          <cell r="AB137" t="e">
            <v>#NAME?</v>
          </cell>
          <cell r="AC137" t="e">
            <v>#NAME?</v>
          </cell>
          <cell r="AD137" t="e">
            <v>#NAME?</v>
          </cell>
          <cell r="AE137" t="e">
            <v>#NAME?</v>
          </cell>
          <cell r="AF137" t="e">
            <v>#NAME?</v>
          </cell>
          <cell r="AG137" t="e">
            <v>#NAME?</v>
          </cell>
          <cell r="AH137" t="e">
            <v>#NAME?</v>
          </cell>
          <cell r="AI137" t="str">
            <v/>
          </cell>
          <cell r="AK137">
            <v>0</v>
          </cell>
          <cell r="AL137" t="str">
            <v/>
          </cell>
          <cell r="AM137" t="str">
            <v/>
          </cell>
          <cell r="AP137">
            <v>1</v>
          </cell>
          <cell r="AQ137">
            <v>0</v>
          </cell>
        </row>
        <row r="138">
          <cell r="A138" t="str">
            <v>NAVSTAR GPS SPLIT</v>
          </cell>
          <cell r="B138" t="str">
            <v>NAVSTAR GPS SPLIT</v>
          </cell>
          <cell r="C138">
            <v>0</v>
          </cell>
          <cell r="D138">
            <v>0</v>
          </cell>
          <cell r="E138" t="str">
            <v/>
          </cell>
          <cell r="G138">
            <v>1</v>
          </cell>
          <cell r="H138" t="str">
            <v/>
          </cell>
          <cell r="I138" t="str">
            <v/>
          </cell>
          <cell r="J138" t="str">
            <v/>
          </cell>
          <cell r="K138">
            <v>0</v>
          </cell>
          <cell r="L138">
            <v>2000</v>
          </cell>
          <cell r="M138" t="str">
            <v>PdE</v>
          </cell>
          <cell r="N138">
            <v>28.6</v>
          </cell>
          <cell r="O138" t="e">
            <v>#NAME?</v>
          </cell>
          <cell r="P138" t="e">
            <v>#NAME?</v>
          </cell>
          <cell r="Q138" t="e">
            <v>#NAME?</v>
          </cell>
          <cell r="R138">
            <v>0</v>
          </cell>
          <cell r="S138" t="e">
            <v>#NAME?</v>
          </cell>
          <cell r="T138" t="e">
            <v>#NAME?</v>
          </cell>
          <cell r="U138" t="e">
            <v>#NAME?</v>
          </cell>
          <cell r="W138">
            <v>0</v>
          </cell>
          <cell r="X138" t="e">
            <v>#NAME?</v>
          </cell>
          <cell r="Y138" t="e">
            <v>#NAME?</v>
          </cell>
          <cell r="AA138">
            <v>0</v>
          </cell>
          <cell r="AB138" t="e">
            <v>#NAME?</v>
          </cell>
          <cell r="AC138" t="e">
            <v>#NAME?</v>
          </cell>
          <cell r="AD138" t="e">
            <v>#NAME?</v>
          </cell>
          <cell r="AE138" t="e">
            <v>#NAME?</v>
          </cell>
          <cell r="AF138" t="e">
            <v>#NAME?</v>
          </cell>
          <cell r="AG138" t="e">
            <v>#NAME?</v>
          </cell>
          <cell r="AH138" t="e">
            <v>#NAME?</v>
          </cell>
          <cell r="AI138" t="str">
            <v/>
          </cell>
          <cell r="AK138">
            <v>0</v>
          </cell>
          <cell r="AL138" t="str">
            <v/>
          </cell>
          <cell r="AM138" t="str">
            <v/>
          </cell>
          <cell r="AP138">
            <v>1</v>
          </cell>
          <cell r="AQ138">
            <v>0</v>
          </cell>
        </row>
        <row r="139">
          <cell r="A139" t="str">
            <v>NESP</v>
          </cell>
          <cell r="B139" t="str">
            <v>NESP</v>
          </cell>
          <cell r="C139" t="str">
            <v>Raytheon</v>
          </cell>
          <cell r="D139" t="str">
            <v>Raytheon</v>
          </cell>
          <cell r="E139" t="str">
            <v/>
          </cell>
          <cell r="G139">
            <v>1</v>
          </cell>
          <cell r="H139" t="str">
            <v/>
          </cell>
          <cell r="I139" t="str">
            <v/>
          </cell>
          <cell r="J139" t="str">
            <v/>
          </cell>
          <cell r="K139">
            <v>0</v>
          </cell>
          <cell r="L139">
            <v>1990</v>
          </cell>
          <cell r="M139" t="str">
            <v>PdE</v>
          </cell>
          <cell r="N139" t="e">
            <v>#N/A</v>
          </cell>
          <cell r="O139" t="e">
            <v>#N/A</v>
          </cell>
          <cell r="P139" t="e">
            <v>#NAME?</v>
          </cell>
          <cell r="Q139" t="e">
            <v>#N/A</v>
          </cell>
          <cell r="R139">
            <v>0</v>
          </cell>
          <cell r="S139" t="e">
            <v>#NAME?</v>
          </cell>
          <cell r="T139" t="e">
            <v>#NAME?</v>
          </cell>
          <cell r="U139" t="e">
            <v>#NAME?</v>
          </cell>
          <cell r="W139">
            <v>0</v>
          </cell>
          <cell r="X139" t="e">
            <v>#NAME?</v>
          </cell>
          <cell r="Y139" t="e">
            <v>#NAME?</v>
          </cell>
          <cell r="AA139">
            <v>0</v>
          </cell>
          <cell r="AB139" t="e">
            <v>#NAME?</v>
          </cell>
          <cell r="AC139" t="e">
            <v>#NAME?</v>
          </cell>
          <cell r="AD139" t="e">
            <v>#NAME?</v>
          </cell>
          <cell r="AE139" t="e">
            <v>#NAME?</v>
          </cell>
          <cell r="AF139" t="e">
            <v>#NAME?</v>
          </cell>
          <cell r="AG139" t="e">
            <v>#NAME?</v>
          </cell>
          <cell r="AH139" t="e">
            <v>#NAME?</v>
          </cell>
          <cell r="AI139" t="str">
            <v/>
          </cell>
          <cell r="AK139">
            <v>0</v>
          </cell>
          <cell r="AL139" t="str">
            <v/>
          </cell>
          <cell r="AM139" t="str">
            <v/>
          </cell>
          <cell r="AP139">
            <v>1</v>
          </cell>
          <cell r="AQ139">
            <v>0</v>
          </cell>
        </row>
        <row r="140">
          <cell r="A140" t="str">
            <v>NMT</v>
          </cell>
          <cell r="B140" t="str">
            <v>NMT</v>
          </cell>
          <cell r="C140" t="str">
            <v>Raytheon</v>
          </cell>
          <cell r="D140" t="str">
            <v>Raytheon</v>
          </cell>
          <cell r="E140" t="str">
            <v/>
          </cell>
          <cell r="G140">
            <v>1</v>
          </cell>
          <cell r="H140" t="str">
            <v>Harris Corporation</v>
          </cell>
          <cell r="I140" t="str">
            <v/>
          </cell>
          <cell r="J140" t="str">
            <v/>
          </cell>
          <cell r="K140" t="str">
            <v>Navy</v>
          </cell>
          <cell r="L140">
            <v>2002</v>
          </cell>
          <cell r="M140" t="str">
            <v>PdE</v>
          </cell>
          <cell r="N140">
            <v>7</v>
          </cell>
          <cell r="O140" t="e">
            <v>#NAME?</v>
          </cell>
          <cell r="P140" t="e">
            <v>#NAME?</v>
          </cell>
          <cell r="Q140" t="e">
            <v>#NAME?</v>
          </cell>
          <cell r="R140">
            <v>0</v>
          </cell>
          <cell r="S140" t="e">
            <v>#NAME?</v>
          </cell>
          <cell r="T140" t="e">
            <v>#NAME?</v>
          </cell>
          <cell r="U140" t="e">
            <v>#NAME?</v>
          </cell>
          <cell r="W140">
            <v>0</v>
          </cell>
          <cell r="X140" t="e">
            <v>#NAME?</v>
          </cell>
          <cell r="Y140" t="e">
            <v>#NAME?</v>
          </cell>
          <cell r="AA140">
            <v>0</v>
          </cell>
          <cell r="AB140" t="e">
            <v>#NAME?</v>
          </cell>
          <cell r="AC140" t="e">
            <v>#NAME?</v>
          </cell>
          <cell r="AD140" t="e">
            <v>#NAME?</v>
          </cell>
          <cell r="AE140" t="e">
            <v>#NAME?</v>
          </cell>
          <cell r="AF140" t="e">
            <v>#NAME?</v>
          </cell>
          <cell r="AG140" t="e">
            <v>#NAME?</v>
          </cell>
          <cell r="AH140" t="e">
            <v>#NAME?</v>
          </cell>
          <cell r="AI140" t="str">
            <v/>
          </cell>
          <cell r="AK140">
            <v>0</v>
          </cell>
          <cell r="AL140" t="str">
            <v/>
          </cell>
          <cell r="AM140" t="str">
            <v/>
          </cell>
          <cell r="AP140">
            <v>1</v>
          </cell>
          <cell r="AQ140">
            <v>0</v>
          </cell>
        </row>
        <row r="141">
          <cell r="A141" t="str">
            <v>NPOESS</v>
          </cell>
          <cell r="B141" t="str">
            <v>NPOESS</v>
          </cell>
          <cell r="C141" t="str">
            <v>Northrop Grumman</v>
          </cell>
          <cell r="D141" t="str">
            <v>Northrop Grumman</v>
          </cell>
          <cell r="E141" t="str">
            <v/>
          </cell>
          <cell r="G141">
            <v>1</v>
          </cell>
          <cell r="H141" t="str">
            <v>AMSEC LLC</v>
          </cell>
          <cell r="I141" t="str">
            <v/>
          </cell>
          <cell r="J141" t="str">
            <v/>
          </cell>
          <cell r="K141" t="str">
            <v>Air Force</v>
          </cell>
          <cell r="L141">
            <v>2002</v>
          </cell>
          <cell r="M141" t="str">
            <v>PdE</v>
          </cell>
          <cell r="N141">
            <v>-5415.1</v>
          </cell>
          <cell r="O141" t="e">
            <v>#NAME?</v>
          </cell>
          <cell r="P141" t="e">
            <v>#NAME?</v>
          </cell>
          <cell r="Q141" t="e">
            <v>#NAME?</v>
          </cell>
          <cell r="R141">
            <v>0</v>
          </cell>
          <cell r="S141" t="e">
            <v>#NAME?</v>
          </cell>
          <cell r="T141" t="e">
            <v>#NAME?</v>
          </cell>
          <cell r="U141" t="e">
            <v>#NAME?</v>
          </cell>
          <cell r="W141">
            <v>0</v>
          </cell>
          <cell r="X141" t="e">
            <v>#NAME?</v>
          </cell>
          <cell r="Y141" t="e">
            <v>#NAME?</v>
          </cell>
          <cell r="AA141">
            <v>0</v>
          </cell>
          <cell r="AB141" t="e">
            <v>#NAME?</v>
          </cell>
          <cell r="AC141" t="e">
            <v>#NAME?</v>
          </cell>
          <cell r="AD141" t="e">
            <v>#NAME?</v>
          </cell>
          <cell r="AE141" t="e">
            <v>#NAME?</v>
          </cell>
          <cell r="AF141" t="e">
            <v>#NAME?</v>
          </cell>
          <cell r="AG141" t="e">
            <v>#NAME?</v>
          </cell>
          <cell r="AH141" t="e">
            <v>#NAME?</v>
          </cell>
          <cell r="AI141" t="str">
            <v/>
          </cell>
          <cell r="AK141">
            <v>0</v>
          </cell>
          <cell r="AL141" t="str">
            <v/>
          </cell>
          <cell r="AM141" t="str">
            <v/>
          </cell>
          <cell r="AP141">
            <v>1</v>
          </cell>
          <cell r="AQ141">
            <v>0</v>
          </cell>
        </row>
        <row r="142">
          <cell r="A142" t="str">
            <v>P-8A</v>
          </cell>
          <cell r="B142" t="str">
            <v>P-8A</v>
          </cell>
          <cell r="C142" t="str">
            <v>Boeing</v>
          </cell>
          <cell r="D142" t="str">
            <v>Boeing</v>
          </cell>
          <cell r="E142" t="str">
            <v/>
          </cell>
          <cell r="G142">
            <v>1</v>
          </cell>
          <cell r="H142" t="str">
            <v>SNECMA (SAFRAN), CFM, General Electric, DRS</v>
          </cell>
          <cell r="I142" t="str">
            <v/>
          </cell>
          <cell r="J142" t="str">
            <v/>
          </cell>
          <cell r="K142" t="str">
            <v>Navy</v>
          </cell>
          <cell r="L142">
            <v>2010</v>
          </cell>
          <cell r="M142" t="str">
            <v>PdE</v>
          </cell>
          <cell r="N142">
            <v>-0.2</v>
          </cell>
          <cell r="O142" t="e">
            <v>#NAME?</v>
          </cell>
          <cell r="P142" t="e">
            <v>#NAME?</v>
          </cell>
          <cell r="Q142" t="e">
            <v>#NAME?</v>
          </cell>
          <cell r="R142">
            <v>0</v>
          </cell>
          <cell r="S142" t="e">
            <v>#NAME?</v>
          </cell>
          <cell r="T142" t="e">
            <v>#NAME?</v>
          </cell>
          <cell r="U142" t="e">
            <v>#NAME?</v>
          </cell>
          <cell r="W142">
            <v>0</v>
          </cell>
          <cell r="X142" t="e">
            <v>#NAME?</v>
          </cell>
          <cell r="Y142" t="e">
            <v>#NAME?</v>
          </cell>
          <cell r="AA142">
            <v>0</v>
          </cell>
          <cell r="AB142" t="e">
            <v>#NAME?</v>
          </cell>
          <cell r="AC142" t="e">
            <v>#NAME?</v>
          </cell>
          <cell r="AD142" t="e">
            <v>#NAME?</v>
          </cell>
          <cell r="AE142" t="e">
            <v>#NAME?</v>
          </cell>
          <cell r="AF142" t="e">
            <v>#NAME?</v>
          </cell>
          <cell r="AG142" t="e">
            <v>#NAME?</v>
          </cell>
          <cell r="AH142" t="e">
            <v>#NAME?</v>
          </cell>
          <cell r="AI142" t="str">
            <v/>
          </cell>
          <cell r="AK142">
            <v>0</v>
          </cell>
          <cell r="AL142" t="str">
            <v/>
          </cell>
          <cell r="AM142" t="str">
            <v/>
          </cell>
          <cell r="AP142">
            <v>1</v>
          </cell>
          <cell r="AQ142">
            <v>0</v>
          </cell>
        </row>
        <row r="143">
          <cell r="A143" t="str">
            <v>PATRIOT PAC-3</v>
          </cell>
          <cell r="B143" t="str">
            <v>PATRIOT PAC-3</v>
          </cell>
          <cell r="C143" t="str">
            <v>Lockheed Martin</v>
          </cell>
          <cell r="D143" t="str">
            <v>Lockheed Martin</v>
          </cell>
          <cell r="E143" t="str">
            <v/>
          </cell>
          <cell r="G143">
            <v>1</v>
          </cell>
          <cell r="H143" t="str">
            <v>Raytheon</v>
          </cell>
          <cell r="I143" t="str">
            <v/>
          </cell>
          <cell r="J143" t="str">
            <v/>
          </cell>
          <cell r="K143" t="str">
            <v>Army</v>
          </cell>
          <cell r="L143">
            <v>2002</v>
          </cell>
          <cell r="M143" t="str">
            <v>PdE</v>
          </cell>
          <cell r="N143">
            <v>8.6</v>
          </cell>
          <cell r="O143" t="e">
            <v>#NAME?</v>
          </cell>
          <cell r="P143" t="e">
            <v>#NAME?</v>
          </cell>
          <cell r="Q143" t="e">
            <v>#NAME?</v>
          </cell>
          <cell r="R143">
            <v>0</v>
          </cell>
          <cell r="S143" t="e">
            <v>#NAME?</v>
          </cell>
          <cell r="T143" t="e">
            <v>#NAME?</v>
          </cell>
          <cell r="U143" t="e">
            <v>#NAME?</v>
          </cell>
          <cell r="W143">
            <v>0</v>
          </cell>
          <cell r="X143" t="e">
            <v>#NAME?</v>
          </cell>
          <cell r="Y143" t="e">
            <v>#NAME?</v>
          </cell>
          <cell r="AA143">
            <v>0</v>
          </cell>
          <cell r="AB143" t="e">
            <v>#NAME?</v>
          </cell>
          <cell r="AC143" t="e">
            <v>#NAME?</v>
          </cell>
          <cell r="AD143" t="e">
            <v>#NAME?</v>
          </cell>
          <cell r="AE143" t="e">
            <v>#NAME?</v>
          </cell>
          <cell r="AF143" t="e">
            <v>#NAME?</v>
          </cell>
          <cell r="AG143" t="e">
            <v>#NAME?</v>
          </cell>
          <cell r="AH143" t="e">
            <v>#NAME?</v>
          </cell>
          <cell r="AI143" t="str">
            <v/>
          </cell>
          <cell r="AK143">
            <v>0</v>
          </cell>
          <cell r="AL143" t="str">
            <v/>
          </cell>
          <cell r="AM143" t="str">
            <v/>
          </cell>
          <cell r="AP143">
            <v>1</v>
          </cell>
          <cell r="AQ143">
            <v>0</v>
          </cell>
        </row>
        <row r="144">
          <cell r="A144" t="str">
            <v>PATRIOT/MEADS CAP</v>
          </cell>
          <cell r="B144" t="str">
            <v>PATRIOT/MEADS CAP</v>
          </cell>
          <cell r="C144" t="str">
            <v>MEADS International</v>
          </cell>
          <cell r="D144" t="str">
            <v>MEADS International</v>
          </cell>
          <cell r="E144" t="str">
            <v/>
          </cell>
          <cell r="G144">
            <v>1</v>
          </cell>
          <cell r="H144" t="str">
            <v>MBDA, LFK, EADS</v>
          </cell>
          <cell r="I144" t="str">
            <v/>
          </cell>
          <cell r="J144" t="str">
            <v/>
          </cell>
          <cell r="K144" t="str">
            <v>Army</v>
          </cell>
          <cell r="L144">
            <v>2004</v>
          </cell>
          <cell r="M144" t="str">
            <v xml:space="preserve">DE </v>
          </cell>
          <cell r="N144" t="e">
            <v>#N/A</v>
          </cell>
          <cell r="O144" t="e">
            <v>#N/A</v>
          </cell>
          <cell r="P144" t="e">
            <v>#NAME?</v>
          </cell>
          <cell r="Q144" t="e">
            <v>#N/A</v>
          </cell>
          <cell r="R144">
            <v>0</v>
          </cell>
          <cell r="S144" t="e">
            <v>#NAME?</v>
          </cell>
          <cell r="T144" t="e">
            <v>#NAME?</v>
          </cell>
          <cell r="U144" t="e">
            <v>#NAME?</v>
          </cell>
          <cell r="W144">
            <v>0</v>
          </cell>
          <cell r="X144" t="e">
            <v>#NAME?</v>
          </cell>
          <cell r="Y144" t="e">
            <v>#NAME?</v>
          </cell>
          <cell r="AA144">
            <v>0</v>
          </cell>
          <cell r="AB144" t="e">
            <v>#NAME?</v>
          </cell>
          <cell r="AC144" t="e">
            <v>#NAME?</v>
          </cell>
          <cell r="AD144" t="e">
            <v>#NAME?</v>
          </cell>
          <cell r="AE144" t="e">
            <v>#NAME?</v>
          </cell>
          <cell r="AF144" t="e">
            <v>#NAME?</v>
          </cell>
          <cell r="AG144" t="e">
            <v>#NAME?</v>
          </cell>
          <cell r="AH144" t="e">
            <v>#NAME?</v>
          </cell>
          <cell r="AI144" t="str">
            <v/>
          </cell>
          <cell r="AK144">
            <v>0</v>
          </cell>
          <cell r="AL144" t="str">
            <v/>
          </cell>
          <cell r="AM144" t="str">
            <v/>
          </cell>
          <cell r="AP144">
            <v>1</v>
          </cell>
          <cell r="AQ144">
            <v>0</v>
          </cell>
        </row>
        <row r="145">
          <cell r="A145" t="str">
            <v>PATRIOT/MEADS CAP SPLIT</v>
          </cell>
          <cell r="B145" t="str">
            <v>PATRIOT/MEADS CAP SPLIT</v>
          </cell>
          <cell r="C145">
            <v>0</v>
          </cell>
          <cell r="D145">
            <v>0</v>
          </cell>
          <cell r="E145" t="str">
            <v/>
          </cell>
          <cell r="G145">
            <v>1</v>
          </cell>
          <cell r="H145" t="str">
            <v/>
          </cell>
          <cell r="I145" t="str">
            <v/>
          </cell>
          <cell r="J145" t="str">
            <v/>
          </cell>
          <cell r="K145">
            <v>0</v>
          </cell>
          <cell r="L145">
            <v>2004</v>
          </cell>
          <cell r="M145" t="str">
            <v>DE</v>
          </cell>
          <cell r="N145">
            <v>-65.8</v>
          </cell>
          <cell r="O145" t="e">
            <v>#NAME?</v>
          </cell>
          <cell r="P145" t="e">
            <v>#NAME?</v>
          </cell>
          <cell r="Q145" t="e">
            <v>#NAME?</v>
          </cell>
          <cell r="R145">
            <v>0</v>
          </cell>
          <cell r="S145" t="e">
            <v>#NAME?</v>
          </cell>
          <cell r="T145" t="e">
            <v>#NAME?</v>
          </cell>
          <cell r="U145" t="e">
            <v>#NAME?</v>
          </cell>
          <cell r="W145">
            <v>0</v>
          </cell>
          <cell r="X145" t="e">
            <v>#NAME?</v>
          </cell>
          <cell r="Y145" t="e">
            <v>#NAME?</v>
          </cell>
          <cell r="AA145">
            <v>0</v>
          </cell>
          <cell r="AB145" t="e">
            <v>#NAME?</v>
          </cell>
          <cell r="AC145" t="e">
            <v>#NAME?</v>
          </cell>
          <cell r="AD145" t="e">
            <v>#NAME?</v>
          </cell>
          <cell r="AE145" t="e">
            <v>#NAME?</v>
          </cell>
          <cell r="AF145" t="e">
            <v>#NAME?</v>
          </cell>
          <cell r="AG145" t="e">
            <v>#NAME?</v>
          </cell>
          <cell r="AH145" t="e">
            <v>#NAME?</v>
          </cell>
          <cell r="AI145" t="str">
            <v/>
          </cell>
          <cell r="AK145">
            <v>0</v>
          </cell>
          <cell r="AL145" t="str">
            <v/>
          </cell>
          <cell r="AM145" t="str">
            <v/>
          </cell>
          <cell r="AP145">
            <v>1</v>
          </cell>
          <cell r="AQ145">
            <v>0</v>
          </cell>
        </row>
        <row r="146">
          <cell r="A146" t="str">
            <v>PATRIOT/MEADS CAP SPLIT</v>
          </cell>
          <cell r="B146" t="str">
            <v>PATRIOT/MEADS CAP SPLIT</v>
          </cell>
          <cell r="C146">
            <v>0</v>
          </cell>
          <cell r="D146">
            <v>0</v>
          </cell>
          <cell r="E146" t="str">
            <v/>
          </cell>
          <cell r="G146">
            <v>1</v>
          </cell>
          <cell r="H146" t="str">
            <v/>
          </cell>
          <cell r="I146" t="str">
            <v/>
          </cell>
          <cell r="J146" t="str">
            <v/>
          </cell>
          <cell r="K146">
            <v>0</v>
          </cell>
          <cell r="L146">
            <v>2004</v>
          </cell>
          <cell r="M146" t="str">
            <v>DE</v>
          </cell>
          <cell r="N146">
            <v>-65.8</v>
          </cell>
          <cell r="O146" t="e">
            <v>#NAME?</v>
          </cell>
          <cell r="P146" t="e">
            <v>#NAME?</v>
          </cell>
          <cell r="Q146" t="e">
            <v>#NAME?</v>
          </cell>
          <cell r="R146">
            <v>0</v>
          </cell>
          <cell r="S146" t="e">
            <v>#NAME?</v>
          </cell>
          <cell r="T146" t="e">
            <v>#NAME?</v>
          </cell>
          <cell r="U146" t="e">
            <v>#NAME?</v>
          </cell>
          <cell r="W146">
            <v>0</v>
          </cell>
          <cell r="X146" t="e">
            <v>#NAME?</v>
          </cell>
          <cell r="Y146" t="e">
            <v>#NAME?</v>
          </cell>
          <cell r="AA146">
            <v>0</v>
          </cell>
          <cell r="AB146" t="e">
            <v>#NAME?</v>
          </cell>
          <cell r="AC146" t="e">
            <v>#NAME?</v>
          </cell>
          <cell r="AD146" t="e">
            <v>#NAME?</v>
          </cell>
          <cell r="AE146" t="e">
            <v>#NAME?</v>
          </cell>
          <cell r="AF146" t="e">
            <v>#NAME?</v>
          </cell>
          <cell r="AG146" t="e">
            <v>#NAME?</v>
          </cell>
          <cell r="AH146" t="e">
            <v>#NAME?</v>
          </cell>
          <cell r="AI146" t="str">
            <v/>
          </cell>
          <cell r="AK146">
            <v>0</v>
          </cell>
          <cell r="AL146" t="str">
            <v/>
          </cell>
          <cell r="AM146" t="str">
            <v/>
          </cell>
          <cell r="AP146">
            <v>1</v>
          </cell>
          <cell r="AQ146">
            <v>0</v>
          </cell>
        </row>
        <row r="147">
          <cell r="A147" t="str">
            <v>RMS</v>
          </cell>
          <cell r="B147" t="str">
            <v>RMS</v>
          </cell>
          <cell r="C147" t="str">
            <v>Lockheed Martin</v>
          </cell>
          <cell r="D147" t="str">
            <v>Lockheed Martin</v>
          </cell>
          <cell r="E147" t="str">
            <v/>
          </cell>
          <cell r="G147">
            <v>1</v>
          </cell>
          <cell r="H147" t="str">
            <v>Lockheed Martin</v>
          </cell>
          <cell r="I147" t="str">
            <v/>
          </cell>
          <cell r="J147" t="str">
            <v/>
          </cell>
          <cell r="K147" t="str">
            <v>Navy</v>
          </cell>
          <cell r="L147">
            <v>2006</v>
          </cell>
          <cell r="M147" t="str">
            <v>DE</v>
          </cell>
          <cell r="N147">
            <v>0</v>
          </cell>
          <cell r="O147" t="e">
            <v>#NAME?</v>
          </cell>
          <cell r="P147" t="e">
            <v>#NAME?</v>
          </cell>
          <cell r="Q147" t="e">
            <v>#NAME?</v>
          </cell>
          <cell r="R147">
            <v>0</v>
          </cell>
          <cell r="S147" t="e">
            <v>#NAME?</v>
          </cell>
          <cell r="T147" t="e">
            <v>#NAME?</v>
          </cell>
          <cell r="U147" t="e">
            <v>#NAME?</v>
          </cell>
          <cell r="W147">
            <v>0</v>
          </cell>
          <cell r="X147" t="e">
            <v>#NAME?</v>
          </cell>
          <cell r="Y147" t="e">
            <v>#NAME?</v>
          </cell>
          <cell r="AA147">
            <v>0</v>
          </cell>
          <cell r="AB147" t="e">
            <v>#NAME?</v>
          </cell>
          <cell r="AC147" t="e">
            <v>#NAME?</v>
          </cell>
          <cell r="AD147" t="e">
            <v>#NAME?</v>
          </cell>
          <cell r="AE147" t="e">
            <v>#NAME?</v>
          </cell>
          <cell r="AF147" t="e">
            <v>#NAME?</v>
          </cell>
          <cell r="AG147" t="e">
            <v>#NAME?</v>
          </cell>
          <cell r="AH147" t="e">
            <v>#NAME?</v>
          </cell>
          <cell r="AI147" t="str">
            <v/>
          </cell>
          <cell r="AK147">
            <v>0</v>
          </cell>
          <cell r="AL147" t="str">
            <v/>
          </cell>
          <cell r="AM147" t="str">
            <v/>
          </cell>
          <cell r="AP147">
            <v>1</v>
          </cell>
          <cell r="AQ147">
            <v>0</v>
          </cell>
        </row>
        <row r="148">
          <cell r="A148" t="str">
            <v>RQ-4 GLOBAL HAWK</v>
          </cell>
          <cell r="B148" t="str">
            <v>RQ-4 GLOBAL HAWK</v>
          </cell>
          <cell r="C148" t="str">
            <v>Northrop Grumman</v>
          </cell>
          <cell r="D148" t="str">
            <v>Northrop Grumman</v>
          </cell>
          <cell r="E148" t="str">
            <v/>
          </cell>
          <cell r="G148">
            <v>1</v>
          </cell>
          <cell r="H148" t="str">
            <v>Rolls-Royce</v>
          </cell>
          <cell r="I148" t="str">
            <v/>
          </cell>
          <cell r="J148" t="str">
            <v/>
          </cell>
          <cell r="K148" t="str">
            <v>Air Force</v>
          </cell>
          <cell r="L148">
            <v>2000</v>
          </cell>
          <cell r="M148" t="str">
            <v>DE</v>
          </cell>
          <cell r="N148">
            <v>95.7</v>
          </cell>
          <cell r="O148" t="e">
            <v>#NAME?</v>
          </cell>
          <cell r="P148" t="e">
            <v>#NAME?</v>
          </cell>
          <cell r="Q148" t="e">
            <v>#NAME?</v>
          </cell>
          <cell r="R148">
            <v>0</v>
          </cell>
          <cell r="S148" t="e">
            <v>#NAME?</v>
          </cell>
          <cell r="T148" t="e">
            <v>#NAME?</v>
          </cell>
          <cell r="U148" t="e">
            <v>#NAME?</v>
          </cell>
          <cell r="W148">
            <v>0</v>
          </cell>
          <cell r="X148" t="e">
            <v>#NAME?</v>
          </cell>
          <cell r="Y148" t="e">
            <v>#NAME?</v>
          </cell>
          <cell r="AA148">
            <v>0</v>
          </cell>
          <cell r="AB148" t="e">
            <v>#NAME?</v>
          </cell>
          <cell r="AC148" t="e">
            <v>#NAME?</v>
          </cell>
          <cell r="AD148" t="e">
            <v>#NAME?</v>
          </cell>
          <cell r="AE148" t="e">
            <v>#NAME?</v>
          </cell>
          <cell r="AF148" t="e">
            <v>#NAME?</v>
          </cell>
          <cell r="AG148" t="e">
            <v>#NAME?</v>
          </cell>
          <cell r="AH148" t="e">
            <v>#NAME?</v>
          </cell>
          <cell r="AI148" t="str">
            <v/>
          </cell>
          <cell r="AK148">
            <v>0</v>
          </cell>
          <cell r="AL148" t="str">
            <v/>
          </cell>
          <cell r="AM148" t="str">
            <v/>
          </cell>
          <cell r="AP148">
            <v>1</v>
          </cell>
          <cell r="AQ148">
            <v>0</v>
          </cell>
        </row>
        <row r="149">
          <cell r="A149" t="str">
            <v>SBIRS</v>
          </cell>
          <cell r="B149" t="str">
            <v>SBIRS</v>
          </cell>
          <cell r="C149" t="str">
            <v>Lockheed Martin</v>
          </cell>
          <cell r="D149" t="str">
            <v>Lockheed Martin</v>
          </cell>
          <cell r="E149" t="str">
            <v/>
          </cell>
          <cell r="G149">
            <v>1</v>
          </cell>
          <cell r="H149" t="str">
            <v>Northrop Grumman, SAIC</v>
          </cell>
          <cell r="I149" t="str">
            <v/>
          </cell>
          <cell r="J149" t="str">
            <v/>
          </cell>
          <cell r="K149" t="str">
            <v>Navy</v>
          </cell>
          <cell r="L149">
            <v>1995</v>
          </cell>
          <cell r="M149" t="str">
            <v>DE</v>
          </cell>
          <cell r="N149">
            <v>194.4</v>
          </cell>
          <cell r="O149" t="e">
            <v>#NAME?</v>
          </cell>
          <cell r="P149" t="e">
            <v>#NAME?</v>
          </cell>
          <cell r="Q149" t="e">
            <v>#NAME?</v>
          </cell>
          <cell r="R149">
            <v>0</v>
          </cell>
          <cell r="S149" t="e">
            <v>#NAME?</v>
          </cell>
          <cell r="T149" t="e">
            <v>#NAME?</v>
          </cell>
          <cell r="U149" t="e">
            <v>#NAME?</v>
          </cell>
          <cell r="W149">
            <v>0</v>
          </cell>
          <cell r="X149" t="e">
            <v>#NAME?</v>
          </cell>
          <cell r="Y149" t="e">
            <v>#NAME?</v>
          </cell>
          <cell r="AA149">
            <v>0</v>
          </cell>
          <cell r="AB149" t="e">
            <v>#NAME?</v>
          </cell>
          <cell r="AC149" t="e">
            <v>#NAME?</v>
          </cell>
          <cell r="AD149" t="e">
            <v>#NAME?</v>
          </cell>
          <cell r="AE149" t="e">
            <v>#NAME?</v>
          </cell>
          <cell r="AF149" t="e">
            <v>#NAME?</v>
          </cell>
          <cell r="AG149" t="e">
            <v>#NAME?</v>
          </cell>
          <cell r="AH149" t="e">
            <v>#NAME?</v>
          </cell>
          <cell r="AI149" t="str">
            <v/>
          </cell>
          <cell r="AK149">
            <v>0</v>
          </cell>
          <cell r="AL149" t="str">
            <v/>
          </cell>
          <cell r="AM149" t="str">
            <v/>
          </cell>
          <cell r="AP149">
            <v>1</v>
          </cell>
          <cell r="AQ149">
            <v>0</v>
          </cell>
        </row>
        <row r="150">
          <cell r="A150" t="str">
            <v>SBSS B10</v>
          </cell>
          <cell r="B150" t="str">
            <v>SBSS B10</v>
          </cell>
          <cell r="C150" t="str">
            <v>Boeing</v>
          </cell>
          <cell r="D150" t="str">
            <v>Boeing</v>
          </cell>
          <cell r="E150" t="str">
            <v>Ball Aerospace &amp; Technologies Corp, Harris IT Services, MIT/Lincoln Labs, Orbital Sciences Corporation</v>
          </cell>
          <cell r="G150">
            <v>0</v>
          </cell>
          <cell r="H150" t="str">
            <v>Boeing</v>
          </cell>
          <cell r="I150" t="str">
            <v/>
          </cell>
          <cell r="J150" t="str">
            <v/>
          </cell>
          <cell r="K150" t="str">
            <v>Navy</v>
          </cell>
          <cell r="L150">
            <v>2007</v>
          </cell>
          <cell r="M150" t="str">
            <v>DE</v>
          </cell>
          <cell r="N150" t="e">
            <v>#N/A</v>
          </cell>
          <cell r="O150" t="e">
            <v>#N/A</v>
          </cell>
          <cell r="P150" t="e">
            <v>#NAME?</v>
          </cell>
          <cell r="Q150" t="e">
            <v>#N/A</v>
          </cell>
          <cell r="R150">
            <v>0</v>
          </cell>
          <cell r="S150" t="e">
            <v>#NAME?</v>
          </cell>
          <cell r="T150" t="e">
            <v>#NAME?</v>
          </cell>
          <cell r="U150" t="e">
            <v>#NAME?</v>
          </cell>
          <cell r="W150">
            <v>0</v>
          </cell>
          <cell r="X150" t="e">
            <v>#NAME?</v>
          </cell>
          <cell r="Y150" t="e">
            <v>#NAME?</v>
          </cell>
          <cell r="AA150">
            <v>0</v>
          </cell>
          <cell r="AB150" t="e">
            <v>#NAME?</v>
          </cell>
          <cell r="AC150" t="e">
            <v>#NAME?</v>
          </cell>
          <cell r="AD150" t="e">
            <v>#NAME?</v>
          </cell>
          <cell r="AE150" t="e">
            <v>#NAME?</v>
          </cell>
          <cell r="AF150" t="e">
            <v>#NAME?</v>
          </cell>
          <cell r="AG150" t="e">
            <v>#NAME?</v>
          </cell>
          <cell r="AH150" t="e">
            <v>#NAME?</v>
          </cell>
          <cell r="AI150" t="str">
            <v/>
          </cell>
          <cell r="AK150">
            <v>0</v>
          </cell>
          <cell r="AL150" t="str">
            <v/>
          </cell>
          <cell r="AM150" t="str">
            <v/>
          </cell>
          <cell r="AP150">
            <v>1</v>
          </cell>
          <cell r="AQ150">
            <v>1</v>
          </cell>
        </row>
        <row r="151">
          <cell r="A151" t="str">
            <v>SDB I</v>
          </cell>
          <cell r="B151" t="str">
            <v>SDB I</v>
          </cell>
          <cell r="C151" t="str">
            <v>Boeing</v>
          </cell>
          <cell r="D151" t="str">
            <v>Boeing</v>
          </cell>
          <cell r="E151" t="str">
            <v/>
          </cell>
          <cell r="G151">
            <v>1</v>
          </cell>
          <cell r="H151" t="str">
            <v>Raytheon</v>
          </cell>
          <cell r="I151" t="str">
            <v/>
          </cell>
          <cell r="J151" t="str">
            <v/>
          </cell>
          <cell r="K151" t="str">
            <v>Air Force</v>
          </cell>
          <cell r="L151">
            <v>2001</v>
          </cell>
          <cell r="M151" t="str">
            <v>PdE</v>
          </cell>
          <cell r="N151" t="e">
            <v>#N/A</v>
          </cell>
          <cell r="O151" t="e">
            <v>#N/A</v>
          </cell>
          <cell r="P151" t="e">
            <v>#NAME?</v>
          </cell>
          <cell r="Q151" t="e">
            <v>#N/A</v>
          </cell>
          <cell r="R151">
            <v>0</v>
          </cell>
          <cell r="S151" t="e">
            <v>#NAME?</v>
          </cell>
          <cell r="T151" t="e">
            <v>#NAME?</v>
          </cell>
          <cell r="U151" t="e">
            <v>#NAME?</v>
          </cell>
          <cell r="W151">
            <v>0</v>
          </cell>
          <cell r="X151" t="e">
            <v>#NAME?</v>
          </cell>
          <cell r="Y151" t="e">
            <v>#NAME?</v>
          </cell>
          <cell r="AA151">
            <v>0</v>
          </cell>
          <cell r="AB151" t="e">
            <v>#NAME?</v>
          </cell>
          <cell r="AC151" t="e">
            <v>#NAME?</v>
          </cell>
          <cell r="AD151" t="e">
            <v>#NAME?</v>
          </cell>
          <cell r="AE151" t="e">
            <v>#NAME?</v>
          </cell>
          <cell r="AF151" t="e">
            <v>#NAME?</v>
          </cell>
          <cell r="AG151" t="e">
            <v>#NAME?</v>
          </cell>
          <cell r="AH151" t="e">
            <v>#NAME?</v>
          </cell>
          <cell r="AI151" t="str">
            <v/>
          </cell>
          <cell r="AK151">
            <v>0</v>
          </cell>
          <cell r="AL151" t="str">
            <v/>
          </cell>
          <cell r="AM151" t="str">
            <v/>
          </cell>
          <cell r="AP151">
            <v>1</v>
          </cell>
          <cell r="AQ151">
            <v>0</v>
          </cell>
        </row>
        <row r="152">
          <cell r="A152" t="str">
            <v>SDB II</v>
          </cell>
          <cell r="B152" t="str">
            <v>SDB II</v>
          </cell>
          <cell r="C152">
            <v>0</v>
          </cell>
          <cell r="D152">
            <v>0</v>
          </cell>
          <cell r="E152" t="str">
            <v/>
          </cell>
          <cell r="G152">
            <v>1</v>
          </cell>
          <cell r="H152" t="str">
            <v/>
          </cell>
          <cell r="I152" t="str">
            <v/>
          </cell>
          <cell r="J152" t="str">
            <v/>
          </cell>
          <cell r="K152">
            <v>0</v>
          </cell>
          <cell r="L152">
            <v>2010</v>
          </cell>
          <cell r="M152" t="str">
            <v>DE</v>
          </cell>
          <cell r="N152">
            <v>-19.2</v>
          </cell>
          <cell r="O152" t="e">
            <v>#NAME?</v>
          </cell>
          <cell r="P152" t="e">
            <v>#NAME?</v>
          </cell>
          <cell r="Q152" t="e">
            <v>#NAME?</v>
          </cell>
          <cell r="R152">
            <v>0</v>
          </cell>
          <cell r="S152" t="e">
            <v>#NAME?</v>
          </cell>
          <cell r="T152" t="e">
            <v>#NAME?</v>
          </cell>
          <cell r="U152" t="e">
            <v>#NAME?</v>
          </cell>
          <cell r="W152">
            <v>0</v>
          </cell>
          <cell r="X152" t="e">
            <v>#NAME?</v>
          </cell>
          <cell r="Y152" t="e">
            <v>#NAME?</v>
          </cell>
          <cell r="AA152">
            <v>0</v>
          </cell>
          <cell r="AB152" t="e">
            <v>#NAME?</v>
          </cell>
          <cell r="AC152" t="e">
            <v>#NAME?</v>
          </cell>
          <cell r="AD152" t="e">
            <v>#NAME?</v>
          </cell>
          <cell r="AE152" t="e">
            <v>#NAME?</v>
          </cell>
          <cell r="AF152" t="e">
            <v>#NAME?</v>
          </cell>
          <cell r="AG152" t="e">
            <v>#NAME?</v>
          </cell>
          <cell r="AH152" t="e">
            <v>#NAME?</v>
          </cell>
          <cell r="AI152" t="str">
            <v/>
          </cell>
          <cell r="AK152">
            <v>0</v>
          </cell>
          <cell r="AL152" t="str">
            <v/>
          </cell>
          <cell r="AM152" t="str">
            <v/>
          </cell>
          <cell r="AP152">
            <v>1</v>
          </cell>
          <cell r="AQ152">
            <v>0</v>
          </cell>
        </row>
        <row r="153">
          <cell r="A153" t="str">
            <v>SM-2</v>
          </cell>
          <cell r="B153" t="str">
            <v>SM-2</v>
          </cell>
          <cell r="C153" t="str">
            <v>Raytheon</v>
          </cell>
          <cell r="D153" t="str">
            <v>Raytheon</v>
          </cell>
          <cell r="E153" t="str">
            <v/>
          </cell>
          <cell r="G153">
            <v>1</v>
          </cell>
          <cell r="H153" t="str">
            <v/>
          </cell>
          <cell r="I153" t="str">
            <v/>
          </cell>
          <cell r="J153" t="str">
            <v/>
          </cell>
          <cell r="K153">
            <v>0</v>
          </cell>
          <cell r="L153">
            <v>1984</v>
          </cell>
          <cell r="M153" t="str">
            <v>DE</v>
          </cell>
          <cell r="N153" t="e">
            <v>#N/A</v>
          </cell>
          <cell r="O153" t="e">
            <v>#N/A</v>
          </cell>
          <cell r="P153" t="e">
            <v>#NAME?</v>
          </cell>
          <cell r="Q153" t="e">
            <v>#N/A</v>
          </cell>
          <cell r="R153">
            <v>0</v>
          </cell>
          <cell r="S153" t="e">
            <v>#NAME?</v>
          </cell>
          <cell r="T153" t="e">
            <v>#NAME?</v>
          </cell>
          <cell r="U153" t="e">
            <v>#NAME?</v>
          </cell>
          <cell r="W153">
            <v>0</v>
          </cell>
          <cell r="X153" t="e">
            <v>#NAME?</v>
          </cell>
          <cell r="Y153" t="e">
            <v>#NAME?</v>
          </cell>
          <cell r="AA153">
            <v>0</v>
          </cell>
          <cell r="AB153" t="e">
            <v>#NAME?</v>
          </cell>
          <cell r="AC153" t="e">
            <v>#NAME?</v>
          </cell>
          <cell r="AD153" t="e">
            <v>#NAME?</v>
          </cell>
          <cell r="AE153" t="e">
            <v>#NAME?</v>
          </cell>
          <cell r="AF153" t="e">
            <v>#NAME?</v>
          </cell>
          <cell r="AG153" t="e">
            <v>#NAME?</v>
          </cell>
          <cell r="AH153" t="e">
            <v>#NAME?</v>
          </cell>
          <cell r="AI153" t="str">
            <v/>
          </cell>
          <cell r="AK153">
            <v>0</v>
          </cell>
          <cell r="AL153" t="str">
            <v/>
          </cell>
          <cell r="AM153" t="str">
            <v/>
          </cell>
          <cell r="AP153">
            <v>1</v>
          </cell>
          <cell r="AQ153">
            <v>0</v>
          </cell>
        </row>
        <row r="154">
          <cell r="A154" t="str">
            <v>SM-6</v>
          </cell>
          <cell r="B154" t="str">
            <v>SM-6</v>
          </cell>
          <cell r="C154" t="str">
            <v>Raytheon</v>
          </cell>
          <cell r="D154" t="str">
            <v>Raytheon</v>
          </cell>
          <cell r="E154" t="str">
            <v/>
          </cell>
          <cell r="G154">
            <v>1</v>
          </cell>
          <cell r="H154" t="str">
            <v/>
          </cell>
          <cell r="I154" t="str">
            <v/>
          </cell>
          <cell r="J154" t="str">
            <v/>
          </cell>
          <cell r="K154" t="str">
            <v>Navy</v>
          </cell>
          <cell r="L154">
            <v>2004</v>
          </cell>
          <cell r="M154" t="str">
            <v>PdE</v>
          </cell>
          <cell r="N154">
            <v>-2</v>
          </cell>
          <cell r="O154" t="e">
            <v>#NAME?</v>
          </cell>
          <cell r="P154" t="e">
            <v>#NAME?</v>
          </cell>
          <cell r="Q154" t="e">
            <v>#NAME?</v>
          </cell>
          <cell r="R154">
            <v>0</v>
          </cell>
          <cell r="S154" t="e">
            <v>#NAME?</v>
          </cell>
          <cell r="T154" t="e">
            <v>#NAME?</v>
          </cell>
          <cell r="U154" t="e">
            <v>#NAME?</v>
          </cell>
          <cell r="W154">
            <v>0</v>
          </cell>
          <cell r="X154" t="e">
            <v>#NAME?</v>
          </cell>
          <cell r="Y154" t="e">
            <v>#NAME?</v>
          </cell>
          <cell r="AA154">
            <v>0</v>
          </cell>
          <cell r="AB154" t="e">
            <v>#NAME?</v>
          </cell>
          <cell r="AC154" t="e">
            <v>#NAME?</v>
          </cell>
          <cell r="AD154" t="e">
            <v>#NAME?</v>
          </cell>
          <cell r="AE154" t="e">
            <v>#NAME?</v>
          </cell>
          <cell r="AF154" t="e">
            <v>#NAME?</v>
          </cell>
          <cell r="AG154" t="e">
            <v>#NAME?</v>
          </cell>
          <cell r="AH154" t="e">
            <v>#NAME?</v>
          </cell>
          <cell r="AI154" t="str">
            <v/>
          </cell>
          <cell r="AK154">
            <v>0</v>
          </cell>
          <cell r="AL154" t="str">
            <v/>
          </cell>
          <cell r="AM154" t="str">
            <v/>
          </cell>
          <cell r="AP154">
            <v>1</v>
          </cell>
          <cell r="AQ154">
            <v>0</v>
          </cell>
        </row>
        <row r="155">
          <cell r="A155" t="str">
            <v>SMART-T</v>
          </cell>
          <cell r="B155" t="str">
            <v>SMART-T</v>
          </cell>
          <cell r="C155">
            <v>0</v>
          </cell>
          <cell r="D155">
            <v>0</v>
          </cell>
          <cell r="E155" t="str">
            <v/>
          </cell>
          <cell r="G155">
            <v>1</v>
          </cell>
          <cell r="H155" t="str">
            <v/>
          </cell>
          <cell r="I155" t="str">
            <v/>
          </cell>
          <cell r="J155" t="str">
            <v/>
          </cell>
          <cell r="K155">
            <v>0</v>
          </cell>
          <cell r="L155">
            <v>1999</v>
          </cell>
          <cell r="M155" t="str">
            <v>PdE</v>
          </cell>
          <cell r="N155" t="e">
            <v>#N/A</v>
          </cell>
          <cell r="O155" t="e">
            <v>#N/A</v>
          </cell>
          <cell r="P155" t="e">
            <v>#NAME?</v>
          </cell>
          <cell r="Q155" t="e">
            <v>#N/A</v>
          </cell>
          <cell r="R155">
            <v>0</v>
          </cell>
          <cell r="S155" t="e">
            <v>#NAME?</v>
          </cell>
          <cell r="T155" t="e">
            <v>#NAME?</v>
          </cell>
          <cell r="U155" t="e">
            <v>#NAME?</v>
          </cell>
          <cell r="W155">
            <v>0</v>
          </cell>
          <cell r="X155" t="e">
            <v>#NAME?</v>
          </cell>
          <cell r="Y155" t="e">
            <v>#NAME?</v>
          </cell>
          <cell r="AA155">
            <v>0</v>
          </cell>
          <cell r="AB155" t="e">
            <v>#NAME?</v>
          </cell>
          <cell r="AC155" t="e">
            <v>#NAME?</v>
          </cell>
          <cell r="AD155" t="e">
            <v>#NAME?</v>
          </cell>
          <cell r="AE155" t="e">
            <v>#NAME?</v>
          </cell>
          <cell r="AF155" t="e">
            <v>#NAME?</v>
          </cell>
          <cell r="AG155" t="e">
            <v>#NAME?</v>
          </cell>
          <cell r="AH155" t="e">
            <v>#NAME?</v>
          </cell>
          <cell r="AI155" t="str">
            <v/>
          </cell>
          <cell r="AK155">
            <v>0</v>
          </cell>
          <cell r="AL155" t="str">
            <v/>
          </cell>
          <cell r="AM155" t="str">
            <v/>
          </cell>
          <cell r="AP155">
            <v>1</v>
          </cell>
          <cell r="AQ155">
            <v>0</v>
          </cell>
        </row>
        <row r="156">
          <cell r="A156" t="str">
            <v>SSDS</v>
          </cell>
          <cell r="B156" t="str">
            <v>SSDS</v>
          </cell>
          <cell r="C156" t="str">
            <v>Raytheon</v>
          </cell>
          <cell r="D156" t="str">
            <v>Raytheon</v>
          </cell>
          <cell r="E156" t="str">
            <v/>
          </cell>
          <cell r="G156">
            <v>1</v>
          </cell>
          <cell r="H156" t="str">
            <v/>
          </cell>
          <cell r="I156" t="str">
            <v/>
          </cell>
          <cell r="J156" t="str">
            <v/>
          </cell>
          <cell r="K156">
            <v>0</v>
          </cell>
          <cell r="L156">
            <v>2004</v>
          </cell>
          <cell r="M156" t="str">
            <v>PdE</v>
          </cell>
          <cell r="N156" t="e">
            <v>#N/A</v>
          </cell>
          <cell r="O156" t="e">
            <v>#N/A</v>
          </cell>
          <cell r="P156" t="e">
            <v>#NAME?</v>
          </cell>
          <cell r="Q156" t="e">
            <v>#N/A</v>
          </cell>
          <cell r="R156">
            <v>0</v>
          </cell>
          <cell r="S156" t="e">
            <v>#NAME?</v>
          </cell>
          <cell r="T156" t="e">
            <v>#NAME?</v>
          </cell>
          <cell r="U156" t="e">
            <v>#NAME?</v>
          </cell>
          <cell r="W156">
            <v>0</v>
          </cell>
          <cell r="X156" t="e">
            <v>#NAME?</v>
          </cell>
          <cell r="Y156" t="e">
            <v>#NAME?</v>
          </cell>
          <cell r="AA156">
            <v>0</v>
          </cell>
          <cell r="AB156" t="e">
            <v>#NAME?</v>
          </cell>
          <cell r="AC156" t="e">
            <v>#NAME?</v>
          </cell>
          <cell r="AD156" t="e">
            <v>#NAME?</v>
          </cell>
          <cell r="AE156" t="e">
            <v>#NAME?</v>
          </cell>
          <cell r="AF156" t="e">
            <v>#NAME?</v>
          </cell>
          <cell r="AG156" t="e">
            <v>#NAME?</v>
          </cell>
          <cell r="AH156" t="e">
            <v>#NAME?</v>
          </cell>
          <cell r="AI156" t="str">
            <v/>
          </cell>
          <cell r="AK156">
            <v>0</v>
          </cell>
          <cell r="AL156" t="str">
            <v/>
          </cell>
          <cell r="AM156" t="str">
            <v/>
          </cell>
          <cell r="AP156">
            <v>1</v>
          </cell>
          <cell r="AQ156">
            <v>0</v>
          </cell>
        </row>
        <row r="157">
          <cell r="A157" t="str">
            <v>SSGN</v>
          </cell>
          <cell r="B157" t="str">
            <v>SSGN</v>
          </cell>
          <cell r="C157" t="str">
            <v xml:space="preserve">General Dynamics </v>
          </cell>
          <cell r="D157" t="str">
            <v xml:space="preserve">General Dynamics </v>
          </cell>
          <cell r="E157" t="str">
            <v/>
          </cell>
          <cell r="G157">
            <v>1</v>
          </cell>
          <cell r="H157" t="str">
            <v/>
          </cell>
          <cell r="I157" t="str">
            <v/>
          </cell>
          <cell r="J157" t="str">
            <v/>
          </cell>
          <cell r="K157">
            <v>0</v>
          </cell>
          <cell r="L157">
            <v>2002</v>
          </cell>
          <cell r="M157" t="str">
            <v>PdE</v>
          </cell>
          <cell r="N157" t="e">
            <v>#N/A</v>
          </cell>
          <cell r="O157" t="e">
            <v>#N/A</v>
          </cell>
          <cell r="P157" t="e">
            <v>#NAME?</v>
          </cell>
          <cell r="Q157" t="e">
            <v>#N/A</v>
          </cell>
          <cell r="R157">
            <v>0</v>
          </cell>
          <cell r="S157" t="e">
            <v>#NAME?</v>
          </cell>
          <cell r="T157" t="e">
            <v>#NAME?</v>
          </cell>
          <cell r="U157" t="e">
            <v>#NAME?</v>
          </cell>
          <cell r="W157">
            <v>0</v>
          </cell>
          <cell r="X157" t="e">
            <v>#NAME?</v>
          </cell>
          <cell r="Y157" t="e">
            <v>#NAME?</v>
          </cell>
          <cell r="AA157">
            <v>0</v>
          </cell>
          <cell r="AB157" t="e">
            <v>#NAME?</v>
          </cell>
          <cell r="AC157" t="e">
            <v>#NAME?</v>
          </cell>
          <cell r="AD157" t="e">
            <v>#NAME?</v>
          </cell>
          <cell r="AE157" t="e">
            <v>#NAME?</v>
          </cell>
          <cell r="AF157" t="e">
            <v>#NAME?</v>
          </cell>
          <cell r="AG157" t="e">
            <v>#NAME?</v>
          </cell>
          <cell r="AH157" t="e">
            <v>#NAME?</v>
          </cell>
          <cell r="AI157" t="str">
            <v/>
          </cell>
          <cell r="AK157">
            <v>0</v>
          </cell>
          <cell r="AL157" t="str">
            <v/>
          </cell>
          <cell r="AM157" t="str">
            <v/>
          </cell>
          <cell r="AP157">
            <v>1</v>
          </cell>
          <cell r="AQ157">
            <v>0</v>
          </cell>
        </row>
        <row r="158">
          <cell r="A158" t="str">
            <v>SSN 774</v>
          </cell>
          <cell r="B158" t="str">
            <v>SSN 774</v>
          </cell>
          <cell r="C158" t="str">
            <v xml:space="preserve">General Dynamics </v>
          </cell>
          <cell r="D158" t="str">
            <v xml:space="preserve">General Dynamics </v>
          </cell>
          <cell r="E158" t="str">
            <v>Northrop Grumman</v>
          </cell>
          <cell r="G158">
            <v>0</v>
          </cell>
          <cell r="H158" t="str">
            <v>Lockheed Martin, Goodrich, Perot Systems</v>
          </cell>
          <cell r="I158" t="str">
            <v/>
          </cell>
          <cell r="J158" t="str">
            <v/>
          </cell>
          <cell r="K158" t="str">
            <v>Navy</v>
          </cell>
          <cell r="L158">
            <v>1995</v>
          </cell>
          <cell r="M158" t="str">
            <v>PdE</v>
          </cell>
          <cell r="N158">
            <v>0.1</v>
          </cell>
          <cell r="O158" t="e">
            <v>#NAME?</v>
          </cell>
          <cell r="P158" t="e">
            <v>#NAME?</v>
          </cell>
          <cell r="Q158" t="e">
            <v>#NAME?</v>
          </cell>
          <cell r="R158">
            <v>0</v>
          </cell>
          <cell r="S158" t="e">
            <v>#NAME?</v>
          </cell>
          <cell r="T158" t="e">
            <v>#NAME?</v>
          </cell>
          <cell r="U158" t="e">
            <v>#NAME?</v>
          </cell>
          <cell r="W158">
            <v>0</v>
          </cell>
          <cell r="X158" t="e">
            <v>#NAME?</v>
          </cell>
          <cell r="Y158" t="e">
            <v>#NAME?</v>
          </cell>
          <cell r="AA158">
            <v>0</v>
          </cell>
          <cell r="AB158" t="e">
            <v>#NAME?</v>
          </cell>
          <cell r="AC158" t="e">
            <v>#NAME?</v>
          </cell>
          <cell r="AD158" t="e">
            <v>#NAME?</v>
          </cell>
          <cell r="AE158" t="e">
            <v>#NAME?</v>
          </cell>
          <cell r="AF158" t="e">
            <v>#NAME?</v>
          </cell>
          <cell r="AG158" t="e">
            <v>#NAME?</v>
          </cell>
          <cell r="AH158" t="e">
            <v>#NAME?</v>
          </cell>
          <cell r="AI158" t="str">
            <v/>
          </cell>
          <cell r="AK158">
            <v>0</v>
          </cell>
          <cell r="AL158" t="str">
            <v/>
          </cell>
          <cell r="AM158" t="str">
            <v/>
          </cell>
          <cell r="AP158">
            <v>1</v>
          </cell>
          <cell r="AQ158">
            <v>1</v>
          </cell>
        </row>
        <row r="159">
          <cell r="A159" t="str">
            <v>STRYKER</v>
          </cell>
          <cell r="B159" t="str">
            <v>STRYKER</v>
          </cell>
          <cell r="C159" t="str">
            <v xml:space="preserve">General Dynamics </v>
          </cell>
          <cell r="D159" t="str">
            <v xml:space="preserve">General Dynamics </v>
          </cell>
          <cell r="E159" t="str">
            <v/>
          </cell>
          <cell r="G159">
            <v>1</v>
          </cell>
          <cell r="H159" t="str">
            <v>Kongsberg, BAE, Raytheon, Millenworks, Inc., Harris, Hamilton Sunstrand (UTC), Oshkosh</v>
          </cell>
          <cell r="I159" t="str">
            <v/>
          </cell>
          <cell r="J159" t="str">
            <v/>
          </cell>
          <cell r="K159" t="str">
            <v>Army</v>
          </cell>
          <cell r="L159">
            <v>2004</v>
          </cell>
          <cell r="M159" t="str">
            <v>PdE</v>
          </cell>
          <cell r="N159">
            <v>3.1</v>
          </cell>
          <cell r="O159" t="e">
            <v>#NAME?</v>
          </cell>
          <cell r="P159" t="e">
            <v>#NAME?</v>
          </cell>
          <cell r="Q159" t="e">
            <v>#NAME?</v>
          </cell>
          <cell r="R159">
            <v>0</v>
          </cell>
          <cell r="S159" t="e">
            <v>#NAME?</v>
          </cell>
          <cell r="T159" t="e">
            <v>#NAME?</v>
          </cell>
          <cell r="U159" t="e">
            <v>#NAME?</v>
          </cell>
          <cell r="W159">
            <v>0</v>
          </cell>
          <cell r="X159" t="e">
            <v>#NAME?</v>
          </cell>
          <cell r="Y159" t="e">
            <v>#NAME?</v>
          </cell>
          <cell r="AA159">
            <v>0</v>
          </cell>
          <cell r="AB159" t="e">
            <v>#NAME?</v>
          </cell>
          <cell r="AC159" t="e">
            <v>#NAME?</v>
          </cell>
          <cell r="AD159" t="e">
            <v>#NAME?</v>
          </cell>
          <cell r="AE159" t="e">
            <v>#NAME?</v>
          </cell>
          <cell r="AF159" t="e">
            <v>#NAME?</v>
          </cell>
          <cell r="AG159" t="e">
            <v>#NAME?</v>
          </cell>
          <cell r="AH159" t="e">
            <v>#NAME?</v>
          </cell>
          <cell r="AI159" t="str">
            <v/>
          </cell>
          <cell r="AK159">
            <v>0</v>
          </cell>
          <cell r="AL159" t="str">
            <v/>
          </cell>
          <cell r="AM159" t="str">
            <v/>
          </cell>
          <cell r="AP159">
            <v>1</v>
          </cell>
          <cell r="AQ159">
            <v>0</v>
          </cell>
        </row>
        <row r="160">
          <cell r="A160" t="str">
            <v>T-45TS</v>
          </cell>
          <cell r="B160" t="str">
            <v>T-45TS</v>
          </cell>
          <cell r="C160">
            <v>0</v>
          </cell>
          <cell r="D160">
            <v>0</v>
          </cell>
          <cell r="E160" t="str">
            <v/>
          </cell>
          <cell r="G160">
            <v>1</v>
          </cell>
          <cell r="H160" t="str">
            <v/>
          </cell>
          <cell r="I160" t="str">
            <v/>
          </cell>
          <cell r="J160" t="str">
            <v/>
          </cell>
          <cell r="K160">
            <v>0</v>
          </cell>
          <cell r="L160">
            <v>1995</v>
          </cell>
          <cell r="M160" t="str">
            <v>PdE</v>
          </cell>
          <cell r="N160" t="e">
            <v>#N/A</v>
          </cell>
          <cell r="O160" t="e">
            <v>#N/A</v>
          </cell>
          <cell r="P160" t="e">
            <v>#NAME?</v>
          </cell>
          <cell r="Q160" t="e">
            <v>#N/A</v>
          </cell>
          <cell r="R160">
            <v>0</v>
          </cell>
          <cell r="S160" t="e">
            <v>#NAME?</v>
          </cell>
          <cell r="T160" t="e">
            <v>#NAME?</v>
          </cell>
          <cell r="U160" t="e">
            <v>#NAME?</v>
          </cell>
          <cell r="W160">
            <v>0</v>
          </cell>
          <cell r="X160" t="e">
            <v>#NAME?</v>
          </cell>
          <cell r="Y160" t="e">
            <v>#NAME?</v>
          </cell>
          <cell r="AA160">
            <v>0</v>
          </cell>
          <cell r="AB160" t="e">
            <v>#NAME?</v>
          </cell>
          <cell r="AC160" t="e">
            <v>#NAME?</v>
          </cell>
          <cell r="AD160" t="e">
            <v>#NAME?</v>
          </cell>
          <cell r="AE160" t="e">
            <v>#NAME?</v>
          </cell>
          <cell r="AF160" t="e">
            <v>#NAME?</v>
          </cell>
          <cell r="AG160" t="e">
            <v>#NAME?</v>
          </cell>
          <cell r="AH160" t="e">
            <v>#NAME?</v>
          </cell>
          <cell r="AI160" t="str">
            <v/>
          </cell>
          <cell r="AK160">
            <v>0</v>
          </cell>
          <cell r="AL160" t="str">
            <v/>
          </cell>
          <cell r="AM160" t="str">
            <v/>
          </cell>
          <cell r="AP160">
            <v>1</v>
          </cell>
          <cell r="AQ160">
            <v>0</v>
          </cell>
        </row>
        <row r="161">
          <cell r="A161" t="str">
            <v>TACTICAL TOMAHAWK</v>
          </cell>
          <cell r="B161" t="str">
            <v>TACTICAL TOMAHAWK</v>
          </cell>
          <cell r="C161" t="str">
            <v>Raytheon</v>
          </cell>
          <cell r="D161" t="str">
            <v>Raytheon</v>
          </cell>
          <cell r="E161" t="str">
            <v/>
          </cell>
          <cell r="G161">
            <v>1</v>
          </cell>
          <cell r="H161" t="str">
            <v>Lockheed Martin, Northrop Grumman, Honeywell</v>
          </cell>
          <cell r="I161" t="str">
            <v/>
          </cell>
          <cell r="J161" t="str">
            <v/>
          </cell>
          <cell r="K161" t="str">
            <v>Navy</v>
          </cell>
          <cell r="L161">
            <v>1999</v>
          </cell>
          <cell r="M161" t="str">
            <v>PdE</v>
          </cell>
          <cell r="N161">
            <v>37.9</v>
          </cell>
          <cell r="O161" t="e">
            <v>#NAME?</v>
          </cell>
          <cell r="P161" t="e">
            <v>#NAME?</v>
          </cell>
          <cell r="Q161" t="e">
            <v>#NAME?</v>
          </cell>
          <cell r="R161">
            <v>0</v>
          </cell>
          <cell r="S161" t="e">
            <v>#NAME?</v>
          </cell>
          <cell r="T161" t="e">
            <v>#NAME?</v>
          </cell>
          <cell r="U161" t="e">
            <v>#NAME?</v>
          </cell>
          <cell r="W161">
            <v>0</v>
          </cell>
          <cell r="X161" t="e">
            <v>#NAME?</v>
          </cell>
          <cell r="Y161" t="e">
            <v>#NAME?</v>
          </cell>
          <cell r="AA161">
            <v>0</v>
          </cell>
          <cell r="AB161" t="e">
            <v>#NAME?</v>
          </cell>
          <cell r="AC161" t="e">
            <v>#NAME?</v>
          </cell>
          <cell r="AD161" t="e">
            <v>#NAME?</v>
          </cell>
          <cell r="AE161" t="e">
            <v>#NAME?</v>
          </cell>
          <cell r="AF161" t="e">
            <v>#NAME?</v>
          </cell>
          <cell r="AG161" t="e">
            <v>#NAME?</v>
          </cell>
          <cell r="AH161" t="e">
            <v>#NAME?</v>
          </cell>
          <cell r="AI161" t="str">
            <v/>
          </cell>
          <cell r="AK161">
            <v>0</v>
          </cell>
          <cell r="AL161" t="str">
            <v/>
          </cell>
          <cell r="AM161" t="str">
            <v/>
          </cell>
          <cell r="AP161">
            <v>1</v>
          </cell>
          <cell r="AQ161">
            <v>0</v>
          </cell>
        </row>
        <row r="162">
          <cell r="A162" t="str">
            <v>T-AKE</v>
          </cell>
          <cell r="B162" t="str">
            <v>T-AKE</v>
          </cell>
          <cell r="C162" t="str">
            <v>General Dynamics (NASSCO)</v>
          </cell>
          <cell r="D162" t="str">
            <v>General Dynamics (NASSCO)</v>
          </cell>
          <cell r="E162" t="str">
            <v/>
          </cell>
          <cell r="G162">
            <v>1</v>
          </cell>
          <cell r="H162" t="str">
            <v>CSC</v>
          </cell>
          <cell r="I162" t="str">
            <v/>
          </cell>
          <cell r="J162" t="str">
            <v/>
          </cell>
          <cell r="K162" t="str">
            <v>Navy</v>
          </cell>
          <cell r="L162">
            <v>2000</v>
          </cell>
          <cell r="M162" t="str">
            <v>PdE</v>
          </cell>
          <cell r="N162" t="e">
            <v>#N/A</v>
          </cell>
          <cell r="O162" t="e">
            <v>#N/A</v>
          </cell>
          <cell r="P162" t="e">
            <v>#NAME?</v>
          </cell>
          <cell r="Q162" t="e">
            <v>#N/A</v>
          </cell>
          <cell r="R162">
            <v>0</v>
          </cell>
          <cell r="S162" t="e">
            <v>#NAME?</v>
          </cell>
          <cell r="T162" t="e">
            <v>#NAME?</v>
          </cell>
          <cell r="U162" t="e">
            <v>#NAME?</v>
          </cell>
          <cell r="W162">
            <v>0</v>
          </cell>
          <cell r="X162" t="e">
            <v>#NAME?</v>
          </cell>
          <cell r="Y162" t="e">
            <v>#NAME?</v>
          </cell>
          <cell r="AA162">
            <v>0</v>
          </cell>
          <cell r="AB162" t="e">
            <v>#NAME?</v>
          </cell>
          <cell r="AC162" t="e">
            <v>#NAME?</v>
          </cell>
          <cell r="AD162" t="e">
            <v>#NAME?</v>
          </cell>
          <cell r="AE162" t="e">
            <v>#NAME?</v>
          </cell>
          <cell r="AF162" t="e">
            <v>#NAME?</v>
          </cell>
          <cell r="AG162" t="e">
            <v>#NAME?</v>
          </cell>
          <cell r="AH162" t="e">
            <v>#NAME?</v>
          </cell>
          <cell r="AI162" t="str">
            <v/>
          </cell>
          <cell r="AK162">
            <v>0</v>
          </cell>
          <cell r="AL162" t="str">
            <v/>
          </cell>
          <cell r="AM162" t="str">
            <v/>
          </cell>
          <cell r="AP162">
            <v>1</v>
          </cell>
          <cell r="AQ162">
            <v>0</v>
          </cell>
        </row>
        <row r="163">
          <cell r="A163" t="str">
            <v>TRIDENT II</v>
          </cell>
          <cell r="B163" t="str">
            <v>TRIDENT II</v>
          </cell>
          <cell r="C163" t="str">
            <v>Lockheed Martin</v>
          </cell>
          <cell r="D163" t="str">
            <v>Lockheed Martin</v>
          </cell>
          <cell r="E163" t="str">
            <v/>
          </cell>
          <cell r="G163">
            <v>1</v>
          </cell>
          <cell r="H163" t="str">
            <v>General Dynamics, BAE, Northrop Grumman, Boeing, ITT, ATK, Battelle, Verizon, EDS, IBM, LMI, Diebold (UTC)</v>
          </cell>
          <cell r="I163" t="str">
            <v/>
          </cell>
          <cell r="J163" t="str">
            <v/>
          </cell>
          <cell r="K163" t="str">
            <v>Navy</v>
          </cell>
          <cell r="L163">
            <v>1983</v>
          </cell>
          <cell r="M163" t="str">
            <v>PdE</v>
          </cell>
          <cell r="N163">
            <v>41</v>
          </cell>
          <cell r="O163" t="e">
            <v>#NAME?</v>
          </cell>
          <cell r="P163" t="e">
            <v>#NAME?</v>
          </cell>
          <cell r="Q163" t="e">
            <v>#NAME?</v>
          </cell>
          <cell r="R163">
            <v>0</v>
          </cell>
          <cell r="S163" t="e">
            <v>#NAME?</v>
          </cell>
          <cell r="T163" t="e">
            <v>#NAME?</v>
          </cell>
          <cell r="U163" t="e">
            <v>#NAME?</v>
          </cell>
          <cell r="W163">
            <v>0</v>
          </cell>
          <cell r="X163" t="e">
            <v>#NAME?</v>
          </cell>
          <cell r="Y163" t="e">
            <v>#NAME?</v>
          </cell>
          <cell r="AA163">
            <v>0</v>
          </cell>
          <cell r="AB163" t="e">
            <v>#NAME?</v>
          </cell>
          <cell r="AC163" t="e">
            <v>#NAME?</v>
          </cell>
          <cell r="AD163" t="e">
            <v>#NAME?</v>
          </cell>
          <cell r="AE163" t="e">
            <v>#NAME?</v>
          </cell>
          <cell r="AF163" t="e">
            <v>#NAME?</v>
          </cell>
          <cell r="AG163" t="e">
            <v>#NAME?</v>
          </cell>
          <cell r="AH163" t="e">
            <v>#NAME?</v>
          </cell>
          <cell r="AI163" t="str">
            <v/>
          </cell>
          <cell r="AK163">
            <v>0</v>
          </cell>
          <cell r="AL163" t="str">
            <v/>
          </cell>
          <cell r="AM163" t="str">
            <v/>
          </cell>
          <cell r="AP163">
            <v>1</v>
          </cell>
          <cell r="AQ163">
            <v>0</v>
          </cell>
        </row>
        <row r="164">
          <cell r="A164" t="str">
            <v>TSAT</v>
          </cell>
          <cell r="B164" t="str">
            <v>TSAT</v>
          </cell>
          <cell r="C164" t="str">
            <v>Lockheed/Boeing</v>
          </cell>
          <cell r="D164" t="str">
            <v>Lockheed/Boeing</v>
          </cell>
          <cell r="E164" t="str">
            <v/>
          </cell>
          <cell r="G164">
            <v>1</v>
          </cell>
          <cell r="H164" t="str">
            <v/>
          </cell>
          <cell r="I164" t="str">
            <v/>
          </cell>
          <cell r="J164" t="str">
            <v/>
          </cell>
          <cell r="K164" t="str">
            <v>Air Force</v>
          </cell>
          <cell r="L164">
            <v>2002</v>
          </cell>
          <cell r="M164" t="str">
            <v>DE</v>
          </cell>
          <cell r="N164" t="e">
            <v>#N/A</v>
          </cell>
          <cell r="O164" t="e">
            <v>#N/A</v>
          </cell>
          <cell r="P164" t="e">
            <v>#NAME?</v>
          </cell>
          <cell r="Q164" t="e">
            <v>#N/A</v>
          </cell>
          <cell r="R164">
            <v>0</v>
          </cell>
          <cell r="S164" t="e">
            <v>#NAME?</v>
          </cell>
          <cell r="T164" t="e">
            <v>#NAME?</v>
          </cell>
          <cell r="U164" t="e">
            <v>#NAME?</v>
          </cell>
          <cell r="W164">
            <v>0</v>
          </cell>
          <cell r="X164" t="e">
            <v>#NAME?</v>
          </cell>
          <cell r="Y164" t="e">
            <v>#NAME?</v>
          </cell>
          <cell r="AA164">
            <v>0</v>
          </cell>
          <cell r="AB164" t="e">
            <v>#NAME?</v>
          </cell>
          <cell r="AC164" t="e">
            <v>#NAME?</v>
          </cell>
          <cell r="AD164" t="e">
            <v>#NAME?</v>
          </cell>
          <cell r="AE164" t="e">
            <v>#NAME?</v>
          </cell>
          <cell r="AF164" t="e">
            <v>#NAME?</v>
          </cell>
          <cell r="AG164" t="e">
            <v>#NAME?</v>
          </cell>
          <cell r="AH164" t="e">
            <v>#NAME?</v>
          </cell>
          <cell r="AI164" t="str">
            <v/>
          </cell>
          <cell r="AK164">
            <v>0</v>
          </cell>
          <cell r="AL164" t="str">
            <v/>
          </cell>
          <cell r="AM164" t="str">
            <v/>
          </cell>
          <cell r="AP164">
            <v>1</v>
          </cell>
          <cell r="AQ164">
            <v>0</v>
          </cell>
        </row>
        <row r="165">
          <cell r="A165" t="str">
            <v>UH-60M</v>
          </cell>
          <cell r="B165" t="str">
            <v>UH-60M</v>
          </cell>
          <cell r="C165">
            <v>0</v>
          </cell>
          <cell r="D165">
            <v>0</v>
          </cell>
          <cell r="E165" t="str">
            <v/>
          </cell>
          <cell r="G165">
            <v>1</v>
          </cell>
          <cell r="H165" t="str">
            <v/>
          </cell>
          <cell r="I165" t="str">
            <v/>
          </cell>
          <cell r="J165" t="str">
            <v/>
          </cell>
          <cell r="K165">
            <v>0</v>
          </cell>
          <cell r="L165">
            <v>2005</v>
          </cell>
          <cell r="M165" t="str">
            <v>PdE</v>
          </cell>
          <cell r="N165">
            <v>19.600000000000001</v>
          </cell>
          <cell r="O165" t="e">
            <v>#NAME?</v>
          </cell>
          <cell r="P165" t="e">
            <v>#NAME?</v>
          </cell>
          <cell r="Q165" t="e">
            <v>#NAME?</v>
          </cell>
          <cell r="R165">
            <v>0</v>
          </cell>
          <cell r="S165" t="e">
            <v>#NAME?</v>
          </cell>
          <cell r="T165" t="e">
            <v>#NAME?</v>
          </cell>
          <cell r="U165" t="e">
            <v>#NAME?</v>
          </cell>
          <cell r="W165">
            <v>0</v>
          </cell>
          <cell r="X165" t="e">
            <v>#NAME?</v>
          </cell>
          <cell r="Y165" t="e">
            <v>#NAME?</v>
          </cell>
          <cell r="AA165">
            <v>0</v>
          </cell>
          <cell r="AB165" t="e">
            <v>#NAME?</v>
          </cell>
          <cell r="AC165" t="e">
            <v>#NAME?</v>
          </cell>
          <cell r="AD165" t="e">
            <v>#NAME?</v>
          </cell>
          <cell r="AE165" t="e">
            <v>#NAME?</v>
          </cell>
          <cell r="AF165" t="e">
            <v>#NAME?</v>
          </cell>
          <cell r="AG165" t="e">
            <v>#NAME?</v>
          </cell>
          <cell r="AH165" t="e">
            <v>#NAME?</v>
          </cell>
          <cell r="AI165" t="str">
            <v/>
          </cell>
          <cell r="AK165">
            <v>0</v>
          </cell>
          <cell r="AL165" t="str">
            <v/>
          </cell>
          <cell r="AM165" t="str">
            <v/>
          </cell>
          <cell r="AP165">
            <v>1</v>
          </cell>
          <cell r="AQ165">
            <v>0</v>
          </cell>
        </row>
        <row r="166">
          <cell r="A166" t="str">
            <v>UH-60M Black Hawk Upgrade</v>
          </cell>
          <cell r="B166" t="str">
            <v>UH-60M Black Hawk Upgrade</v>
          </cell>
          <cell r="C166" t="str">
            <v>Sikorsky Aircraft Corporation (UTC)</v>
          </cell>
          <cell r="D166" t="str">
            <v>Sikorsky Aircraft Corporation (UTC)</v>
          </cell>
          <cell r="E166" t="str">
            <v/>
          </cell>
          <cell r="G166">
            <v>1</v>
          </cell>
          <cell r="H166" t="str">
            <v>BAE, Rockwell Collins, Goodrich,Textron, General Electric, Martin Baker</v>
          </cell>
          <cell r="I166" t="str">
            <v/>
          </cell>
          <cell r="J166" t="str">
            <v/>
          </cell>
          <cell r="K166" t="str">
            <v>Army</v>
          </cell>
          <cell r="L166">
            <v>2005</v>
          </cell>
          <cell r="M166" t="str">
            <v>PdE</v>
          </cell>
          <cell r="N166" t="e">
            <v>#N/A</v>
          </cell>
          <cell r="O166" t="e">
            <v>#N/A</v>
          </cell>
          <cell r="P166" t="e">
            <v>#NAME?</v>
          </cell>
          <cell r="Q166" t="e">
            <v>#N/A</v>
          </cell>
          <cell r="R166">
            <v>0</v>
          </cell>
          <cell r="S166" t="e">
            <v>#NAME?</v>
          </cell>
          <cell r="T166" t="e">
            <v>#NAME?</v>
          </cell>
          <cell r="U166" t="e">
            <v>#NAME?</v>
          </cell>
          <cell r="W166">
            <v>0</v>
          </cell>
          <cell r="X166" t="e">
            <v>#NAME?</v>
          </cell>
          <cell r="Y166" t="e">
            <v>#NAME?</v>
          </cell>
          <cell r="AA166">
            <v>0</v>
          </cell>
          <cell r="AB166" t="e">
            <v>#NAME?</v>
          </cell>
          <cell r="AC166" t="e">
            <v>#NAME?</v>
          </cell>
          <cell r="AD166" t="e">
            <v>#NAME?</v>
          </cell>
          <cell r="AE166" t="e">
            <v>#NAME?</v>
          </cell>
          <cell r="AF166" t="e">
            <v>#NAME?</v>
          </cell>
          <cell r="AG166" t="e">
            <v>#NAME?</v>
          </cell>
          <cell r="AH166" t="e">
            <v>#NAME?</v>
          </cell>
          <cell r="AI166" t="str">
            <v/>
          </cell>
          <cell r="AK166">
            <v>0</v>
          </cell>
          <cell r="AL166" t="str">
            <v/>
          </cell>
          <cell r="AM166" t="str">
            <v/>
          </cell>
          <cell r="AP166">
            <v>1</v>
          </cell>
          <cell r="AQ166">
            <v>0</v>
          </cell>
        </row>
        <row r="167">
          <cell r="A167" t="str">
            <v>V-22</v>
          </cell>
          <cell r="B167" t="str">
            <v>V-22</v>
          </cell>
          <cell r="C167" t="str">
            <v>Bell Helicopter (Textron)</v>
          </cell>
          <cell r="D167" t="str">
            <v>Bell Helicopter (Textron)</v>
          </cell>
          <cell r="E167" t="str">
            <v>Boeing</v>
          </cell>
          <cell r="G167">
            <v>0</v>
          </cell>
          <cell r="H167" t="str">
            <v>Raytheon, BAE, Allison Engine, Northrop Grumman</v>
          </cell>
          <cell r="I167" t="str">
            <v/>
          </cell>
          <cell r="J167" t="str">
            <v/>
          </cell>
          <cell r="K167" t="str">
            <v>Navy</v>
          </cell>
          <cell r="L167">
            <v>2005</v>
          </cell>
          <cell r="M167" t="str">
            <v>PdE</v>
          </cell>
          <cell r="N167">
            <v>0.3</v>
          </cell>
          <cell r="O167" t="e">
            <v>#NAME?</v>
          </cell>
          <cell r="P167" t="e">
            <v>#NAME?</v>
          </cell>
          <cell r="Q167" t="e">
            <v>#NAME?</v>
          </cell>
          <cell r="R167">
            <v>0</v>
          </cell>
          <cell r="S167" t="e">
            <v>#NAME?</v>
          </cell>
          <cell r="T167" t="e">
            <v>#NAME?</v>
          </cell>
          <cell r="U167" t="e">
            <v>#NAME?</v>
          </cell>
          <cell r="W167">
            <v>0</v>
          </cell>
          <cell r="X167" t="e">
            <v>#NAME?</v>
          </cell>
          <cell r="Y167" t="e">
            <v>#NAME?</v>
          </cell>
          <cell r="AA167">
            <v>0</v>
          </cell>
          <cell r="AB167" t="e">
            <v>#NAME?</v>
          </cell>
          <cell r="AC167" t="e">
            <v>#NAME?</v>
          </cell>
          <cell r="AD167" t="e">
            <v>#NAME?</v>
          </cell>
          <cell r="AE167" t="e">
            <v>#NAME?</v>
          </cell>
          <cell r="AF167" t="e">
            <v>#NAME?</v>
          </cell>
          <cell r="AG167" t="e">
            <v>#NAME?</v>
          </cell>
          <cell r="AH167" t="e">
            <v>#NAME?</v>
          </cell>
          <cell r="AI167" t="str">
            <v/>
          </cell>
          <cell r="AK167">
            <v>0</v>
          </cell>
          <cell r="AL167" t="str">
            <v/>
          </cell>
          <cell r="AM167" t="str">
            <v/>
          </cell>
          <cell r="AP167">
            <v>1</v>
          </cell>
          <cell r="AQ167">
            <v>1</v>
          </cell>
        </row>
        <row r="168">
          <cell r="A168" t="str">
            <v>VH-71</v>
          </cell>
          <cell r="B168" t="str">
            <v>VH-71</v>
          </cell>
          <cell r="C168" t="str">
            <v>Lockheed Martin</v>
          </cell>
          <cell r="D168" t="str">
            <v>Lockheed Martin</v>
          </cell>
          <cell r="E168" t="str">
            <v/>
          </cell>
          <cell r="G168">
            <v>1</v>
          </cell>
          <cell r="H168" t="str">
            <v>Agusta-Westland</v>
          </cell>
          <cell r="I168" t="str">
            <v/>
          </cell>
          <cell r="J168" t="str">
            <v/>
          </cell>
          <cell r="K168" t="str">
            <v>Navy</v>
          </cell>
          <cell r="L168">
            <v>2003</v>
          </cell>
          <cell r="M168" t="str">
            <v>DE</v>
          </cell>
          <cell r="N168" t="e">
            <v>#N/A</v>
          </cell>
          <cell r="O168" t="e">
            <v>#N/A</v>
          </cell>
          <cell r="P168" t="e">
            <v>#NAME?</v>
          </cell>
          <cell r="Q168" t="e">
            <v>#N/A</v>
          </cell>
          <cell r="R168">
            <v>0</v>
          </cell>
          <cell r="S168" t="e">
            <v>#NAME?</v>
          </cell>
          <cell r="T168" t="e">
            <v>#NAME?</v>
          </cell>
          <cell r="U168" t="e">
            <v>#NAME?</v>
          </cell>
          <cell r="W168">
            <v>0</v>
          </cell>
          <cell r="X168" t="e">
            <v>#NAME?</v>
          </cell>
          <cell r="Y168" t="e">
            <v>#NAME?</v>
          </cell>
          <cell r="AA168">
            <v>0</v>
          </cell>
          <cell r="AB168" t="e">
            <v>#NAME?</v>
          </cell>
          <cell r="AC168" t="e">
            <v>#NAME?</v>
          </cell>
          <cell r="AD168" t="e">
            <v>#NAME?</v>
          </cell>
          <cell r="AE168" t="e">
            <v>#NAME?</v>
          </cell>
          <cell r="AF168" t="e">
            <v>#NAME?</v>
          </cell>
          <cell r="AG168" t="e">
            <v>#NAME?</v>
          </cell>
          <cell r="AH168" t="e">
            <v>#NAME?</v>
          </cell>
          <cell r="AI168" t="str">
            <v/>
          </cell>
          <cell r="AK168">
            <v>0</v>
          </cell>
          <cell r="AL168" t="str">
            <v/>
          </cell>
          <cell r="AM168" t="str">
            <v/>
          </cell>
          <cell r="AP168">
            <v>1</v>
          </cell>
          <cell r="AQ168">
            <v>0</v>
          </cell>
        </row>
        <row r="169">
          <cell r="A169" t="str">
            <v>VTUAV</v>
          </cell>
          <cell r="B169" t="str">
            <v>VTUAV</v>
          </cell>
          <cell r="C169" t="str">
            <v>Northrop Grumman</v>
          </cell>
          <cell r="D169" t="str">
            <v>Northrop Grumman</v>
          </cell>
          <cell r="E169" t="str">
            <v/>
          </cell>
          <cell r="G169">
            <v>1</v>
          </cell>
          <cell r="H169" t="str">
            <v>Raytheon</v>
          </cell>
          <cell r="I169" t="str">
            <v/>
          </cell>
          <cell r="J169" t="str">
            <v/>
          </cell>
          <cell r="K169" t="str">
            <v>Navy</v>
          </cell>
          <cell r="L169">
            <v>2006</v>
          </cell>
          <cell r="M169" t="str">
            <v>PdE</v>
          </cell>
          <cell r="N169">
            <v>3</v>
          </cell>
          <cell r="O169" t="e">
            <v>#NAME?</v>
          </cell>
          <cell r="P169" t="e">
            <v>#NAME?</v>
          </cell>
          <cell r="Q169" t="e">
            <v>#NAME?</v>
          </cell>
          <cell r="R169">
            <v>0</v>
          </cell>
          <cell r="S169" t="e">
            <v>#NAME?</v>
          </cell>
          <cell r="T169" t="e">
            <v>#NAME?</v>
          </cell>
          <cell r="U169" t="e">
            <v>#NAME?</v>
          </cell>
          <cell r="W169">
            <v>0</v>
          </cell>
          <cell r="X169" t="e">
            <v>#NAME?</v>
          </cell>
          <cell r="Y169" t="e">
            <v>#NAME?</v>
          </cell>
          <cell r="AA169">
            <v>0</v>
          </cell>
          <cell r="AB169" t="e">
            <v>#NAME?</v>
          </cell>
          <cell r="AC169" t="e">
            <v>#NAME?</v>
          </cell>
          <cell r="AD169" t="e">
            <v>#NAME?</v>
          </cell>
          <cell r="AE169" t="e">
            <v>#NAME?</v>
          </cell>
          <cell r="AF169" t="e">
            <v>#NAME?</v>
          </cell>
          <cell r="AG169" t="e">
            <v>#NAME?</v>
          </cell>
          <cell r="AH169" t="e">
            <v>#NAME?</v>
          </cell>
          <cell r="AI169" t="str">
            <v/>
          </cell>
          <cell r="AK169">
            <v>0</v>
          </cell>
          <cell r="AL169" t="str">
            <v/>
          </cell>
          <cell r="AM169" t="str">
            <v/>
          </cell>
          <cell r="AP169">
            <v>1</v>
          </cell>
          <cell r="AQ169">
            <v>0</v>
          </cell>
        </row>
        <row r="170">
          <cell r="A170" t="str">
            <v>WGS</v>
          </cell>
          <cell r="B170" t="str">
            <v>WGS</v>
          </cell>
          <cell r="C170" t="str">
            <v>Boeing</v>
          </cell>
          <cell r="D170" t="str">
            <v>Boeing</v>
          </cell>
          <cell r="E170" t="str">
            <v/>
          </cell>
          <cell r="G170">
            <v>1</v>
          </cell>
          <cell r="H170" t="str">
            <v/>
          </cell>
          <cell r="I170" t="str">
            <v/>
          </cell>
          <cell r="J170" t="str">
            <v/>
          </cell>
          <cell r="K170" t="str">
            <v>Air Force</v>
          </cell>
          <cell r="L170">
            <v>2010</v>
          </cell>
          <cell r="M170" t="str">
            <v>PdE</v>
          </cell>
          <cell r="N170">
            <v>-2</v>
          </cell>
          <cell r="O170" t="e">
            <v>#NAME?</v>
          </cell>
          <cell r="P170" t="e">
            <v>#NAME?</v>
          </cell>
          <cell r="Q170" t="e">
            <v>#NAME?</v>
          </cell>
          <cell r="R170">
            <v>0</v>
          </cell>
          <cell r="S170" t="e">
            <v>#NAME?</v>
          </cell>
          <cell r="T170" t="e">
            <v>#NAME?</v>
          </cell>
          <cell r="U170" t="e">
            <v>#NAME?</v>
          </cell>
          <cell r="W170">
            <v>0</v>
          </cell>
          <cell r="X170" t="e">
            <v>#NAME?</v>
          </cell>
          <cell r="Y170" t="e">
            <v>#NAME?</v>
          </cell>
          <cell r="AA170">
            <v>0</v>
          </cell>
          <cell r="AB170" t="e">
            <v>#NAME?</v>
          </cell>
          <cell r="AC170" t="e">
            <v>#NAME?</v>
          </cell>
          <cell r="AD170" t="e">
            <v>#NAME?</v>
          </cell>
          <cell r="AE170" t="e">
            <v>#NAME?</v>
          </cell>
          <cell r="AF170" t="e">
            <v>#NAME?</v>
          </cell>
          <cell r="AG170" t="e">
            <v>#NAME?</v>
          </cell>
          <cell r="AH170" t="e">
            <v>#NAME?</v>
          </cell>
          <cell r="AI170" t="str">
            <v/>
          </cell>
          <cell r="AK170">
            <v>0</v>
          </cell>
          <cell r="AL170" t="str">
            <v/>
          </cell>
          <cell r="AM170" t="str">
            <v/>
          </cell>
          <cell r="AP170">
            <v>1</v>
          </cell>
          <cell r="AQ170">
            <v>0</v>
          </cell>
        </row>
        <row r="171">
          <cell r="A171" t="str">
            <v>WIN-T Increment 1</v>
          </cell>
          <cell r="B171" t="str">
            <v>WIN-T Increment 1</v>
          </cell>
          <cell r="C171" t="str">
            <v>General Dynamics</v>
          </cell>
          <cell r="D171" t="str">
            <v>General Dynamics</v>
          </cell>
          <cell r="E171" t="str">
            <v/>
          </cell>
          <cell r="G171">
            <v>1</v>
          </cell>
          <cell r="H171" t="str">
            <v>Lockheed Martin</v>
          </cell>
          <cell r="I171" t="str">
            <v/>
          </cell>
          <cell r="J171" t="str">
            <v/>
          </cell>
          <cell r="K171" t="str">
            <v>Army</v>
          </cell>
          <cell r="L171">
            <v>2007</v>
          </cell>
          <cell r="M171" t="str">
            <v>PdE</v>
          </cell>
          <cell r="N171">
            <v>2.5</v>
          </cell>
          <cell r="O171" t="e">
            <v>#NAME?</v>
          </cell>
          <cell r="P171" t="e">
            <v>#NAME?</v>
          </cell>
          <cell r="Q171" t="e">
            <v>#NAME?</v>
          </cell>
          <cell r="R171">
            <v>0</v>
          </cell>
          <cell r="S171" t="e">
            <v>#NAME?</v>
          </cell>
          <cell r="T171" t="e">
            <v>#NAME?</v>
          </cell>
          <cell r="U171" t="e">
            <v>#NAME?</v>
          </cell>
          <cell r="W171">
            <v>0</v>
          </cell>
          <cell r="X171" t="e">
            <v>#NAME?</v>
          </cell>
          <cell r="Y171" t="e">
            <v>#NAME?</v>
          </cell>
          <cell r="AA171">
            <v>0</v>
          </cell>
          <cell r="AB171" t="e">
            <v>#NAME?</v>
          </cell>
          <cell r="AC171" t="e">
            <v>#NAME?</v>
          </cell>
          <cell r="AD171" t="e">
            <v>#NAME?</v>
          </cell>
          <cell r="AE171" t="e">
            <v>#NAME?</v>
          </cell>
          <cell r="AF171" t="e">
            <v>#NAME?</v>
          </cell>
          <cell r="AG171" t="e">
            <v>#NAME?</v>
          </cell>
          <cell r="AH171" t="e">
            <v>#NAME?</v>
          </cell>
          <cell r="AI171" t="str">
            <v/>
          </cell>
          <cell r="AK171">
            <v>0</v>
          </cell>
          <cell r="AL171" t="str">
            <v/>
          </cell>
          <cell r="AM171" t="str">
            <v/>
          </cell>
          <cell r="AP171">
            <v>1</v>
          </cell>
          <cell r="AQ171">
            <v>0</v>
          </cell>
        </row>
        <row r="172">
          <cell r="A172" t="str">
            <v>WIN-T Increment 2</v>
          </cell>
          <cell r="B172" t="str">
            <v>WIN-T Increment 2</v>
          </cell>
          <cell r="C172" t="str">
            <v>General Dynamics</v>
          </cell>
          <cell r="D172" t="str">
            <v>General Dynamics</v>
          </cell>
          <cell r="E172" t="str">
            <v/>
          </cell>
          <cell r="G172">
            <v>1</v>
          </cell>
          <cell r="H172" t="str">
            <v>Lockheed Martin</v>
          </cell>
          <cell r="I172" t="str">
            <v/>
          </cell>
          <cell r="J172" t="str">
            <v/>
          </cell>
          <cell r="K172" t="str">
            <v>Army</v>
          </cell>
          <cell r="L172">
            <v>2010</v>
          </cell>
          <cell r="M172" t="str">
            <v>PdE</v>
          </cell>
          <cell r="N172">
            <v>8</v>
          </cell>
          <cell r="O172" t="e">
            <v>#NAME?</v>
          </cell>
          <cell r="P172" t="e">
            <v>#NAME?</v>
          </cell>
          <cell r="Q172" t="e">
            <v>#NAME?</v>
          </cell>
          <cell r="R172">
            <v>0</v>
          </cell>
          <cell r="S172" t="e">
            <v>#NAME?</v>
          </cell>
          <cell r="T172" t="e">
            <v>#NAME?</v>
          </cell>
          <cell r="U172" t="e">
            <v>#NAME?</v>
          </cell>
          <cell r="W172">
            <v>0</v>
          </cell>
          <cell r="X172" t="e">
            <v>#NAME?</v>
          </cell>
          <cell r="Y172" t="e">
            <v>#NAME?</v>
          </cell>
          <cell r="AA172">
            <v>0</v>
          </cell>
          <cell r="AB172" t="e">
            <v>#NAME?</v>
          </cell>
          <cell r="AC172" t="e">
            <v>#NAME?</v>
          </cell>
          <cell r="AD172" t="e">
            <v>#NAME?</v>
          </cell>
          <cell r="AE172" t="e">
            <v>#NAME?</v>
          </cell>
          <cell r="AF172" t="e">
            <v>#NAME?</v>
          </cell>
          <cell r="AG172" t="e">
            <v>#NAME?</v>
          </cell>
          <cell r="AH172" t="e">
            <v>#NAME?</v>
          </cell>
          <cell r="AI172" t="str">
            <v/>
          </cell>
          <cell r="AK172">
            <v>0</v>
          </cell>
          <cell r="AL172" t="str">
            <v/>
          </cell>
          <cell r="AM172" t="str">
            <v/>
          </cell>
          <cell r="AP172">
            <v>1</v>
          </cell>
          <cell r="AQ172">
            <v>0</v>
          </cell>
        </row>
        <row r="173">
          <cell r="A173" t="str">
            <v>WIN-T Increment 3</v>
          </cell>
          <cell r="B173" t="str">
            <v>WIN-T Increment 3</v>
          </cell>
          <cell r="C173" t="str">
            <v>General Dynamics</v>
          </cell>
          <cell r="D173" t="str">
            <v>General Dynamics</v>
          </cell>
          <cell r="E173" t="str">
            <v/>
          </cell>
          <cell r="G173">
            <v>1</v>
          </cell>
          <cell r="H173" t="str">
            <v>Lockheed Martin</v>
          </cell>
          <cell r="I173" t="str">
            <v/>
          </cell>
          <cell r="J173" t="str">
            <v/>
          </cell>
          <cell r="K173" t="str">
            <v>Army</v>
          </cell>
          <cell r="L173">
            <v>2009</v>
          </cell>
          <cell r="M173" t="str">
            <v>DE</v>
          </cell>
          <cell r="N173">
            <v>-18.3</v>
          </cell>
          <cell r="O173" t="e">
            <v>#NAME?</v>
          </cell>
          <cell r="P173" t="e">
            <v>#NAME?</v>
          </cell>
          <cell r="Q173" t="e">
            <v>#NAME?</v>
          </cell>
          <cell r="R173">
            <v>0</v>
          </cell>
          <cell r="S173" t="e">
            <v>#NAME?</v>
          </cell>
          <cell r="T173" t="e">
            <v>#NAME?</v>
          </cell>
          <cell r="U173" t="e">
            <v>#NAME?</v>
          </cell>
          <cell r="W173">
            <v>0</v>
          </cell>
          <cell r="X173" t="e">
            <v>#NAME?</v>
          </cell>
          <cell r="Y173" t="e">
            <v>#NAME?</v>
          </cell>
          <cell r="AA173">
            <v>0</v>
          </cell>
          <cell r="AB173" t="e">
            <v>#NAME?</v>
          </cell>
          <cell r="AC173" t="e">
            <v>#NAME?</v>
          </cell>
          <cell r="AD173" t="e">
            <v>#NAME?</v>
          </cell>
          <cell r="AE173" t="e">
            <v>#NAME?</v>
          </cell>
          <cell r="AF173" t="e">
            <v>#NAME?</v>
          </cell>
          <cell r="AG173" t="e">
            <v>#NAME?</v>
          </cell>
          <cell r="AH173" t="e">
            <v>#NAME?</v>
          </cell>
          <cell r="AI173" t="str">
            <v/>
          </cell>
          <cell r="AK173">
            <v>0</v>
          </cell>
          <cell r="AL173" t="str">
            <v/>
          </cell>
          <cell r="AM173" t="str">
            <v/>
          </cell>
          <cell r="AP173">
            <v>1</v>
          </cell>
          <cell r="AQ173">
            <v>0</v>
          </cell>
        </row>
        <row r="175">
          <cell r="A175" t="str">
            <v>Totals</v>
          </cell>
          <cell r="N175" t="e">
            <v>#N/A</v>
          </cell>
          <cell r="O175" t="e">
            <v>#N/A</v>
          </cell>
          <cell r="P175" t="e">
            <v>#NAME?</v>
          </cell>
          <cell r="T175" t="e">
            <v>#NAME?</v>
          </cell>
          <cell r="U175" t="e">
            <v>#NAME?</v>
          </cell>
          <cell r="W175">
            <v>0</v>
          </cell>
          <cell r="X175" t="e">
            <v>#N/A</v>
          </cell>
          <cell r="Y175" t="e">
            <v>#N/A</v>
          </cell>
          <cell r="AA175">
            <v>0</v>
          </cell>
          <cell r="AB175" t="e">
            <v>#REF!</v>
          </cell>
          <cell r="AC175" t="e">
            <v>#NAME?</v>
          </cell>
          <cell r="AD175" t="e">
            <v>#NAME?</v>
          </cell>
          <cell r="AE175" t="e">
            <v>#N/A</v>
          </cell>
          <cell r="AF175" t="e">
            <v>#NAME?</v>
          </cell>
          <cell r="AG175" t="e">
            <v>#NAME?</v>
          </cell>
          <cell r="AH175" t="e">
            <v>#NAME?</v>
          </cell>
          <cell r="AI175" t="str">
            <v/>
          </cell>
          <cell r="AK175">
            <v>0</v>
          </cell>
          <cell r="AL175">
            <v>0</v>
          </cell>
          <cell r="AM175">
            <v>0</v>
          </cell>
          <cell r="AP175">
            <v>86</v>
          </cell>
          <cell r="AQ175">
            <v>9</v>
          </cell>
        </row>
        <row r="177">
          <cell r="A177" t="str">
            <v>Accumulated data</v>
          </cell>
        </row>
        <row r="178">
          <cell r="A178" t="str">
            <v>By Service Branch</v>
          </cell>
          <cell r="C178" t="str">
            <v>Number of MDAPs</v>
          </cell>
        </row>
        <row r="179">
          <cell r="A179" t="str">
            <v>Air Force</v>
          </cell>
          <cell r="C179">
            <v>15</v>
          </cell>
          <cell r="N179" t="e">
            <v>#N/A</v>
          </cell>
          <cell r="O179" t="e">
            <v>#N/A</v>
          </cell>
          <cell r="P179" t="e">
            <v>#NAME?</v>
          </cell>
          <cell r="T179" t="e">
            <v>#NAME?</v>
          </cell>
          <cell r="Y179" t="e">
            <v>#N/A</v>
          </cell>
          <cell r="AI179">
            <v>0</v>
          </cell>
          <cell r="AM179">
            <v>0</v>
          </cell>
          <cell r="AP179">
            <v>15</v>
          </cell>
        </row>
        <row r="180">
          <cell r="A180" t="str">
            <v>Army</v>
          </cell>
          <cell r="C180">
            <v>20</v>
          </cell>
          <cell r="N180" t="e">
            <v>#N/A</v>
          </cell>
          <cell r="O180" t="e">
            <v>#N/A</v>
          </cell>
          <cell r="P180" t="e">
            <v>#NAME?</v>
          </cell>
          <cell r="T180" t="e">
            <v>#NAME?</v>
          </cell>
          <cell r="Y180" t="e">
            <v>#N/A</v>
          </cell>
          <cell r="AI180">
            <v>0</v>
          </cell>
          <cell r="AM180">
            <v>0</v>
          </cell>
          <cell r="AP180">
            <v>20</v>
          </cell>
        </row>
        <row r="181">
          <cell r="A181" t="str">
            <v>DoD-wide</v>
          </cell>
          <cell r="C181">
            <v>6</v>
          </cell>
          <cell r="N181" t="e">
            <v>#N/A</v>
          </cell>
          <cell r="O181" t="e">
            <v>#N/A</v>
          </cell>
          <cell r="P181" t="e">
            <v>#NAME?</v>
          </cell>
          <cell r="T181" t="e">
            <v>#NAME?</v>
          </cell>
          <cell r="Y181" t="e">
            <v>#N/A</v>
          </cell>
          <cell r="AI181">
            <v>0</v>
          </cell>
          <cell r="AM181">
            <v>0</v>
          </cell>
          <cell r="AP181">
            <v>6</v>
          </cell>
        </row>
        <row r="182">
          <cell r="A182" t="str">
            <v>Navy</v>
          </cell>
          <cell r="C182">
            <v>18</v>
          </cell>
          <cell r="N182" t="e">
            <v>#N/A</v>
          </cell>
          <cell r="O182" t="e">
            <v>#N/A</v>
          </cell>
          <cell r="P182" t="e">
            <v>#NAME?</v>
          </cell>
          <cell r="T182" t="e">
            <v>#NAME?</v>
          </cell>
          <cell r="Y182" t="e">
            <v>#N/A</v>
          </cell>
          <cell r="AI182">
            <v>0</v>
          </cell>
          <cell r="AM182">
            <v>0</v>
          </cell>
          <cell r="AP182">
            <v>16</v>
          </cell>
        </row>
        <row r="183">
          <cell r="A183" t="str">
            <v>Totals</v>
          </cell>
          <cell r="C183">
            <v>59</v>
          </cell>
          <cell r="N183" t="e">
            <v>#N/A</v>
          </cell>
          <cell r="O183" t="e">
            <v>#N/A</v>
          </cell>
          <cell r="P183" t="e">
            <v>#NAME?</v>
          </cell>
          <cell r="T183" t="e">
            <v>#NAME?</v>
          </cell>
          <cell r="Y183" t="e">
            <v>#N/A</v>
          </cell>
          <cell r="AI183">
            <v>0</v>
          </cell>
          <cell r="AM183">
            <v>0</v>
          </cell>
          <cell r="AP183">
            <v>57</v>
          </cell>
        </row>
      </sheetData>
      <sheetData sheetId="3">
        <row r="2">
          <cell r="A2" t="str">
            <v>AT&amp;T</v>
          </cell>
          <cell r="B2" t="str">
            <v xml:space="preserve">T US Equity </v>
          </cell>
          <cell r="C2" t="str">
            <v>AT&amp;T Inc</v>
          </cell>
          <cell r="D2" t="str">
            <v>--</v>
          </cell>
          <cell r="E2">
            <v>301000</v>
          </cell>
          <cell r="F2">
            <v>302660</v>
          </cell>
          <cell r="G2">
            <v>124028</v>
          </cell>
          <cell r="H2">
            <v>23063</v>
          </cell>
          <cell r="I2">
            <v>124028</v>
          </cell>
          <cell r="J2">
            <v>18.594994678620957</v>
          </cell>
        </row>
        <row r="3">
          <cell r="A3" t="str">
            <v>ATK (Alliant Techsystems)</v>
          </cell>
          <cell r="B3" t="str">
            <v xml:space="preserve">ATK US Equity </v>
          </cell>
          <cell r="C3" t="str">
            <v>Alliant Techsystems Inc</v>
          </cell>
          <cell r="D3" t="str">
            <v>--</v>
          </cell>
          <cell r="E3">
            <v>19000</v>
          </cell>
          <cell r="F3">
            <v>19000</v>
          </cell>
          <cell r="G3">
            <v>4583.22</v>
          </cell>
          <cell r="H3">
            <v>492.96</v>
          </cell>
          <cell r="I3">
            <v>4200</v>
          </cell>
          <cell r="J3">
            <v>10.755756869624411</v>
          </cell>
        </row>
        <row r="4">
          <cell r="A4" t="str">
            <v>BAE Systems</v>
          </cell>
          <cell r="B4" t="str">
            <v xml:space="preserve">BA/ LN Equity </v>
          </cell>
          <cell r="C4" t="str">
            <v>BAE Systems PLC</v>
          </cell>
          <cell r="D4" t="str">
            <v>--</v>
          </cell>
          <cell r="E4">
            <v>90000</v>
          </cell>
          <cell r="F4">
            <v>105000</v>
          </cell>
          <cell r="G4">
            <v>30551.63</v>
          </cell>
          <cell r="H4">
            <v>3219.92</v>
          </cell>
          <cell r="I4">
            <v>10234</v>
          </cell>
          <cell r="J4">
            <v>10.539274009275445</v>
          </cell>
        </row>
        <row r="5">
          <cell r="A5" t="str">
            <v>Bechtel</v>
          </cell>
          <cell r="B5" t="str">
            <v xml:space="preserve">2213Z US Equity </v>
          </cell>
          <cell r="C5" t="str">
            <v>Bechtel Group Inc</v>
          </cell>
          <cell r="D5" t="str">
            <v>--</v>
          </cell>
          <cell r="E5" t="str">
            <v>--</v>
          </cell>
          <cell r="F5">
            <v>44000</v>
          </cell>
          <cell r="G5" t="str">
            <v>--</v>
          </cell>
          <cell r="H5" t="str">
            <v>--</v>
          </cell>
          <cell r="I5">
            <v>27000</v>
          </cell>
          <cell r="J5" t="e">
            <v>#VALUE!</v>
          </cell>
        </row>
        <row r="6">
          <cell r="A6" t="str">
            <v>Boeing</v>
          </cell>
          <cell r="B6" t="str">
            <v xml:space="preserve">BA US Equity </v>
          </cell>
          <cell r="C6" t="str">
            <v>Boeing Co/The (IDS)</v>
          </cell>
          <cell r="D6" t="str">
            <v>--</v>
          </cell>
          <cell r="E6">
            <v>162200</v>
          </cell>
          <cell r="F6">
            <v>160000</v>
          </cell>
          <cell r="G6">
            <v>32047</v>
          </cell>
          <cell r="H6">
            <v>3232</v>
          </cell>
          <cell r="I6" t="str">
            <v>60909, 32,047 (IDS)</v>
          </cell>
          <cell r="J6">
            <v>10.085187381034107</v>
          </cell>
        </row>
        <row r="7">
          <cell r="A7" t="str">
            <v>Bofors Defence (BAE)</v>
          </cell>
          <cell r="C7" t="str">
            <v>Bofors Defence (BAE)</v>
          </cell>
          <cell r="D7" t="str">
            <v>--</v>
          </cell>
          <cell r="E7" t="str">
            <v>--</v>
          </cell>
          <cell r="F7">
            <v>550</v>
          </cell>
          <cell r="G7" t="str">
            <v>--</v>
          </cell>
          <cell r="H7" t="str">
            <v>--</v>
          </cell>
          <cell r="I7" t="str">
            <v>NA (BAE)</v>
          </cell>
          <cell r="J7" t="e">
            <v>#VALUE!</v>
          </cell>
        </row>
        <row r="8">
          <cell r="A8" t="str">
            <v>Booz Allen Hamilton</v>
          </cell>
          <cell r="B8" t="str">
            <v>--</v>
          </cell>
          <cell r="C8" t="str">
            <v>Booz Allen Hamilton</v>
          </cell>
          <cell r="D8" t="str">
            <v>--</v>
          </cell>
          <cell r="E8" t="str">
            <v>--</v>
          </cell>
          <cell r="F8">
            <v>20000</v>
          </cell>
          <cell r="G8" t="str">
            <v>--</v>
          </cell>
          <cell r="H8" t="str">
            <v>--</v>
          </cell>
          <cell r="I8">
            <v>3680</v>
          </cell>
          <cell r="J8" t="e">
            <v>#VALUE!</v>
          </cell>
        </row>
        <row r="9">
          <cell r="A9" t="str">
            <v>CACI</v>
          </cell>
          <cell r="B9" t="str">
            <v>CACI US Equity</v>
          </cell>
          <cell r="C9" t="str">
            <v>CACI International Inc</v>
          </cell>
          <cell r="D9" t="str">
            <v>--</v>
          </cell>
          <cell r="E9">
            <v>12000</v>
          </cell>
          <cell r="F9">
            <v>12500</v>
          </cell>
          <cell r="G9">
            <v>2420.54</v>
          </cell>
          <cell r="H9">
            <v>162.83000000000001</v>
          </cell>
          <cell r="I9">
            <v>2420</v>
          </cell>
          <cell r="J9">
            <v>6.7270113280507662</v>
          </cell>
        </row>
        <row r="10">
          <cell r="A10" t="str">
            <v>Computer Science Corporation</v>
          </cell>
          <cell r="B10" t="str">
            <v xml:space="preserve">CSC US Equity </v>
          </cell>
          <cell r="C10" t="str">
            <v>Computer Sciences Corp</v>
          </cell>
          <cell r="D10" t="str">
            <v>--</v>
          </cell>
          <cell r="E10">
            <v>92000</v>
          </cell>
          <cell r="F10">
            <v>92000</v>
          </cell>
          <cell r="G10">
            <v>16739.900000000001</v>
          </cell>
          <cell r="H10">
            <v>1210.9000000000001</v>
          </cell>
          <cell r="J10">
            <v>7.2336154935214667</v>
          </cell>
        </row>
        <row r="11">
          <cell r="A11" t="str">
            <v>Curtiss Wright</v>
          </cell>
          <cell r="B11" t="str">
            <v>--</v>
          </cell>
          <cell r="C11" t="str">
            <v>Curtiss Wright</v>
          </cell>
          <cell r="D11" t="str">
            <v>--</v>
          </cell>
          <cell r="E11" t="str">
            <v>--</v>
          </cell>
          <cell r="F11">
            <v>8000</v>
          </cell>
          <cell r="G11" t="str">
            <v>--</v>
          </cell>
          <cell r="H11" t="str">
            <v>--</v>
          </cell>
          <cell r="I11">
            <v>1830</v>
          </cell>
          <cell r="J11" t="e">
            <v>#VALUE!</v>
          </cell>
        </row>
        <row r="12">
          <cell r="A12" t="str">
            <v>EADS</v>
          </cell>
          <cell r="B12" t="str">
            <v>EAD FP Equity</v>
          </cell>
          <cell r="C12" t="str">
            <v xml:space="preserve">European Aeronautic Defence </v>
          </cell>
          <cell r="D12" t="str">
            <v>--</v>
          </cell>
          <cell r="E12">
            <v>118349</v>
          </cell>
          <cell r="F12">
            <v>118000</v>
          </cell>
          <cell r="G12">
            <v>63309.93</v>
          </cell>
          <cell r="H12">
            <v>3747.53</v>
          </cell>
          <cell r="I12">
            <v>63.666981690903107</v>
          </cell>
          <cell r="J12">
            <v>5.9193399834749467</v>
          </cell>
        </row>
        <row r="13">
          <cell r="A13" t="str">
            <v xml:space="preserve">EDS </v>
          </cell>
          <cell r="B13" t="str">
            <v xml:space="preserve">EDS US Equity </v>
          </cell>
          <cell r="C13" t="str">
            <v>Electronic Data Systems Corp</v>
          </cell>
          <cell r="D13" t="str">
            <v>Hewlett-Packard Co</v>
          </cell>
          <cell r="E13">
            <v>139500</v>
          </cell>
          <cell r="F13">
            <v>136000</v>
          </cell>
          <cell r="G13">
            <v>22134</v>
          </cell>
          <cell r="H13">
            <v>1132</v>
          </cell>
          <cell r="I13">
            <v>22100</v>
          </cell>
          <cell r="J13">
            <v>5.1143037860305416</v>
          </cell>
        </row>
        <row r="14">
          <cell r="A14" t="str">
            <v>Finmeccanica, Inc. (incl DRS Technologies)</v>
          </cell>
          <cell r="B14" t="str">
            <v xml:space="preserve">FNC IM Equity </v>
          </cell>
          <cell r="C14" t="str">
            <v>Finmeccanica SpA</v>
          </cell>
          <cell r="D14" t="str">
            <v>--</v>
          </cell>
          <cell r="E14">
            <v>73385</v>
          </cell>
          <cell r="F14">
            <v>73000</v>
          </cell>
          <cell r="G14">
            <v>22003.74</v>
          </cell>
          <cell r="H14">
            <v>1770.6</v>
          </cell>
          <cell r="I14">
            <v>84.807576170337867</v>
          </cell>
          <cell r="J14">
            <v>8.0468138598256473</v>
          </cell>
        </row>
        <row r="15">
          <cell r="A15" t="str">
            <v>Fluor</v>
          </cell>
          <cell r="B15" t="str">
            <v>FLR US Equity</v>
          </cell>
          <cell r="C15" t="str">
            <v>Fluor Corp</v>
          </cell>
          <cell r="D15" t="str">
            <v>--</v>
          </cell>
          <cell r="E15">
            <v>42119</v>
          </cell>
          <cell r="F15">
            <v>41000</v>
          </cell>
          <cell r="G15">
            <v>22325.89</v>
          </cell>
          <cell r="H15">
            <v>980.53</v>
          </cell>
          <cell r="I15">
            <v>16700</v>
          </cell>
          <cell r="J15">
            <v>4.3918965828461936</v>
          </cell>
        </row>
        <row r="16">
          <cell r="A16" t="str">
            <v>Force Protection, Inc.</v>
          </cell>
          <cell r="B16" t="str">
            <v xml:space="preserve">FRPT US Equity </v>
          </cell>
          <cell r="C16" t="str">
            <v>Force Protection Inc</v>
          </cell>
          <cell r="D16" t="str">
            <v>--</v>
          </cell>
          <cell r="E16">
            <v>1170</v>
          </cell>
          <cell r="F16" t="str">
            <v>1,000+</v>
          </cell>
          <cell r="G16">
            <v>1326.33</v>
          </cell>
          <cell r="H16">
            <v>68.45</v>
          </cell>
          <cell r="I16">
            <v>1326</v>
          </cell>
          <cell r="J16">
            <v>5.1608574035119466</v>
          </cell>
        </row>
        <row r="17">
          <cell r="A17" t="str">
            <v>General Atomics</v>
          </cell>
          <cell r="C17" t="str">
            <v>General Atomics</v>
          </cell>
          <cell r="D17" t="str">
            <v>--</v>
          </cell>
          <cell r="E17" t="str">
            <v>--</v>
          </cell>
          <cell r="F17" t="str">
            <v>NA</v>
          </cell>
          <cell r="G17" t="str">
            <v>--</v>
          </cell>
          <cell r="H17" t="str">
            <v>--</v>
          </cell>
          <cell r="I17" t="str">
            <v>NA</v>
          </cell>
          <cell r="J17" t="e">
            <v>#VALUE!</v>
          </cell>
        </row>
        <row r="18">
          <cell r="A18" t="str">
            <v>General Dynamics</v>
          </cell>
          <cell r="B18" t="str">
            <v>GD US Equity</v>
          </cell>
          <cell r="C18" t="str">
            <v>General Dynamics Corp</v>
          </cell>
          <cell r="D18" t="str">
            <v>--</v>
          </cell>
          <cell r="E18">
            <v>92300</v>
          </cell>
          <cell r="F18">
            <v>92300</v>
          </cell>
          <cell r="G18">
            <v>29300</v>
          </cell>
          <cell r="H18">
            <v>3653</v>
          </cell>
          <cell r="I18">
            <v>29300</v>
          </cell>
          <cell r="J18">
            <v>12.467576791808874</v>
          </cell>
        </row>
        <row r="19">
          <cell r="A19" t="str">
            <v>General Electric</v>
          </cell>
          <cell r="B19" t="str">
            <v>GE US Equity</v>
          </cell>
          <cell r="C19" t="str">
            <v>General Electric Co</v>
          </cell>
          <cell r="D19" t="str">
            <v>--</v>
          </cell>
          <cell r="E19">
            <v>323000</v>
          </cell>
          <cell r="F19">
            <v>320000</v>
          </cell>
          <cell r="G19">
            <v>180929</v>
          </cell>
          <cell r="H19">
            <v>19289</v>
          </cell>
          <cell r="I19">
            <v>180000</v>
          </cell>
          <cell r="J19">
            <v>10.661088051113973</v>
          </cell>
        </row>
        <row r="20">
          <cell r="A20" t="str">
            <v>Goodrich</v>
          </cell>
          <cell r="B20" t="str">
            <v>GR US Equity</v>
          </cell>
          <cell r="C20" t="str">
            <v>Goodrich Corp</v>
          </cell>
          <cell r="D20" t="str">
            <v>--</v>
          </cell>
          <cell r="E20">
            <v>25000</v>
          </cell>
          <cell r="F20">
            <v>25000</v>
          </cell>
          <cell r="G20">
            <v>7061.7</v>
          </cell>
          <cell r="H20">
            <v>1100.9000000000001</v>
          </cell>
          <cell r="I20">
            <v>7100</v>
          </cell>
          <cell r="J20">
            <v>15.58973051814719</v>
          </cell>
        </row>
        <row r="21">
          <cell r="A21" t="str">
            <v xml:space="preserve">Harris </v>
          </cell>
          <cell r="B21" t="str">
            <v xml:space="preserve">HRS US Equity </v>
          </cell>
          <cell r="C21" t="str">
            <v>Harris Corp</v>
          </cell>
          <cell r="D21" t="str">
            <v>--</v>
          </cell>
          <cell r="E21">
            <v>16500</v>
          </cell>
          <cell r="F21">
            <v>16000</v>
          </cell>
          <cell r="G21">
            <v>5311</v>
          </cell>
          <cell r="H21">
            <v>675.5</v>
          </cell>
          <cell r="I21">
            <v>5400</v>
          </cell>
          <cell r="J21">
            <v>12.718885332329128</v>
          </cell>
        </row>
        <row r="22">
          <cell r="A22" t="str">
            <v>Honeywell</v>
          </cell>
          <cell r="B22" t="str">
            <v xml:space="preserve">HON US Equity </v>
          </cell>
          <cell r="C22" t="str">
            <v>Honeywell International Inc</v>
          </cell>
          <cell r="D22" t="str">
            <v>--</v>
          </cell>
          <cell r="E22">
            <v>128000</v>
          </cell>
          <cell r="F22">
            <v>128000</v>
          </cell>
          <cell r="G22">
            <v>36556</v>
          </cell>
          <cell r="H22">
            <v>3529</v>
          </cell>
          <cell r="I22">
            <v>36556</v>
          </cell>
          <cell r="J22">
            <v>9.6536820221030748</v>
          </cell>
        </row>
        <row r="23">
          <cell r="A23" t="str">
            <v>IBM</v>
          </cell>
          <cell r="B23" t="str">
            <v>IBM US Equity</v>
          </cell>
          <cell r="C23" t="str">
            <v>International Business Machine</v>
          </cell>
          <cell r="D23" t="str">
            <v>--</v>
          </cell>
          <cell r="E23">
            <v>398455</v>
          </cell>
          <cell r="F23">
            <v>386558</v>
          </cell>
          <cell r="G23">
            <v>103630</v>
          </cell>
          <cell r="H23">
            <v>15938</v>
          </cell>
          <cell r="I23">
            <v>10400</v>
          </cell>
          <cell r="J23">
            <v>15.379716298369198</v>
          </cell>
        </row>
        <row r="24">
          <cell r="A24" t="str">
            <v>ICF Inc</v>
          </cell>
          <cell r="B24" t="str">
            <v xml:space="preserve">ICFI US Equity </v>
          </cell>
          <cell r="C24" t="str">
            <v>ICF International Inc</v>
          </cell>
          <cell r="D24" t="str">
            <v>--</v>
          </cell>
          <cell r="E24">
            <v>3000</v>
          </cell>
          <cell r="F24">
            <v>3500</v>
          </cell>
          <cell r="G24">
            <v>697.43</v>
          </cell>
          <cell r="H24">
            <v>52.97</v>
          </cell>
          <cell r="I24">
            <v>697</v>
          </cell>
          <cell r="J24">
            <v>7.5950274579527699</v>
          </cell>
        </row>
        <row r="25">
          <cell r="A25" t="str">
            <v>ITT</v>
          </cell>
          <cell r="B25" t="str">
            <v xml:space="preserve">ITT US Equity </v>
          </cell>
          <cell r="C25" t="str">
            <v>ITT Corp</v>
          </cell>
          <cell r="D25" t="str">
            <v>--</v>
          </cell>
          <cell r="E25">
            <v>40800</v>
          </cell>
          <cell r="F25">
            <v>40000</v>
          </cell>
          <cell r="G25">
            <v>11694.8</v>
          </cell>
          <cell r="H25">
            <v>1287.5999999999999</v>
          </cell>
          <cell r="I25">
            <v>16100</v>
          </cell>
          <cell r="J25">
            <v>11.010021548038445</v>
          </cell>
        </row>
        <row r="26">
          <cell r="A26" t="str">
            <v>KBR</v>
          </cell>
          <cell r="B26" t="str">
            <v>KBR US Equity</v>
          </cell>
          <cell r="C26" t="str">
            <v>KBR Inc</v>
          </cell>
          <cell r="D26" t="str">
            <v>--</v>
          </cell>
          <cell r="E26">
            <v>57000</v>
          </cell>
          <cell r="F26">
            <v>50000</v>
          </cell>
          <cell r="G26">
            <v>11581</v>
          </cell>
          <cell r="H26">
            <v>538</v>
          </cell>
          <cell r="I26">
            <v>11581</v>
          </cell>
          <cell r="J26">
            <v>4.6455401087988948</v>
          </cell>
        </row>
        <row r="27">
          <cell r="A27" t="str">
            <v>L-3 Communications</v>
          </cell>
          <cell r="B27" t="str">
            <v xml:space="preserve">LLL US Equity </v>
          </cell>
          <cell r="C27" t="str">
            <v>L-3 Communications Holdings In</v>
          </cell>
          <cell r="D27" t="str">
            <v>--</v>
          </cell>
          <cell r="E27">
            <v>65000</v>
          </cell>
          <cell r="F27">
            <v>60000</v>
          </cell>
          <cell r="G27">
            <v>14901</v>
          </cell>
          <cell r="H27">
            <v>1559</v>
          </cell>
          <cell r="I27">
            <v>14901</v>
          </cell>
          <cell r="J27">
            <v>10.462385074827193</v>
          </cell>
        </row>
        <row r="28">
          <cell r="A28" t="str">
            <v>Lockheed Martin</v>
          </cell>
          <cell r="B28" t="str">
            <v xml:space="preserve">LMT US Equity </v>
          </cell>
          <cell r="C28" t="str">
            <v>Lockheed Martin Corp</v>
          </cell>
          <cell r="D28" t="str">
            <v>--</v>
          </cell>
          <cell r="E28">
            <v>146000</v>
          </cell>
          <cell r="F28">
            <v>123570</v>
          </cell>
          <cell r="G28">
            <v>42731</v>
          </cell>
          <cell r="H28">
            <v>5131</v>
          </cell>
          <cell r="I28">
            <v>29300</v>
          </cell>
          <cell r="J28">
            <v>12.007675926142614</v>
          </cell>
        </row>
        <row r="29">
          <cell r="A29" t="str">
            <v>Mantech</v>
          </cell>
          <cell r="B29" t="str">
            <v xml:space="preserve">MANT US Equity </v>
          </cell>
          <cell r="C29" t="str">
            <v>Mantech International Corp</v>
          </cell>
          <cell r="D29" t="str">
            <v>--</v>
          </cell>
          <cell r="E29">
            <v>7900</v>
          </cell>
          <cell r="F29">
            <v>7900</v>
          </cell>
          <cell r="G29">
            <v>1870.88</v>
          </cell>
          <cell r="H29">
            <v>153.36000000000001</v>
          </cell>
          <cell r="I29" t="str">
            <v>1,870  </v>
          </cell>
          <cell r="J29">
            <v>8.1972120071837846</v>
          </cell>
        </row>
        <row r="30">
          <cell r="A30" t="str">
            <v>Microsoft</v>
          </cell>
          <cell r="B30" t="str">
            <v xml:space="preserve">MSFT US Equity </v>
          </cell>
          <cell r="C30" t="str">
            <v>Microsoft Corp</v>
          </cell>
          <cell r="D30" t="str">
            <v>--</v>
          </cell>
          <cell r="E30">
            <v>91000</v>
          </cell>
          <cell r="F30">
            <v>91000</v>
          </cell>
          <cell r="G30">
            <v>60420</v>
          </cell>
          <cell r="H30">
            <v>22492</v>
          </cell>
          <cell r="I30">
            <v>60420</v>
          </cell>
          <cell r="J30">
            <v>37.226084078119825</v>
          </cell>
        </row>
        <row r="31">
          <cell r="A31" t="str">
            <v>Navistar Defense</v>
          </cell>
          <cell r="B31" t="str">
            <v xml:space="preserve">NAV US Equity </v>
          </cell>
          <cell r="C31" t="str">
            <v>Navistar International Corp</v>
          </cell>
          <cell r="D31" t="str">
            <v>--</v>
          </cell>
          <cell r="E31">
            <v>17800</v>
          </cell>
          <cell r="F31">
            <v>17800</v>
          </cell>
          <cell r="G31">
            <v>14724</v>
          </cell>
          <cell r="H31">
            <v>961</v>
          </cell>
          <cell r="I31" t="str">
            <v>4,000 (Mil), 15,830 (Total)</v>
          </cell>
          <cell r="J31">
            <v>6.5267590328715031</v>
          </cell>
        </row>
        <row r="32">
          <cell r="A32" t="str">
            <v>Northrop Grumman</v>
          </cell>
          <cell r="B32" t="str">
            <v>NOC US Equity</v>
          </cell>
          <cell r="C32" t="str">
            <v>Northrop Grumman Corp</v>
          </cell>
          <cell r="D32" t="str">
            <v>--</v>
          </cell>
          <cell r="E32">
            <v>123600</v>
          </cell>
          <cell r="F32">
            <v>120000</v>
          </cell>
          <cell r="G32">
            <v>33887</v>
          </cell>
          <cell r="H32">
            <v>2949</v>
          </cell>
          <cell r="I32">
            <v>32018</v>
          </cell>
          <cell r="J32">
            <v>8.7024522678313225</v>
          </cell>
        </row>
        <row r="33">
          <cell r="A33" t="str">
            <v>Oracle</v>
          </cell>
          <cell r="B33" t="str">
            <v xml:space="preserve">ORCL US Equity </v>
          </cell>
          <cell r="C33" t="str">
            <v>Oracle Corp</v>
          </cell>
          <cell r="D33" t="str">
            <v>--</v>
          </cell>
          <cell r="E33">
            <v>84233</v>
          </cell>
          <cell r="F33">
            <v>84233</v>
          </cell>
          <cell r="G33">
            <v>23252</v>
          </cell>
          <cell r="H33">
            <v>8555</v>
          </cell>
          <cell r="I33">
            <v>22430</v>
          </cell>
          <cell r="J33">
            <v>36.792533975571992</v>
          </cell>
        </row>
        <row r="34">
          <cell r="A34" t="str">
            <v>Oshkosh Truck Corporation</v>
          </cell>
          <cell r="B34" t="str">
            <v xml:space="preserve">OSK US Equity </v>
          </cell>
          <cell r="C34" t="str">
            <v>Oshkosh Corp</v>
          </cell>
          <cell r="D34" t="str">
            <v>--</v>
          </cell>
          <cell r="E34">
            <v>14000</v>
          </cell>
          <cell r="F34">
            <v>14000</v>
          </cell>
          <cell r="G34">
            <v>7138.3</v>
          </cell>
          <cell r="H34">
            <v>581.5</v>
          </cell>
          <cell r="I34">
            <v>7140</v>
          </cell>
          <cell r="J34">
            <v>8.1461972738607216</v>
          </cell>
        </row>
        <row r="35">
          <cell r="A35" t="str">
            <v>Perot Systems</v>
          </cell>
          <cell r="B35" t="str">
            <v xml:space="preserve">PER US Equity </v>
          </cell>
          <cell r="C35" t="str">
            <v>Perot Systems Corp</v>
          </cell>
          <cell r="D35" t="str">
            <v>--</v>
          </cell>
          <cell r="E35">
            <v>23100</v>
          </cell>
          <cell r="F35">
            <v>23000</v>
          </cell>
          <cell r="G35">
            <v>2779</v>
          </cell>
          <cell r="H35">
            <v>186</v>
          </cell>
          <cell r="I35">
            <v>2779</v>
          </cell>
          <cell r="J35">
            <v>6.6930550557754582</v>
          </cell>
        </row>
        <row r="36">
          <cell r="A36" t="str">
            <v>Raytheon</v>
          </cell>
          <cell r="B36" t="str">
            <v>RTN US Equity</v>
          </cell>
          <cell r="C36" t="str">
            <v>Raytheon Co</v>
          </cell>
          <cell r="D36" t="str">
            <v>--</v>
          </cell>
          <cell r="E36">
            <v>73000</v>
          </cell>
          <cell r="F36">
            <v>73000</v>
          </cell>
          <cell r="G36">
            <v>23174</v>
          </cell>
          <cell r="H36">
            <v>2596</v>
          </cell>
          <cell r="I36">
            <v>23300</v>
          </cell>
          <cell r="J36">
            <v>11.20220937257271</v>
          </cell>
        </row>
        <row r="37">
          <cell r="A37" t="str">
            <v>Rockwell Collins</v>
          </cell>
          <cell r="B37" t="str">
            <v xml:space="preserve">ROC US Equity </v>
          </cell>
          <cell r="C37" t="str">
            <v>Rockwood Holdings Inc</v>
          </cell>
          <cell r="D37" t="str">
            <v>--</v>
          </cell>
          <cell r="E37">
            <v>10200</v>
          </cell>
          <cell r="F37">
            <v>20000</v>
          </cell>
          <cell r="G37">
            <v>3380.1</v>
          </cell>
          <cell r="H37">
            <v>353</v>
          </cell>
          <cell r="I37">
            <v>4769</v>
          </cell>
          <cell r="J37">
            <v>10.443478003609361</v>
          </cell>
        </row>
        <row r="38">
          <cell r="A38" t="str">
            <v>Rolls-Royce</v>
          </cell>
          <cell r="B38" t="str">
            <v xml:space="preserve">RR/ LN Equity </v>
          </cell>
          <cell r="C38" t="str">
            <v>Rolls-Royce Group PLC</v>
          </cell>
          <cell r="D38" t="str">
            <v>--</v>
          </cell>
          <cell r="E38">
            <v>39000</v>
          </cell>
          <cell r="F38">
            <v>38000</v>
          </cell>
          <cell r="G38">
            <v>16643.87</v>
          </cell>
          <cell r="H38">
            <v>1431.28</v>
          </cell>
          <cell r="I38">
            <v>44.380495548803125</v>
          </cell>
          <cell r="J38">
            <v>8.5994423172014685</v>
          </cell>
        </row>
        <row r="39">
          <cell r="A39" t="str">
            <v>Saab</v>
          </cell>
          <cell r="B39" t="str">
            <v xml:space="preserve">SAABB SS Equity </v>
          </cell>
          <cell r="C39" t="str">
            <v>Saab AB</v>
          </cell>
          <cell r="D39" t="str">
            <v>--</v>
          </cell>
          <cell r="E39">
            <v>13278</v>
          </cell>
          <cell r="F39">
            <v>13700</v>
          </cell>
          <cell r="G39">
            <v>3606.86</v>
          </cell>
          <cell r="H39">
            <v>7.58</v>
          </cell>
          <cell r="I39">
            <v>3654.8</v>
          </cell>
          <cell r="J39">
            <v>0.21015509334989438</v>
          </cell>
        </row>
        <row r="40">
          <cell r="A40" t="str">
            <v>Safran</v>
          </cell>
          <cell r="B40" t="str">
            <v xml:space="preserve">SAF FP Equity </v>
          </cell>
          <cell r="C40" t="str">
            <v>Safran SA</v>
          </cell>
          <cell r="D40" t="str">
            <v>--</v>
          </cell>
          <cell r="E40">
            <v>53336</v>
          </cell>
          <cell r="F40">
            <v>54500</v>
          </cell>
          <cell r="G40">
            <v>15044.25</v>
          </cell>
          <cell r="H40">
            <v>757.99</v>
          </cell>
          <cell r="I40">
            <v>22.128146573153106</v>
          </cell>
          <cell r="J40">
            <v>5.0384033767053857</v>
          </cell>
        </row>
        <row r="41">
          <cell r="A41" t="str">
            <v>SAIC</v>
          </cell>
          <cell r="B41" t="str">
            <v xml:space="preserve">SAI US Equity </v>
          </cell>
          <cell r="C41" t="str">
            <v>SAIC Inc</v>
          </cell>
          <cell r="D41" t="str">
            <v>--</v>
          </cell>
          <cell r="E41">
            <v>45000</v>
          </cell>
          <cell r="F41">
            <v>45000</v>
          </cell>
          <cell r="G41">
            <v>10070</v>
          </cell>
          <cell r="H41">
            <v>776</v>
          </cell>
          <cell r="I41">
            <v>10070</v>
          </cell>
          <cell r="J41">
            <v>7.7060575968222436</v>
          </cell>
        </row>
        <row r="42">
          <cell r="A42" t="str">
            <v>Sandia Corp.</v>
          </cell>
          <cell r="B42" t="str">
            <v xml:space="preserve">136527Z US Equity </v>
          </cell>
          <cell r="C42" t="str">
            <v>Sandia National Laboratories</v>
          </cell>
          <cell r="D42" t="str">
            <v>United States of America</v>
          </cell>
          <cell r="E42" t="str">
            <v>--</v>
          </cell>
          <cell r="F42">
            <v>8308</v>
          </cell>
          <cell r="G42" t="str">
            <v>--</v>
          </cell>
          <cell r="H42" t="str">
            <v>--</v>
          </cell>
          <cell r="I42">
            <v>2294</v>
          </cell>
          <cell r="J42" t="e">
            <v>#VALUE!</v>
          </cell>
        </row>
        <row r="43">
          <cell r="A43" t="str">
            <v>Serco NA (Serco Group PLC)</v>
          </cell>
          <cell r="B43" t="str">
            <v xml:space="preserve">SRP LN Equity </v>
          </cell>
          <cell r="C43" t="str">
            <v>Serco Group PLC</v>
          </cell>
          <cell r="D43" t="str">
            <v>--</v>
          </cell>
          <cell r="E43">
            <v>42684</v>
          </cell>
          <cell r="F43">
            <v>11500</v>
          </cell>
          <cell r="G43">
            <v>5724.19</v>
          </cell>
          <cell r="H43">
            <v>296.14999999999998</v>
          </cell>
          <cell r="I43">
            <v>5795.6</v>
          </cell>
          <cell r="J43">
            <v>5.1736577576914815</v>
          </cell>
        </row>
        <row r="44">
          <cell r="A44" t="str">
            <v>Teledyne</v>
          </cell>
          <cell r="B44" t="str">
            <v xml:space="preserve">TDY US Equity </v>
          </cell>
          <cell r="C44" t="str">
            <v>Teledyne Technologies Inc</v>
          </cell>
          <cell r="D44" t="str">
            <v>--</v>
          </cell>
          <cell r="E44">
            <v>8800</v>
          </cell>
          <cell r="F44">
            <v>8800</v>
          </cell>
          <cell r="G44">
            <v>1893</v>
          </cell>
          <cell r="H44">
            <v>188.9</v>
          </cell>
          <cell r="I44">
            <v>1893</v>
          </cell>
          <cell r="J44">
            <v>9.9788695192815631</v>
          </cell>
        </row>
        <row r="45">
          <cell r="A45" t="str">
            <v>Teradyne</v>
          </cell>
          <cell r="B45" t="str">
            <v>TER US Equity</v>
          </cell>
          <cell r="C45" t="str">
            <v>Teradyne Inc</v>
          </cell>
          <cell r="D45" t="str">
            <v>--</v>
          </cell>
          <cell r="E45">
            <v>3800</v>
          </cell>
          <cell r="F45">
            <v>3600</v>
          </cell>
          <cell r="G45">
            <v>1107.04</v>
          </cell>
          <cell r="H45">
            <v>13.31</v>
          </cell>
          <cell r="I45">
            <v>1100</v>
          </cell>
          <cell r="J45">
            <v>1.2023052464228936</v>
          </cell>
        </row>
        <row r="46">
          <cell r="A46" t="str">
            <v>Thales</v>
          </cell>
          <cell r="B46" t="str">
            <v>HO FP Equity</v>
          </cell>
          <cell r="C46" t="str">
            <v>Thales SA</v>
          </cell>
          <cell r="D46" t="str">
            <v>--</v>
          </cell>
          <cell r="E46">
            <v>63248</v>
          </cell>
          <cell r="F46">
            <v>68000</v>
          </cell>
          <cell r="G46">
            <v>18532.48</v>
          </cell>
          <cell r="H46">
            <v>1047.43</v>
          </cell>
          <cell r="I46">
            <v>70.465010398200192</v>
          </cell>
          <cell r="J46">
            <v>5.6518609489933356</v>
          </cell>
        </row>
        <row r="47">
          <cell r="A47" t="str">
            <v xml:space="preserve">United Technologies Corporation </v>
          </cell>
          <cell r="B47" t="str">
            <v>UTC LN Equity</v>
          </cell>
          <cell r="C47" t="str">
            <v>United Technologies Corp</v>
          </cell>
          <cell r="D47" t="str">
            <v>--</v>
          </cell>
          <cell r="E47">
            <v>223100</v>
          </cell>
          <cell r="F47">
            <v>223100</v>
          </cell>
          <cell r="G47" t="str">
            <v>--</v>
          </cell>
          <cell r="H47" t="str">
            <v>--</v>
          </cell>
          <cell r="I47">
            <v>58700</v>
          </cell>
          <cell r="J47" t="e">
            <v>#VALUE!</v>
          </cell>
        </row>
        <row r="48">
          <cell r="A48" t="str">
            <v>ViaSat</v>
          </cell>
          <cell r="B48" t="str">
            <v xml:space="preserve">VSAT US Equity </v>
          </cell>
          <cell r="C48" t="str">
            <v>Viasat Inc</v>
          </cell>
          <cell r="D48" t="str">
            <v>--</v>
          </cell>
          <cell r="E48">
            <v>1800</v>
          </cell>
          <cell r="F48">
            <v>1680</v>
          </cell>
          <cell r="G48">
            <v>628.17999999999995</v>
          </cell>
          <cell r="H48">
            <v>44.29</v>
          </cell>
          <cell r="I48">
            <v>575</v>
          </cell>
          <cell r="J48">
            <v>7.0505269190359456</v>
          </cell>
        </row>
        <row r="49">
          <cell r="A49" t="str">
            <v>Westinghouse</v>
          </cell>
          <cell r="B49" t="str">
            <v>593121Z US Equity</v>
          </cell>
          <cell r="C49" t="str">
            <v>Westinghouse Electric Co LLC</v>
          </cell>
          <cell r="D49" t="str">
            <v>Toshiba Corp</v>
          </cell>
          <cell r="E49" t="str">
            <v>--</v>
          </cell>
          <cell r="F49">
            <v>8500</v>
          </cell>
          <cell r="G49" t="str">
            <v>--</v>
          </cell>
          <cell r="H49" t="str">
            <v>--</v>
          </cell>
          <cell r="I49" t="str">
            <v>Owned by Toshiba</v>
          </cell>
          <cell r="J49" t="e">
            <v>#VALUE!</v>
          </cell>
        </row>
      </sheetData>
      <sheetData sheetId="4">
        <row r="2">
          <cell r="C2" t="str">
            <v>Exchange Rates</v>
          </cell>
          <cell r="D2" t="str">
            <v>AVG 2012</v>
          </cell>
          <cell r="F2" t="str">
            <v>From:</v>
          </cell>
          <cell r="G2" t="str">
            <v>http://www.oanda.com/</v>
          </cell>
        </row>
        <row r="3">
          <cell r="C3" t="str">
            <v xml:space="preserve">1 Euro = </v>
          </cell>
          <cell r="D3">
            <v>1.29118</v>
          </cell>
          <cell r="E3" t="str">
            <v>USD</v>
          </cell>
        </row>
        <row r="4">
          <cell r="C4" t="str">
            <v xml:space="preserve">1 Pound = </v>
          </cell>
          <cell r="D4">
            <v>1.6144099999999999</v>
          </cell>
          <cell r="E4" t="str">
            <v>USD</v>
          </cell>
        </row>
        <row r="5">
          <cell r="C5" t="str">
            <v>1 SEK =</v>
          </cell>
          <cell r="D5">
            <v>0.15154000000000001</v>
          </cell>
          <cell r="E5" t="str">
            <v>USD</v>
          </cell>
          <cell r="J5" t="str">
            <v>Total for program</v>
          </cell>
        </row>
        <row r="7">
          <cell r="A7" t="str">
            <v>CONTRACTOR</v>
          </cell>
          <cell r="B7" t="str">
            <v>EMPLOYEES</v>
          </cell>
          <cell r="C7" t="str">
            <v>ANNUAL REVENUE $ MM</v>
          </cell>
          <cell r="D7" t="str">
            <v>Amount</v>
          </cell>
          <cell r="E7" t="str">
            <v>Currency</v>
          </cell>
          <cell r="F7" t="str">
            <v>NET INCOME $ MM</v>
          </cell>
          <cell r="G7" t="str">
            <v>Amount</v>
          </cell>
          <cell r="H7" t="str">
            <v>Currency</v>
          </cell>
          <cell r="I7" t="str">
            <v xml:space="preserve">Year </v>
          </cell>
          <cell r="J7" t="str">
            <v>Prime 1</v>
          </cell>
          <cell r="K7" t="str">
            <v>Prime 2</v>
          </cell>
          <cell r="L7" t="str">
            <v>Total</v>
          </cell>
          <cell r="M7" t="str">
            <v>Prime 1 - Yet to Go</v>
          </cell>
          <cell r="N7" t="str">
            <v># of prime 1</v>
          </cell>
          <cell r="O7" t="str">
            <v>Prime 1 Backlog / Revenue</v>
          </cell>
          <cell r="P7" t="str">
            <v>Prime 1 Avg cost % chg adj for unit chg</v>
          </cell>
          <cell r="Q7">
            <v>1000000</v>
          </cell>
          <cell r="R7" t="str">
            <v>Link</v>
          </cell>
        </row>
        <row r="8">
          <cell r="A8" t="str">
            <v>AT&amp;T</v>
          </cell>
          <cell r="B8">
            <v>302660</v>
          </cell>
          <cell r="C8">
            <v>124028</v>
          </cell>
          <cell r="F8">
            <v>12867</v>
          </cell>
          <cell r="J8">
            <v>0</v>
          </cell>
          <cell r="K8">
            <v>0</v>
          </cell>
          <cell r="L8">
            <v>0</v>
          </cell>
          <cell r="M8" t="e">
            <v>#VALUE!</v>
          </cell>
          <cell r="N8">
            <v>0</v>
          </cell>
        </row>
        <row r="9">
          <cell r="A9" t="str">
            <v>ATK (Alliant Techsystems)</v>
          </cell>
          <cell r="B9">
            <v>19000</v>
          </cell>
          <cell r="C9">
            <v>4200</v>
          </cell>
          <cell r="F9">
            <v>222</v>
          </cell>
          <cell r="J9">
            <v>0</v>
          </cell>
          <cell r="K9">
            <v>0</v>
          </cell>
          <cell r="L9">
            <v>0</v>
          </cell>
          <cell r="M9" t="e">
            <v>#VALUE!</v>
          </cell>
          <cell r="N9">
            <v>0</v>
          </cell>
          <cell r="O9" t="e">
            <v>#VALUE!</v>
          </cell>
          <cell r="P9" t="str">
            <v/>
          </cell>
          <cell r="R9" t="str">
            <v>http://www.atk.com/corporateoverview/corpover_ataglance.asp</v>
          </cell>
        </row>
        <row r="10">
          <cell r="A10" t="str">
            <v>BAE Systems</v>
          </cell>
          <cell r="B10">
            <v>105000</v>
          </cell>
          <cell r="C10">
            <v>34400</v>
          </cell>
          <cell r="D10">
            <v>18543</v>
          </cell>
          <cell r="E10" t="str">
            <v>Pounds</v>
          </cell>
          <cell r="G10">
            <v>1768</v>
          </cell>
          <cell r="H10" t="str">
            <v>Pounds</v>
          </cell>
          <cell r="I10">
            <v>2008</v>
          </cell>
          <cell r="J10">
            <v>0</v>
          </cell>
          <cell r="K10">
            <v>0</v>
          </cell>
          <cell r="L10">
            <v>0</v>
          </cell>
          <cell r="M10" t="e">
            <v>#VALUE!</v>
          </cell>
          <cell r="N10">
            <v>0</v>
          </cell>
          <cell r="O10" t="e">
            <v>#VALUE!</v>
          </cell>
          <cell r="P10" t="str">
            <v/>
          </cell>
          <cell r="R10" t="str">
            <v>http://www.baesystems.com/AboutUs/FactSheet/index.htm</v>
          </cell>
        </row>
        <row r="11">
          <cell r="A11" t="str">
            <v>Bechtel</v>
          </cell>
          <cell r="B11">
            <v>44000</v>
          </cell>
          <cell r="C11">
            <v>27000</v>
          </cell>
          <cell r="F11" t="str">
            <v>NA</v>
          </cell>
          <cell r="I11">
            <v>2007</v>
          </cell>
          <cell r="J11">
            <v>0</v>
          </cell>
          <cell r="K11">
            <v>0</v>
          </cell>
          <cell r="L11">
            <v>0</v>
          </cell>
          <cell r="M11" t="e">
            <v>#VALUE!</v>
          </cell>
          <cell r="N11">
            <v>0</v>
          </cell>
          <cell r="O11" t="e">
            <v>#VALUE!</v>
          </cell>
          <cell r="P11" t="str">
            <v/>
          </cell>
          <cell r="R11" t="str">
            <v>http://www.bechtel.com/overview.html</v>
          </cell>
        </row>
        <row r="12">
          <cell r="A12" t="str">
            <v>Boeing</v>
          </cell>
          <cell r="B12">
            <v>160000</v>
          </cell>
          <cell r="C12" t="str">
            <v>60909, 32,047 (IDS)</v>
          </cell>
          <cell r="F12">
            <v>2672</v>
          </cell>
          <cell r="I12">
            <v>2008</v>
          </cell>
          <cell r="J12">
            <v>0</v>
          </cell>
          <cell r="K12">
            <v>0</v>
          </cell>
          <cell r="L12">
            <v>0</v>
          </cell>
          <cell r="M12" t="e">
            <v>#VALUE!</v>
          </cell>
          <cell r="N12">
            <v>0</v>
          </cell>
          <cell r="O12" t="e">
            <v>#VALUE!</v>
          </cell>
          <cell r="P12" t="str">
            <v/>
          </cell>
          <cell r="R12" t="str">
            <v>http://www.boeing.com/companyoffices/aboutus/brief.html</v>
          </cell>
        </row>
        <row r="13">
          <cell r="A13" t="str">
            <v>Bofors Defence (BAE)</v>
          </cell>
          <cell r="B13">
            <v>550</v>
          </cell>
          <cell r="C13" t="str">
            <v>NA (BAE)</v>
          </cell>
          <cell r="F13" t="str">
            <v>NA (BAE)</v>
          </cell>
          <cell r="J13">
            <v>0</v>
          </cell>
          <cell r="K13">
            <v>0</v>
          </cell>
          <cell r="L13">
            <v>0</v>
          </cell>
          <cell r="M13" t="e">
            <v>#VALUE!</v>
          </cell>
          <cell r="N13">
            <v>0</v>
          </cell>
        </row>
        <row r="14">
          <cell r="A14" t="str">
            <v>Booz Allen Hamilton</v>
          </cell>
          <cell r="B14">
            <v>20000</v>
          </cell>
          <cell r="C14">
            <v>3680</v>
          </cell>
          <cell r="I14">
            <v>2008</v>
          </cell>
          <cell r="J14">
            <v>0</v>
          </cell>
          <cell r="K14">
            <v>0</v>
          </cell>
          <cell r="L14">
            <v>0</v>
          </cell>
          <cell r="M14" t="e">
            <v>#VALUE!</v>
          </cell>
          <cell r="N14">
            <v>0</v>
          </cell>
          <cell r="O14" t="e">
            <v>#VALUE!</v>
          </cell>
          <cell r="P14" t="str">
            <v/>
          </cell>
          <cell r="R14" t="str">
            <v>http://www.boozallen.com/media/file/ar-08-booz-allen-annual-report.pdf</v>
          </cell>
        </row>
        <row r="15">
          <cell r="A15" t="str">
            <v>CACI</v>
          </cell>
          <cell r="B15">
            <v>12500</v>
          </cell>
          <cell r="C15">
            <v>2420</v>
          </cell>
          <cell r="F15">
            <v>83.3</v>
          </cell>
          <cell r="I15">
            <v>2008</v>
          </cell>
          <cell r="J15">
            <v>0</v>
          </cell>
          <cell r="K15">
            <v>0</v>
          </cell>
          <cell r="L15">
            <v>0</v>
          </cell>
          <cell r="M15" t="e">
            <v>#VALUE!</v>
          </cell>
          <cell r="N15">
            <v>0</v>
          </cell>
          <cell r="O15" t="e">
            <v>#VALUE!</v>
          </cell>
          <cell r="P15" t="str">
            <v/>
          </cell>
          <cell r="R15" t="str">
            <v>http://www.caci.com/about/profile.shtml</v>
          </cell>
        </row>
        <row r="16">
          <cell r="A16" t="str">
            <v>Computer Science Corporation</v>
          </cell>
          <cell r="B16">
            <v>92000</v>
          </cell>
          <cell r="C16">
            <v>17100</v>
          </cell>
          <cell r="F16">
            <v>544.6</v>
          </cell>
          <cell r="I16">
            <v>2008</v>
          </cell>
          <cell r="J16">
            <v>0</v>
          </cell>
          <cell r="K16">
            <v>0</v>
          </cell>
          <cell r="L16">
            <v>0</v>
          </cell>
          <cell r="M16" t="e">
            <v>#VALUE!</v>
          </cell>
          <cell r="N16">
            <v>0</v>
          </cell>
          <cell r="O16" t="e">
            <v>#VALUE!</v>
          </cell>
          <cell r="P16" t="str">
            <v/>
          </cell>
          <cell r="R16" t="str">
            <v>http://www.csc.com/about_us/companyprofile.shtml</v>
          </cell>
        </row>
        <row r="17">
          <cell r="A17" t="str">
            <v>Curtiss Wright</v>
          </cell>
          <cell r="B17">
            <v>8000</v>
          </cell>
          <cell r="C17">
            <v>1830</v>
          </cell>
          <cell r="F17">
            <v>109.4</v>
          </cell>
          <cell r="I17">
            <v>2008</v>
          </cell>
          <cell r="J17">
            <v>0</v>
          </cell>
          <cell r="K17">
            <v>0</v>
          </cell>
          <cell r="L17">
            <v>0</v>
          </cell>
          <cell r="M17" t="e">
            <v>#VALUE!</v>
          </cell>
          <cell r="N17">
            <v>0</v>
          </cell>
          <cell r="O17" t="e">
            <v>#VALUE!</v>
          </cell>
          <cell r="P17" t="str">
            <v/>
          </cell>
          <cell r="R17" t="str">
            <v>http://files.shareholder.com/downloads/CW/607477567x0x283389/73693468-9275-465B-8095-AE6B7B286DB1/2008_Annual_Report.pdf</v>
          </cell>
        </row>
        <row r="18">
          <cell r="A18" t="str">
            <v>EADS</v>
          </cell>
          <cell r="B18">
            <v>118000</v>
          </cell>
          <cell r="C18">
            <v>0</v>
          </cell>
          <cell r="D18">
            <v>43300</v>
          </cell>
          <cell r="E18" t="str">
            <v>Euros</v>
          </cell>
          <cell r="F18">
            <v>-643.20000000000005</v>
          </cell>
          <cell r="I18">
            <v>2008</v>
          </cell>
          <cell r="J18">
            <v>0</v>
          </cell>
          <cell r="K18">
            <v>0</v>
          </cell>
          <cell r="L18">
            <v>0</v>
          </cell>
          <cell r="M18" t="e">
            <v>#VALUE!</v>
          </cell>
          <cell r="N18">
            <v>0</v>
          </cell>
          <cell r="O18" t="e">
            <v>#VALUE!</v>
          </cell>
          <cell r="P18" t="str">
            <v/>
          </cell>
          <cell r="R18" t="str">
            <v>http://www.eads.com/1024/en/eads/eads_at_a_glance/eads_at_a_glance.html</v>
          </cell>
        </row>
        <row r="19">
          <cell r="A19" t="str">
            <v xml:space="preserve">EDS </v>
          </cell>
          <cell r="B19">
            <v>136000</v>
          </cell>
          <cell r="C19">
            <v>22100</v>
          </cell>
          <cell r="F19">
            <v>716</v>
          </cell>
          <cell r="I19">
            <v>2007</v>
          </cell>
          <cell r="J19">
            <v>0</v>
          </cell>
          <cell r="K19">
            <v>0</v>
          </cell>
          <cell r="L19">
            <v>0</v>
          </cell>
          <cell r="M19" t="e">
            <v>#VALUE!</v>
          </cell>
          <cell r="N19">
            <v>0</v>
          </cell>
          <cell r="O19" t="e">
            <v>#VALUE!</v>
          </cell>
          <cell r="P19" t="str">
            <v/>
          </cell>
        </row>
        <row r="20">
          <cell r="A20" t="str">
            <v>Finmeccanica, Inc. (incl DRS Technologies)</v>
          </cell>
          <cell r="B20">
            <v>73000</v>
          </cell>
          <cell r="C20">
            <v>278831091</v>
          </cell>
          <cell r="D20">
            <v>15037</v>
          </cell>
          <cell r="E20" t="str">
            <v>Euros</v>
          </cell>
          <cell r="F20">
            <v>875.3</v>
          </cell>
          <cell r="I20">
            <v>2008</v>
          </cell>
          <cell r="J20">
            <v>0</v>
          </cell>
          <cell r="K20">
            <v>0</v>
          </cell>
          <cell r="L20">
            <v>0</v>
          </cell>
          <cell r="M20" t="e">
            <v>#VALUE!</v>
          </cell>
          <cell r="N20">
            <v>0</v>
          </cell>
          <cell r="P20" t="str">
            <v/>
          </cell>
          <cell r="R20" t="str">
            <v>http://www.finmeccanica.it/Holding/EN/Corporate/Profilo/index.sdo</v>
          </cell>
        </row>
        <row r="21">
          <cell r="A21" t="str">
            <v>Fluor</v>
          </cell>
          <cell r="B21">
            <v>41000</v>
          </cell>
          <cell r="C21">
            <v>16700</v>
          </cell>
          <cell r="F21">
            <v>720.5</v>
          </cell>
          <cell r="I21">
            <v>2007</v>
          </cell>
          <cell r="J21">
            <v>0</v>
          </cell>
          <cell r="K21">
            <v>0</v>
          </cell>
          <cell r="L21">
            <v>0</v>
          </cell>
          <cell r="M21" t="e">
            <v>#VALUE!</v>
          </cell>
          <cell r="N21">
            <v>0</v>
          </cell>
          <cell r="O21" t="e">
            <v>#VALUE!</v>
          </cell>
          <cell r="P21" t="str">
            <v/>
          </cell>
          <cell r="R21" t="str">
            <v>http://library.corporate-ir.net/library/12/124/124955/items/283717/Fluor_AR_2007.pdf</v>
          </cell>
        </row>
        <row r="22">
          <cell r="A22" t="str">
            <v>Force Protection, Inc.</v>
          </cell>
          <cell r="B22" t="str">
            <v>1,000+</v>
          </cell>
          <cell r="C22">
            <v>1326</v>
          </cell>
          <cell r="F22">
            <v>46</v>
          </cell>
          <cell r="J22">
            <v>0</v>
          </cell>
          <cell r="K22">
            <v>0</v>
          </cell>
          <cell r="L22">
            <v>0</v>
          </cell>
          <cell r="M22" t="e">
            <v>#VALUE!</v>
          </cell>
          <cell r="N22">
            <v>0</v>
          </cell>
        </row>
        <row r="23">
          <cell r="A23" t="str">
            <v>General Atomics</v>
          </cell>
          <cell r="B23" t="str">
            <v>NA</v>
          </cell>
          <cell r="C23" t="str">
            <v>NA</v>
          </cell>
          <cell r="F23" t="str">
            <v>NA</v>
          </cell>
          <cell r="J23">
            <v>0</v>
          </cell>
          <cell r="K23">
            <v>0</v>
          </cell>
          <cell r="L23">
            <v>0</v>
          </cell>
          <cell r="M23" t="e">
            <v>#VALUE!</v>
          </cell>
          <cell r="N23">
            <v>0</v>
          </cell>
        </row>
        <row r="24">
          <cell r="A24" t="str">
            <v>General Dynamics</v>
          </cell>
          <cell r="B24">
            <v>92300</v>
          </cell>
          <cell r="C24">
            <v>29300</v>
          </cell>
          <cell r="F24">
            <v>2459</v>
          </cell>
          <cell r="I24">
            <v>2008</v>
          </cell>
          <cell r="J24">
            <v>0</v>
          </cell>
          <cell r="K24">
            <v>0</v>
          </cell>
          <cell r="L24">
            <v>0</v>
          </cell>
          <cell r="M24" t="e">
            <v>#VALUE!</v>
          </cell>
          <cell r="N24">
            <v>0</v>
          </cell>
          <cell r="O24" t="e">
            <v>#VALUE!</v>
          </cell>
          <cell r="P24" t="str">
            <v/>
          </cell>
          <cell r="R24" t="str">
            <v>http://finance.aol.com/company/general-dynamics-corporation/gd/nys/top-competitors</v>
          </cell>
        </row>
        <row r="25">
          <cell r="A25" t="str">
            <v>General Electric</v>
          </cell>
          <cell r="B25">
            <v>320000</v>
          </cell>
          <cell r="C25">
            <v>180000</v>
          </cell>
          <cell r="F25">
            <v>17410</v>
          </cell>
          <cell r="I25">
            <v>2008</v>
          </cell>
          <cell r="J25">
            <v>0</v>
          </cell>
          <cell r="K25">
            <v>0</v>
          </cell>
          <cell r="L25">
            <v>0</v>
          </cell>
          <cell r="M25" t="e">
            <v>#VALUE!</v>
          </cell>
          <cell r="N25">
            <v>0</v>
          </cell>
          <cell r="O25" t="e">
            <v>#VALUE!</v>
          </cell>
          <cell r="P25" t="str">
            <v/>
          </cell>
          <cell r="R25" t="str">
            <v>http://www.ge.com/company/factsheets/corporate.html</v>
          </cell>
        </row>
        <row r="26">
          <cell r="A26" t="str">
            <v>Goodrich</v>
          </cell>
          <cell r="B26">
            <v>25000</v>
          </cell>
          <cell r="C26">
            <v>7100</v>
          </cell>
          <cell r="F26">
            <v>681.2</v>
          </cell>
          <cell r="J26">
            <v>0</v>
          </cell>
          <cell r="K26">
            <v>0</v>
          </cell>
          <cell r="L26">
            <v>0</v>
          </cell>
          <cell r="M26" t="e">
            <v>#VALUE!</v>
          </cell>
          <cell r="N26">
            <v>0</v>
          </cell>
          <cell r="O26" t="e">
            <v>#VALUE!</v>
          </cell>
          <cell r="P26" t="str">
            <v/>
          </cell>
          <cell r="R26" t="str">
            <v>http://www.goodrich.com/portal/site/grcom?GUID=d10e8273ea9ea110VgnVCM10000068f57eaaRCRD</v>
          </cell>
        </row>
        <row r="27">
          <cell r="A27" t="str">
            <v xml:space="preserve">Harris </v>
          </cell>
          <cell r="B27">
            <v>16000</v>
          </cell>
          <cell r="C27">
            <v>5400</v>
          </cell>
          <cell r="F27">
            <v>444</v>
          </cell>
          <cell r="J27">
            <v>0</v>
          </cell>
          <cell r="K27">
            <v>0</v>
          </cell>
          <cell r="L27">
            <v>0</v>
          </cell>
          <cell r="M27" t="e">
            <v>#VALUE!</v>
          </cell>
          <cell r="N27">
            <v>0</v>
          </cell>
          <cell r="O27" t="e">
            <v>#VALUE!</v>
          </cell>
          <cell r="R27" t="str">
            <v>http://ir.10kwizard.com/contents.php?ipage=5851879&amp;repo=tenk&amp;source=439&amp;welc_next=1&amp;nfg=25</v>
          </cell>
        </row>
        <row r="28">
          <cell r="A28" t="str">
            <v>Honeywell</v>
          </cell>
          <cell r="B28">
            <v>128000</v>
          </cell>
          <cell r="C28">
            <v>36556</v>
          </cell>
          <cell r="F28">
            <v>2792</v>
          </cell>
          <cell r="I28">
            <v>2007</v>
          </cell>
          <cell r="J28">
            <v>0</v>
          </cell>
          <cell r="K28">
            <v>0</v>
          </cell>
          <cell r="L28">
            <v>0</v>
          </cell>
          <cell r="M28" t="e">
            <v>#VALUE!</v>
          </cell>
          <cell r="N28">
            <v>0</v>
          </cell>
          <cell r="O28" t="e">
            <v>#VALUE!</v>
          </cell>
          <cell r="P28" t="str">
            <v/>
          </cell>
          <cell r="R28" t="str">
            <v>http://investor.honeywell.com/phoenix.zhtml?c=94774&amp;p=irol-sec</v>
          </cell>
        </row>
        <row r="29">
          <cell r="A29" t="str">
            <v>IBM</v>
          </cell>
          <cell r="B29">
            <v>386558</v>
          </cell>
          <cell r="C29">
            <v>10400</v>
          </cell>
          <cell r="F29">
            <v>12334</v>
          </cell>
          <cell r="I29">
            <v>2008</v>
          </cell>
          <cell r="J29">
            <v>0</v>
          </cell>
          <cell r="K29">
            <v>0</v>
          </cell>
          <cell r="L29">
            <v>0</v>
          </cell>
          <cell r="M29" t="e">
            <v>#VALUE!</v>
          </cell>
          <cell r="N29">
            <v>0</v>
          </cell>
          <cell r="O29" t="e">
            <v>#VALUE!</v>
          </cell>
          <cell r="P29" t="str">
            <v/>
          </cell>
          <cell r="R29" t="str">
            <v>http://www.ibm.com/ibm/us/en/</v>
          </cell>
        </row>
        <row r="30">
          <cell r="A30" t="str">
            <v>ICF Inc</v>
          </cell>
          <cell r="B30">
            <v>3500</v>
          </cell>
          <cell r="C30">
            <v>697</v>
          </cell>
          <cell r="F30">
            <v>28</v>
          </cell>
          <cell r="J30">
            <v>0</v>
          </cell>
          <cell r="K30">
            <v>0</v>
          </cell>
          <cell r="L30">
            <v>0</v>
          </cell>
          <cell r="M30" t="e">
            <v>#VALUE!</v>
          </cell>
          <cell r="N30">
            <v>0</v>
          </cell>
          <cell r="R30" t="str">
            <v>http://investor.icfi.com/phoenix.zhtml?c=201331&amp;p=irol-sec&amp;secCat01Enhanced.1_rs=11&amp;secCat01Enhanced.1_rc=10#6210169</v>
          </cell>
        </row>
        <row r="31">
          <cell r="A31" t="str">
            <v>ITT</v>
          </cell>
          <cell r="B31">
            <v>40000</v>
          </cell>
          <cell r="C31">
            <v>16100</v>
          </cell>
          <cell r="F31">
            <v>794.7</v>
          </cell>
          <cell r="I31">
            <v>2008</v>
          </cell>
          <cell r="J31">
            <v>0</v>
          </cell>
          <cell r="K31">
            <v>0</v>
          </cell>
          <cell r="L31">
            <v>0</v>
          </cell>
          <cell r="M31" t="e">
            <v>#VALUE!</v>
          </cell>
          <cell r="N31">
            <v>0</v>
          </cell>
          <cell r="O31" t="e">
            <v>#VALUE!</v>
          </cell>
          <cell r="P31" t="str">
            <v/>
          </cell>
          <cell r="R31" t="str">
            <v>http://www.itt.com/about/</v>
          </cell>
        </row>
        <row r="32">
          <cell r="A32" t="str">
            <v>KBR</v>
          </cell>
          <cell r="B32">
            <v>50000</v>
          </cell>
          <cell r="C32">
            <v>11581</v>
          </cell>
          <cell r="F32">
            <v>319</v>
          </cell>
          <cell r="I32">
            <v>2008</v>
          </cell>
          <cell r="J32">
            <v>0</v>
          </cell>
          <cell r="K32">
            <v>0</v>
          </cell>
          <cell r="L32">
            <v>0</v>
          </cell>
          <cell r="M32" t="e">
            <v>#VALUE!</v>
          </cell>
          <cell r="N32">
            <v>0</v>
          </cell>
          <cell r="O32" t="e">
            <v>#VALUE!</v>
          </cell>
          <cell r="P32" t="str">
            <v/>
          </cell>
          <cell r="R32" t="str">
            <v>http://investors.kbr.com/phoenix.zhtml?c=198137&amp;p=irol-reportsannual</v>
          </cell>
        </row>
        <row r="33">
          <cell r="A33" t="str">
            <v>L-3 Communications</v>
          </cell>
          <cell r="B33">
            <v>60000</v>
          </cell>
          <cell r="C33">
            <v>14901</v>
          </cell>
          <cell r="F33">
            <v>949</v>
          </cell>
          <cell r="I33">
            <v>2008</v>
          </cell>
          <cell r="J33">
            <v>0</v>
          </cell>
          <cell r="K33">
            <v>0</v>
          </cell>
          <cell r="L33">
            <v>0</v>
          </cell>
          <cell r="M33" t="e">
            <v>#VALUE!</v>
          </cell>
          <cell r="N33">
            <v>0</v>
          </cell>
          <cell r="O33" t="e">
            <v>#VALUE!</v>
          </cell>
          <cell r="P33" t="str">
            <v/>
          </cell>
          <cell r="R33" t="str">
            <v>http://www.l-3com.com/investor-relations/documents/10K/L32008-10K.pdf</v>
          </cell>
        </row>
        <row r="34">
          <cell r="A34" t="str">
            <v>Lockheed Martin</v>
          </cell>
          <cell r="B34">
            <v>123570</v>
          </cell>
          <cell r="C34">
            <v>29300</v>
          </cell>
          <cell r="F34">
            <v>4649</v>
          </cell>
          <cell r="I34">
            <v>2008</v>
          </cell>
          <cell r="J34">
            <v>0</v>
          </cell>
          <cell r="K34">
            <v>0</v>
          </cell>
          <cell r="L34">
            <v>0</v>
          </cell>
          <cell r="M34" t="e">
            <v>#VALUE!</v>
          </cell>
          <cell r="N34">
            <v>0</v>
          </cell>
          <cell r="O34" t="e">
            <v>#VALUE!</v>
          </cell>
          <cell r="P34" t="str">
            <v/>
          </cell>
          <cell r="R34" t="str">
            <v>http://www.lockheedmartin.com/aboutus/index.html</v>
          </cell>
        </row>
        <row r="35">
          <cell r="A35" t="str">
            <v>Mantech</v>
          </cell>
          <cell r="B35">
            <v>7900</v>
          </cell>
          <cell r="C35" t="str">
            <v>1,870  </v>
          </cell>
          <cell r="F35">
            <v>90</v>
          </cell>
          <cell r="J35">
            <v>0</v>
          </cell>
          <cell r="K35">
            <v>0</v>
          </cell>
          <cell r="L35">
            <v>0</v>
          </cell>
          <cell r="M35" t="e">
            <v>#VALUE!</v>
          </cell>
          <cell r="N35">
            <v>0</v>
          </cell>
        </row>
        <row r="36">
          <cell r="A36" t="str">
            <v>Microsoft</v>
          </cell>
          <cell r="B36">
            <v>91000</v>
          </cell>
          <cell r="C36">
            <v>60420</v>
          </cell>
          <cell r="F36">
            <v>17681</v>
          </cell>
          <cell r="J36">
            <v>0</v>
          </cell>
          <cell r="K36">
            <v>0</v>
          </cell>
          <cell r="L36">
            <v>0</v>
          </cell>
          <cell r="M36" t="e">
            <v>#VALUE!</v>
          </cell>
          <cell r="N36">
            <v>0</v>
          </cell>
        </row>
        <row r="37">
          <cell r="A37" t="str">
            <v>Navistar Defense</v>
          </cell>
          <cell r="B37">
            <v>17800</v>
          </cell>
          <cell r="C37" t="str">
            <v>4,000 (Mil), 15,830 (Total)</v>
          </cell>
          <cell r="F37" t="str">
            <v>134 (Total)</v>
          </cell>
          <cell r="J37">
            <v>0</v>
          </cell>
          <cell r="K37">
            <v>0</v>
          </cell>
          <cell r="L37">
            <v>0</v>
          </cell>
          <cell r="M37" t="e">
            <v>#VALUE!</v>
          </cell>
          <cell r="N37">
            <v>0</v>
          </cell>
        </row>
        <row r="38">
          <cell r="A38" t="str">
            <v>Northrop Grumman</v>
          </cell>
          <cell r="B38">
            <v>120000</v>
          </cell>
          <cell r="C38">
            <v>32018</v>
          </cell>
          <cell r="F38">
            <v>-1262</v>
          </cell>
          <cell r="I38">
            <v>2007</v>
          </cell>
          <cell r="J38">
            <v>0</v>
          </cell>
          <cell r="K38">
            <v>0</v>
          </cell>
          <cell r="L38">
            <v>0</v>
          </cell>
          <cell r="M38" t="e">
            <v>#VALUE!</v>
          </cell>
          <cell r="N38">
            <v>0</v>
          </cell>
          <cell r="O38" t="e">
            <v>#VALUE!</v>
          </cell>
          <cell r="P38" t="str">
            <v/>
          </cell>
          <cell r="R38" t="str">
            <v>http://www.northropgrumman.com/images/annual_report/2007_noc_ar.pdf</v>
          </cell>
        </row>
        <row r="39">
          <cell r="A39" t="str">
            <v>Oracle</v>
          </cell>
          <cell r="B39">
            <v>84233</v>
          </cell>
          <cell r="C39">
            <v>22430</v>
          </cell>
          <cell r="F39">
            <v>5521</v>
          </cell>
          <cell r="J39">
            <v>0</v>
          </cell>
          <cell r="K39">
            <v>0</v>
          </cell>
          <cell r="L39">
            <v>0</v>
          </cell>
          <cell r="M39" t="e">
            <v>#VALUE!</v>
          </cell>
          <cell r="N39">
            <v>0</v>
          </cell>
        </row>
        <row r="40">
          <cell r="A40" t="str">
            <v>Oshkosh Truck Corporation</v>
          </cell>
          <cell r="B40">
            <v>14000</v>
          </cell>
          <cell r="C40">
            <v>7140</v>
          </cell>
          <cell r="F40">
            <v>79.3</v>
          </cell>
          <cell r="I40">
            <v>2008</v>
          </cell>
          <cell r="J40">
            <v>0</v>
          </cell>
          <cell r="K40">
            <v>0</v>
          </cell>
          <cell r="L40">
            <v>0</v>
          </cell>
          <cell r="M40" t="e">
            <v>#VALUE!</v>
          </cell>
          <cell r="N40">
            <v>0</v>
          </cell>
          <cell r="O40" t="e">
            <v>#VALUE!</v>
          </cell>
          <cell r="P40" t="str">
            <v/>
          </cell>
          <cell r="R40" t="str">
            <v>http://www.oshkoshcorporation.com/about/company_profile.cfm</v>
          </cell>
        </row>
        <row r="41">
          <cell r="A41" t="str">
            <v>Perot Systems</v>
          </cell>
          <cell r="B41">
            <v>23000</v>
          </cell>
          <cell r="C41">
            <v>2779</v>
          </cell>
          <cell r="F41">
            <v>117</v>
          </cell>
          <cell r="J41">
            <v>0</v>
          </cell>
          <cell r="K41">
            <v>0</v>
          </cell>
          <cell r="L41">
            <v>0</v>
          </cell>
          <cell r="M41" t="e">
            <v>#VALUE!</v>
          </cell>
          <cell r="N41">
            <v>0</v>
          </cell>
          <cell r="R41" t="str">
            <v>http://finance.yahoo.com/q/is?s=PER&amp;annual</v>
          </cell>
        </row>
        <row r="42">
          <cell r="A42" t="str">
            <v>Raytheon</v>
          </cell>
          <cell r="B42">
            <v>73000</v>
          </cell>
          <cell r="C42">
            <v>23300</v>
          </cell>
          <cell r="F42">
            <v>1672</v>
          </cell>
          <cell r="I42">
            <v>2007</v>
          </cell>
          <cell r="J42">
            <v>0</v>
          </cell>
          <cell r="K42">
            <v>0</v>
          </cell>
          <cell r="L42">
            <v>0</v>
          </cell>
          <cell r="M42" t="e">
            <v>#VALUE!</v>
          </cell>
          <cell r="N42">
            <v>0</v>
          </cell>
          <cell r="O42" t="e">
            <v>#VALUE!</v>
          </cell>
          <cell r="P42" t="str">
            <v/>
          </cell>
          <cell r="R42" t="str">
            <v>http://media.corporate-ir.net/media_files/irol/84/84193/ar07_final/01_highlights.html</v>
          </cell>
        </row>
        <row r="43">
          <cell r="A43" t="str">
            <v>Rockwell Collins</v>
          </cell>
          <cell r="B43">
            <v>20000</v>
          </cell>
          <cell r="C43">
            <v>4769</v>
          </cell>
          <cell r="F43">
            <v>678</v>
          </cell>
          <cell r="I43">
            <v>2008</v>
          </cell>
          <cell r="J43">
            <v>0</v>
          </cell>
          <cell r="K43">
            <v>0</v>
          </cell>
          <cell r="L43">
            <v>0</v>
          </cell>
          <cell r="M43" t="e">
            <v>#VALUE!</v>
          </cell>
          <cell r="N43">
            <v>0</v>
          </cell>
          <cell r="O43" t="e">
            <v>#VALUE!</v>
          </cell>
          <cell r="P43" t="str">
            <v/>
          </cell>
          <cell r="R43" t="str">
            <v>http://library.corporate-ir.net/library/12/129/129998/items/320350/0BC9FD14-98AE-4BBC-ACDE-B96C24E8119A_Rockwell_Collins_2008AR.pdf</v>
          </cell>
        </row>
        <row r="44">
          <cell r="A44" t="str">
            <v>Rolls-Royce</v>
          </cell>
          <cell r="B44">
            <v>38000</v>
          </cell>
          <cell r="C44">
            <v>0</v>
          </cell>
          <cell r="D44">
            <v>9147</v>
          </cell>
          <cell r="E44" t="str">
            <v>Pounds</v>
          </cell>
          <cell r="F44">
            <v>951.7</v>
          </cell>
          <cell r="G44">
            <v>513</v>
          </cell>
          <cell r="I44">
            <v>2008</v>
          </cell>
          <cell r="J44">
            <v>0</v>
          </cell>
          <cell r="K44">
            <v>0</v>
          </cell>
          <cell r="L44">
            <v>0</v>
          </cell>
          <cell r="M44" t="e">
            <v>#VALUE!</v>
          </cell>
          <cell r="N44">
            <v>0</v>
          </cell>
          <cell r="O44" t="e">
            <v>#VALUE!</v>
          </cell>
          <cell r="P44" t="str">
            <v/>
          </cell>
          <cell r="R44" t="str">
            <v>http://www.rolls-royce.com/Images/RR_AR_2008_tcm92-11217.pdf</v>
          </cell>
        </row>
        <row r="45">
          <cell r="A45" t="str">
            <v>Saab</v>
          </cell>
          <cell r="B45">
            <v>13700</v>
          </cell>
          <cell r="C45">
            <v>3654.8</v>
          </cell>
          <cell r="D45">
            <v>23796</v>
          </cell>
          <cell r="E45" t="str">
            <v>SEK</v>
          </cell>
          <cell r="F45">
            <v>-37.159999999999997</v>
          </cell>
          <cell r="G45">
            <v>-242</v>
          </cell>
          <cell r="H45" t="str">
            <v>SEK</v>
          </cell>
          <cell r="I45">
            <v>2008</v>
          </cell>
          <cell r="J45">
            <v>0</v>
          </cell>
          <cell r="K45">
            <v>0</v>
          </cell>
          <cell r="L45">
            <v>0</v>
          </cell>
          <cell r="M45" t="e">
            <v>#VALUE!</v>
          </cell>
          <cell r="N45">
            <v>0</v>
          </cell>
          <cell r="O45" t="e">
            <v>#VALUE!</v>
          </cell>
          <cell r="P45" t="str">
            <v/>
          </cell>
          <cell r="R45" t="str">
            <v>http://www.saabgroup.com/en/AboutSaab/SaabInBrief/saabinbrief.htm</v>
          </cell>
        </row>
        <row r="46">
          <cell r="A46" t="str">
            <v>Safran</v>
          </cell>
          <cell r="B46">
            <v>54500</v>
          </cell>
          <cell r="C46">
            <v>0</v>
          </cell>
          <cell r="D46">
            <v>10329</v>
          </cell>
          <cell r="E46" t="str">
            <v>Euros</v>
          </cell>
          <cell r="F46">
            <v>376.6</v>
          </cell>
          <cell r="G46">
            <v>256</v>
          </cell>
          <cell r="I46">
            <v>2008</v>
          </cell>
          <cell r="J46">
            <v>0</v>
          </cell>
          <cell r="K46">
            <v>0</v>
          </cell>
          <cell r="L46">
            <v>0</v>
          </cell>
          <cell r="M46" t="e">
            <v>#VALUE!</v>
          </cell>
          <cell r="N46">
            <v>0</v>
          </cell>
          <cell r="O46" t="e">
            <v>#VALUE!</v>
          </cell>
          <cell r="P46" t="str">
            <v/>
          </cell>
          <cell r="R46" t="str">
            <v>http://www.safran-group.com/IMG/pdf/9015_RA08_ana_Diff_VA_corrigee.pdf</v>
          </cell>
        </row>
        <row r="47">
          <cell r="A47" t="str">
            <v>SAIC</v>
          </cell>
          <cell r="B47">
            <v>45000</v>
          </cell>
          <cell r="C47">
            <v>10070</v>
          </cell>
          <cell r="F47">
            <v>452</v>
          </cell>
          <cell r="I47">
            <v>2008</v>
          </cell>
          <cell r="J47">
            <v>0</v>
          </cell>
          <cell r="K47">
            <v>0</v>
          </cell>
          <cell r="L47">
            <v>0</v>
          </cell>
          <cell r="M47" t="e">
            <v>#VALUE!</v>
          </cell>
          <cell r="N47">
            <v>0</v>
          </cell>
          <cell r="O47" t="e">
            <v>#VALUE!</v>
          </cell>
          <cell r="P47" t="str">
            <v/>
          </cell>
          <cell r="R47" t="str">
            <v>http://investors.saic.com/releasedetail.cfm?ReleaseID=373048</v>
          </cell>
        </row>
        <row r="48">
          <cell r="A48" t="str">
            <v>Sandia Corp.</v>
          </cell>
          <cell r="B48">
            <v>8308</v>
          </cell>
          <cell r="C48">
            <v>2294</v>
          </cell>
          <cell r="F48" t="str">
            <v>NA</v>
          </cell>
          <cell r="I48">
            <v>2008</v>
          </cell>
          <cell r="J48">
            <v>0</v>
          </cell>
          <cell r="K48">
            <v>0</v>
          </cell>
          <cell r="L48">
            <v>0</v>
          </cell>
          <cell r="M48" t="e">
            <v>#VALUE!</v>
          </cell>
          <cell r="N48">
            <v>0</v>
          </cell>
          <cell r="O48" t="e">
            <v>#VALUE!</v>
          </cell>
          <cell r="P48" t="str">
            <v/>
          </cell>
          <cell r="R48" t="str">
            <v>http://www.sandia.gov/about/faq/</v>
          </cell>
        </row>
        <row r="49">
          <cell r="A49" t="str">
            <v>Serco NA (Serco Group PLC)</v>
          </cell>
          <cell r="B49">
            <v>11500</v>
          </cell>
          <cell r="C49">
            <v>5795.6</v>
          </cell>
          <cell r="D49">
            <v>3124</v>
          </cell>
          <cell r="E49" t="str">
            <v>Pounds</v>
          </cell>
          <cell r="F49">
            <v>269.5</v>
          </cell>
          <cell r="G49">
            <v>145.30000000000001</v>
          </cell>
          <cell r="H49" t="str">
            <v>Pounds</v>
          </cell>
          <cell r="I49">
            <v>2008</v>
          </cell>
          <cell r="J49">
            <v>0</v>
          </cell>
          <cell r="K49">
            <v>0</v>
          </cell>
          <cell r="L49">
            <v>0</v>
          </cell>
          <cell r="M49" t="e">
            <v>#VALUE!</v>
          </cell>
          <cell r="N49">
            <v>0</v>
          </cell>
          <cell r="O49" t="e">
            <v>#VALUE!</v>
          </cell>
          <cell r="P49" t="str">
            <v/>
          </cell>
          <cell r="R49" t="str">
            <v>http://www.serco-na.com/</v>
          </cell>
        </row>
        <row r="50">
          <cell r="A50" t="str">
            <v>Teledyne</v>
          </cell>
          <cell r="B50">
            <v>8800</v>
          </cell>
          <cell r="C50">
            <v>1893</v>
          </cell>
          <cell r="F50">
            <v>111</v>
          </cell>
          <cell r="J50">
            <v>0</v>
          </cell>
          <cell r="K50">
            <v>0</v>
          </cell>
          <cell r="L50">
            <v>0</v>
          </cell>
          <cell r="M50" t="e">
            <v>#VALUE!</v>
          </cell>
          <cell r="N50">
            <v>0</v>
          </cell>
          <cell r="R50" t="str">
            <v>http://finance.yahoo.com/q/is?s=TDY&amp;annual</v>
          </cell>
        </row>
        <row r="51">
          <cell r="A51" t="str">
            <v>Teradyne</v>
          </cell>
          <cell r="B51">
            <v>3600</v>
          </cell>
          <cell r="C51">
            <v>1100</v>
          </cell>
          <cell r="F51">
            <v>-397.8</v>
          </cell>
          <cell r="J51">
            <v>0</v>
          </cell>
          <cell r="K51">
            <v>0</v>
          </cell>
          <cell r="L51">
            <v>0</v>
          </cell>
          <cell r="M51" t="e">
            <v>#VALUE!</v>
          </cell>
          <cell r="N51">
            <v>0</v>
          </cell>
          <cell r="O51" t="e">
            <v>#VALUE!</v>
          </cell>
          <cell r="P51" t="str">
            <v/>
          </cell>
          <cell r="R51" t="str">
            <v>http://www.teradyne.com/corp/about.html</v>
          </cell>
        </row>
        <row r="52">
          <cell r="A52" t="str">
            <v>Thales</v>
          </cell>
          <cell r="B52">
            <v>68000</v>
          </cell>
          <cell r="C52">
            <v>0</v>
          </cell>
          <cell r="D52">
            <v>12296</v>
          </cell>
          <cell r="E52" t="str">
            <v>Euros</v>
          </cell>
          <cell r="F52">
            <v>511.9</v>
          </cell>
          <cell r="I52">
            <v>2007</v>
          </cell>
          <cell r="J52">
            <v>0</v>
          </cell>
          <cell r="K52">
            <v>0</v>
          </cell>
          <cell r="L52">
            <v>0</v>
          </cell>
          <cell r="M52" t="e">
            <v>#VALUE!</v>
          </cell>
          <cell r="N52">
            <v>0</v>
          </cell>
          <cell r="O52" t="e">
            <v>#VALUE!</v>
          </cell>
          <cell r="P52" t="str">
            <v/>
          </cell>
          <cell r="R52" t="str">
            <v>http://www.thalesgroup.com/About-us/Key-Figures.html</v>
          </cell>
        </row>
        <row r="53">
          <cell r="A53" t="str">
            <v>UTC</v>
          </cell>
          <cell r="B53">
            <v>223100</v>
          </cell>
          <cell r="C53">
            <v>58700</v>
          </cell>
          <cell r="F53">
            <v>4689</v>
          </cell>
          <cell r="I53">
            <v>2008</v>
          </cell>
          <cell r="J53">
            <v>0</v>
          </cell>
          <cell r="K53">
            <v>0</v>
          </cell>
          <cell r="L53">
            <v>0</v>
          </cell>
          <cell r="M53" t="e">
            <v>#VALUE!</v>
          </cell>
          <cell r="N53">
            <v>0</v>
          </cell>
          <cell r="O53" t="e">
            <v>#VALUE!</v>
          </cell>
          <cell r="P53" t="str">
            <v/>
          </cell>
          <cell r="R53" t="str">
            <v>http://www.utc.com/utc/About_UTC/About_UTC.html</v>
          </cell>
        </row>
        <row r="54">
          <cell r="A54" t="str">
            <v>ViaSat</v>
          </cell>
          <cell r="B54">
            <v>1680</v>
          </cell>
          <cell r="C54">
            <v>575</v>
          </cell>
          <cell r="F54">
            <v>33</v>
          </cell>
          <cell r="J54">
            <v>0</v>
          </cell>
          <cell r="K54">
            <v>0</v>
          </cell>
          <cell r="L54">
            <v>0</v>
          </cell>
          <cell r="M54" t="e">
            <v>#VALUE!</v>
          </cell>
          <cell r="N54">
            <v>0</v>
          </cell>
        </row>
        <row r="55">
          <cell r="A55" t="str">
            <v>Westinghouse</v>
          </cell>
          <cell r="B55">
            <v>8500</v>
          </cell>
          <cell r="C55" t="str">
            <v>Owned by Toshiba</v>
          </cell>
          <cell r="F55" t="str">
            <v>NA</v>
          </cell>
          <cell r="I55" t="str">
            <v>?</v>
          </cell>
          <cell r="J55">
            <v>0</v>
          </cell>
          <cell r="K55">
            <v>0</v>
          </cell>
          <cell r="L55">
            <v>0</v>
          </cell>
          <cell r="M55" t="e">
            <v>#VALUE!</v>
          </cell>
          <cell r="N55">
            <v>0</v>
          </cell>
          <cell r="O55" t="e">
            <v>#VALUE!</v>
          </cell>
          <cell r="P55" t="str">
            <v/>
          </cell>
        </row>
      </sheetData>
      <sheetData sheetId="5">
        <row r="2">
          <cell r="B2">
            <v>6</v>
          </cell>
          <cell r="C2">
            <v>8</v>
          </cell>
          <cell r="D2">
            <v>9</v>
          </cell>
          <cell r="E2">
            <v>10</v>
          </cell>
          <cell r="F2">
            <v>11</v>
          </cell>
          <cell r="G2">
            <v>12</v>
          </cell>
          <cell r="H2">
            <v>13</v>
          </cell>
          <cell r="I2">
            <v>14</v>
          </cell>
          <cell r="J2">
            <v>15</v>
          </cell>
          <cell r="K2">
            <v>18</v>
          </cell>
        </row>
        <row r="3">
          <cell r="A3" t="str">
            <v>Shorthand</v>
          </cell>
          <cell r="B3" t="str">
            <v>2004-2010 Estimate (Then-Year $s)</v>
          </cell>
          <cell r="C3" t="str">
            <v>FY 2004 Budget 
(Then-Year $s)</v>
          </cell>
          <cell r="D3" t="str">
            <v>FY 2005 Budget 
(Then-Year $s)</v>
          </cell>
          <cell r="E3" t="str">
            <v>FY 2006 Budget 
(Then-Year $s)</v>
          </cell>
          <cell r="F3" t="str">
            <v>FY 2007 Budget 
(Then-Year $s)</v>
          </cell>
          <cell r="G3" t="str">
            <v>FY 2008 Budget 
(Then-Year $s)</v>
          </cell>
          <cell r="H3" t="str">
            <v>FY 2009 Budget 
(Then-Year $s)</v>
          </cell>
          <cell r="I3" t="str">
            <v>FY 2010 Budget 
(Then-Year $s)</v>
          </cell>
          <cell r="J3" t="str">
            <v>FY 2011 Budget 
(Then-Year $s)</v>
          </cell>
          <cell r="K3" t="str">
            <v>Balance of Program 
(Then-Year $s)</v>
          </cell>
          <cell r="L3">
            <v>2004</v>
          </cell>
          <cell r="M3">
            <v>2005</v>
          </cell>
          <cell r="N3">
            <v>2006</v>
          </cell>
          <cell r="O3">
            <v>2007</v>
          </cell>
          <cell r="P3">
            <v>2008</v>
          </cell>
          <cell r="Q3">
            <v>2009</v>
          </cell>
          <cell r="R3">
            <v>2010</v>
          </cell>
          <cell r="S3">
            <v>2011</v>
          </cell>
          <cell r="T3">
            <v>2004</v>
          </cell>
          <cell r="U3">
            <v>2005</v>
          </cell>
          <cell r="V3">
            <v>2006</v>
          </cell>
          <cell r="W3">
            <v>2007</v>
          </cell>
          <cell r="X3">
            <v>2008</v>
          </cell>
          <cell r="Y3">
            <v>2009</v>
          </cell>
          <cell r="Z3">
            <v>2010</v>
          </cell>
          <cell r="AA3">
            <v>2011</v>
          </cell>
          <cell r="AB3" t="str">
            <v>Full and Open -Multiple Bidders</v>
          </cell>
          <cell r="AC3" t="str">
            <v>Full and Open -Single Bidder</v>
          </cell>
          <cell r="AD3" t="str">
            <v>Partial -Multiple Bidders</v>
          </cell>
          <cell r="AE3" t="str">
            <v>Partial -Single Bidder</v>
          </cell>
          <cell r="AF3" t="str">
            <v>Follow-On</v>
          </cell>
          <cell r="AG3" t="str">
            <v>None</v>
          </cell>
          <cell r="AH3" t="str">
            <v>Unclear Competition</v>
          </cell>
          <cell r="AI3" t="str">
            <v>Competition</v>
          </cell>
          <cell r="AJ3" t="str">
            <v>Fixed Price</v>
          </cell>
          <cell r="AK3" t="str">
            <v>Cost (All Other; Including Time and Materials and Labor)</v>
          </cell>
          <cell r="AL3" t="str">
            <v>Combination</v>
          </cell>
          <cell r="AM3" t="str">
            <v>Cost Plus Award/Incentive</v>
          </cell>
          <cell r="AN3" t="str">
            <v>Unclear Type</v>
          </cell>
          <cell r="AO3" t="str">
            <v>Type</v>
          </cell>
          <cell r="AP3" t="str">
            <v>Contract Share Denominator</v>
          </cell>
          <cell r="AQ3" t="str">
            <v>PNO</v>
          </cell>
          <cell r="AR3" t="str">
            <v>Former PNO</v>
          </cell>
          <cell r="AS3" t="str">
            <v>Service Branch</v>
          </cell>
          <cell r="AT3" t="str">
            <v>Program type</v>
          </cell>
          <cell r="AU3" t="str">
            <v>Prime contractor 1</v>
          </cell>
          <cell r="AV3" t="str">
            <v>Prime contractor 2</v>
          </cell>
          <cell r="AW3" t="str">
            <v>Base Year</v>
          </cell>
          <cell r="AX3" t="str">
            <v>Baseline Type</v>
          </cell>
          <cell r="AY3" t="str">
            <v>Baseline Estimate (2010 $)</v>
          </cell>
          <cell r="AZ3" t="str">
            <v>Baseline Estimate (Then-Year  $)</v>
          </cell>
          <cell r="BA3" t="str">
            <v>Current Estimate (2010 $)</v>
          </cell>
          <cell r="BB3" t="str">
            <v>Current Estimate (Then-Year  $)</v>
          </cell>
          <cell r="BC3" t="str">
            <v>% Change To Date Adjusted  for Qty
 (Constant $)</v>
          </cell>
          <cell r="BH3" t="str">
            <v>End Year</v>
          </cell>
          <cell r="BI3" t="str">
            <v>Terminated</v>
          </cell>
        </row>
        <row r="4">
          <cell r="A4" t="str">
            <v>Column Count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  <cell r="X4">
            <v>24</v>
          </cell>
          <cell r="Y4">
            <v>25</v>
          </cell>
          <cell r="Z4">
            <v>26</v>
          </cell>
          <cell r="AA4">
            <v>27</v>
          </cell>
          <cell r="AB4">
            <v>28</v>
          </cell>
          <cell r="AC4">
            <v>29</v>
          </cell>
          <cell r="AD4">
            <v>30</v>
          </cell>
          <cell r="AE4">
            <v>31</v>
          </cell>
          <cell r="AF4">
            <v>32</v>
          </cell>
          <cell r="AG4">
            <v>33</v>
          </cell>
          <cell r="AH4">
            <v>34</v>
          </cell>
          <cell r="AI4">
            <v>35</v>
          </cell>
          <cell r="AJ4">
            <v>36</v>
          </cell>
          <cell r="AK4">
            <v>37</v>
          </cell>
          <cell r="AL4">
            <v>38</v>
          </cell>
          <cell r="AM4">
            <v>39</v>
          </cell>
          <cell r="AN4">
            <v>40</v>
          </cell>
          <cell r="AO4">
            <v>41</v>
          </cell>
          <cell r="AP4">
            <v>42</v>
          </cell>
          <cell r="AQ4">
            <v>43</v>
          </cell>
          <cell r="AR4">
            <v>44</v>
          </cell>
          <cell r="AS4">
            <v>45</v>
          </cell>
          <cell r="AT4">
            <v>46</v>
          </cell>
          <cell r="AU4">
            <v>47</v>
          </cell>
          <cell r="AV4">
            <v>48</v>
          </cell>
          <cell r="AW4">
            <v>49</v>
          </cell>
          <cell r="AX4">
            <v>50</v>
          </cell>
          <cell r="AY4">
            <v>51</v>
          </cell>
          <cell r="AZ4">
            <v>52</v>
          </cell>
          <cell r="BA4">
            <v>53</v>
          </cell>
          <cell r="BB4">
            <v>54</v>
          </cell>
          <cell r="BC4">
            <v>55</v>
          </cell>
          <cell r="BD4">
            <v>56</v>
          </cell>
          <cell r="BE4">
            <v>57</v>
          </cell>
          <cell r="BF4">
            <v>58</v>
          </cell>
        </row>
        <row r="5">
          <cell r="A5" t="str">
            <v>AB3 APACHE Block III</v>
          </cell>
          <cell r="B5">
            <v>1036.3000000000002</v>
          </cell>
          <cell r="C5" t="str">
            <v/>
          </cell>
          <cell r="D5" t="str">
            <v/>
          </cell>
          <cell r="E5">
            <v>0</v>
          </cell>
          <cell r="F5">
            <v>0</v>
          </cell>
          <cell r="G5" t="str">
            <v/>
          </cell>
          <cell r="H5">
            <v>0</v>
          </cell>
          <cell r="I5">
            <v>367.6</v>
          </cell>
          <cell r="J5">
            <v>587.20000000000005</v>
          </cell>
          <cell r="K5">
            <v>10062.5</v>
          </cell>
          <cell r="L5">
            <v>1.129975</v>
          </cell>
          <cell r="M5">
            <v>0</v>
          </cell>
          <cell r="N5">
            <v>2.6810659999999999</v>
          </cell>
          <cell r="O5">
            <v>4.2547578399999999</v>
          </cell>
          <cell r="P5">
            <v>1.51978754</v>
          </cell>
          <cell r="Q5">
            <v>2.6206700000000001</v>
          </cell>
          <cell r="R5">
            <v>6.9999999999999999E-6</v>
          </cell>
          <cell r="S5">
            <v>189.32811038999998</v>
          </cell>
          <cell r="T5" t="str">
            <v/>
          </cell>
          <cell r="U5" t="str">
            <v/>
          </cell>
          <cell r="V5" t="str">
            <v/>
          </cell>
          <cell r="W5" t="str">
            <v/>
          </cell>
          <cell r="X5" t="str">
            <v/>
          </cell>
          <cell r="Y5" t="str">
            <v/>
          </cell>
          <cell r="Z5">
            <v>1.9042437431991293E-8</v>
          </cell>
          <cell r="AA5">
            <v>0.32242525611376016</v>
          </cell>
          <cell r="AB5">
            <v>7.2481504800000005</v>
          </cell>
          <cell r="AC5">
            <v>0</v>
          </cell>
          <cell r="AD5">
            <v>4.7770172500000001</v>
          </cell>
          <cell r="AE5">
            <v>3.1019870600000004</v>
          </cell>
          <cell r="AF5">
            <v>0</v>
          </cell>
          <cell r="AG5">
            <v>186.40721898000001</v>
          </cell>
          <cell r="AH5">
            <v>0</v>
          </cell>
          <cell r="AI5" t="str">
            <v>None</v>
          </cell>
          <cell r="AJ5">
            <v>328.73572002000003</v>
          </cell>
          <cell r="AK5">
            <v>1.6624125899999997</v>
          </cell>
          <cell r="AL5">
            <v>0</v>
          </cell>
          <cell r="AM5">
            <v>1.9582109999999999</v>
          </cell>
          <cell r="AN5">
            <v>3.0591698200000002</v>
          </cell>
          <cell r="AO5" t="str">
            <v>Fixed Price</v>
          </cell>
          <cell r="AP5">
            <v>1036.3000000000002</v>
          </cell>
          <cell r="AQ5">
            <v>202</v>
          </cell>
          <cell r="AR5" t="str">
            <v>None</v>
          </cell>
          <cell r="AS5" t="str">
            <v>Army</v>
          </cell>
          <cell r="AT5" t="str">
            <v>Helicopter</v>
          </cell>
          <cell r="AU5" t="str">
            <v>Boeing</v>
          </cell>
          <cell r="AV5">
            <v>0</v>
          </cell>
          <cell r="AW5">
            <v>2006</v>
          </cell>
          <cell r="AX5" t="str">
            <v>DE</v>
          </cell>
          <cell r="AY5">
            <v>7243.285066872997</v>
          </cell>
          <cell r="AZ5">
            <v>8093.9</v>
          </cell>
          <cell r="BA5">
            <v>0</v>
          </cell>
          <cell r="BB5">
            <v>202.16646402122251</v>
          </cell>
          <cell r="BC5">
            <v>6553</v>
          </cell>
          <cell r="BD5" t="str">
            <v/>
          </cell>
          <cell r="BE5">
            <v>205674584.50391236</v>
          </cell>
          <cell r="BF5">
            <v>1.020543447038158</v>
          </cell>
        </row>
        <row r="6">
          <cell r="A6" t="str">
            <v>AB3A REMANUFACTURE</v>
          </cell>
          <cell r="B6">
            <v>1661.9</v>
          </cell>
          <cell r="C6" t="str">
            <v/>
          </cell>
          <cell r="D6" t="str">
            <v/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>
            <v>0</v>
          </cell>
          <cell r="J6">
            <v>0</v>
          </cell>
          <cell r="K6">
            <v>8843.1</v>
          </cell>
          <cell r="L6">
            <v>408082.3735507399</v>
          </cell>
          <cell r="M6">
            <v>464317.35522701975</v>
          </cell>
          <cell r="N6">
            <v>570002.29826073966</v>
          </cell>
          <cell r="O6">
            <v>538627.11362792109</v>
          </cell>
          <cell r="P6">
            <v>716169.15418339474</v>
          </cell>
          <cell r="Q6">
            <v>755799.51769229909</v>
          </cell>
          <cell r="R6">
            <v>8.4839999999999999E-2</v>
          </cell>
          <cell r="S6">
            <v>599762.51905879902</v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>
            <v>1732959.5255029181</v>
          </cell>
          <cell r="AC6">
            <v>425847.09112642071</v>
          </cell>
          <cell r="AD6">
            <v>398392.65953141608</v>
          </cell>
          <cell r="AE6">
            <v>93989.682441720026</v>
          </cell>
          <cell r="AF6">
            <v>16592.734865980001</v>
          </cell>
          <cell r="AG6">
            <v>1383804.6103215395</v>
          </cell>
          <cell r="AH6">
            <v>1174.1126509200001</v>
          </cell>
          <cell r="AI6" t="str">
            <v>Unclear</v>
          </cell>
          <cell r="AJ6">
            <v>3370645.7774285357</v>
          </cell>
          <cell r="AK6">
            <v>731375.68529183953</v>
          </cell>
          <cell r="AL6">
            <v>13656.869432219999</v>
          </cell>
          <cell r="AM6">
            <v>312752.60922890017</v>
          </cell>
          <cell r="AN6">
            <v>83585.869415160021</v>
          </cell>
          <cell r="AO6" t="str">
            <v>Fixed Price</v>
          </cell>
          <cell r="AP6">
            <v>3452997.8973821141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 t="str">
            <v>Boeing</v>
          </cell>
          <cell r="AV6" t="str">
            <v>Northrop Grumman, Lockheed Martin</v>
          </cell>
          <cell r="AW6">
            <v>2010</v>
          </cell>
          <cell r="AX6" t="str">
            <v>PdE</v>
          </cell>
          <cell r="AY6">
            <v>10755.882050755165</v>
          </cell>
          <cell r="AZ6">
            <v>11896.6</v>
          </cell>
          <cell r="BA6">
            <v>654</v>
          </cell>
          <cell r="BB6">
            <v>-162.23158327339979</v>
          </cell>
          <cell r="BC6">
            <v>10468.700000000001</v>
          </cell>
          <cell r="BD6" t="str">
            <v/>
          </cell>
          <cell r="BE6">
            <v>4362636524030.9463</v>
          </cell>
          <cell r="BF6">
            <v>2026380208222.6125</v>
          </cell>
        </row>
        <row r="7">
          <cell r="A7" t="str">
            <v>AB3B NEW BUILD</v>
          </cell>
          <cell r="B7" t="e">
            <v>#VALUE!</v>
          </cell>
          <cell r="C7" t="str">
            <v/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>
            <v>0</v>
          </cell>
          <cell r="J7">
            <v>0</v>
          </cell>
          <cell r="K7">
            <v>1680.5</v>
          </cell>
          <cell r="L7">
            <v>204041.18677536995</v>
          </cell>
          <cell r="M7">
            <v>232158.67761350988</v>
          </cell>
          <cell r="N7">
            <v>285001.14913036983</v>
          </cell>
          <cell r="O7">
            <v>269313.55681396055</v>
          </cell>
          <cell r="P7">
            <v>358084.57709169737</v>
          </cell>
          <cell r="Q7">
            <v>377899.75884614955</v>
          </cell>
          <cell r="R7">
            <v>4.2419999999999999E-2</v>
          </cell>
          <cell r="S7">
            <v>299881.25952939951</v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>
            <v>866479.76275145903</v>
          </cell>
          <cell r="AC7">
            <v>212923.54556321035</v>
          </cell>
          <cell r="AD7">
            <v>199196.32976570804</v>
          </cell>
          <cell r="AE7">
            <v>46994.841220860013</v>
          </cell>
          <cell r="AF7">
            <v>8296.3674329900005</v>
          </cell>
          <cell r="AG7">
            <v>691902.30516076973</v>
          </cell>
          <cell r="AH7">
            <v>587.05632546000004</v>
          </cell>
          <cell r="AI7" t="str">
            <v>Unclear</v>
          </cell>
          <cell r="AJ7">
            <v>1685322.8887142679</v>
          </cell>
          <cell r="AK7">
            <v>365687.84264591977</v>
          </cell>
          <cell r="AL7">
            <v>6828.4347161099995</v>
          </cell>
          <cell r="AM7">
            <v>156376.30461445008</v>
          </cell>
          <cell r="AN7">
            <v>41792.934707580011</v>
          </cell>
          <cell r="AO7" t="str">
            <v>Fixed Price</v>
          </cell>
          <cell r="AP7" t="e">
            <v>#VALUE!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 t="str">
            <v>Boeing</v>
          </cell>
          <cell r="AV7" t="str">
            <v>Longbow Limited (LBL)</v>
          </cell>
          <cell r="AW7">
            <v>2010</v>
          </cell>
          <cell r="AX7" t="str">
            <v>PdE</v>
          </cell>
          <cell r="AY7">
            <v>2370.2866536525225</v>
          </cell>
          <cell r="AZ7">
            <v>2510.4</v>
          </cell>
          <cell r="BA7">
            <v>104.2</v>
          </cell>
          <cell r="BB7">
            <v>-522.14116921812388</v>
          </cell>
          <cell r="BC7">
            <v>2307</v>
          </cell>
          <cell r="BD7" t="str">
            <v/>
          </cell>
          <cell r="BE7">
            <v>4362636524030.9463</v>
          </cell>
          <cell r="BF7">
            <v>2026380208222.6125</v>
          </cell>
          <cell r="BG7" t="str">
            <v>Air Force</v>
          </cell>
          <cell r="BH7" t="str">
            <v>Dec. 2001</v>
          </cell>
          <cell r="BI7" t="b">
            <v>1</v>
          </cell>
        </row>
        <row r="8">
          <cell r="A8" t="str">
            <v>ACS</v>
          </cell>
          <cell r="B8">
            <v>133.19999999999999</v>
          </cell>
          <cell r="C8">
            <v>0</v>
          </cell>
          <cell r="D8">
            <v>0</v>
          </cell>
          <cell r="E8">
            <v>87.8</v>
          </cell>
          <cell r="F8">
            <v>45.4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826.9</v>
          </cell>
          <cell r="L8">
            <v>118.56687599999999</v>
          </cell>
          <cell r="M8">
            <v>305.25579599999998</v>
          </cell>
          <cell r="N8">
            <v>1.477803</v>
          </cell>
          <cell r="O8">
            <v>90.477614000000003</v>
          </cell>
          <cell r="P8">
            <v>0</v>
          </cell>
          <cell r="Q8">
            <v>0</v>
          </cell>
          <cell r="R8">
            <v>6.9999999999999999E-6</v>
          </cell>
          <cell r="S8">
            <v>209.03614719000001</v>
          </cell>
          <cell r="T8" t="str">
            <v/>
          </cell>
          <cell r="U8" t="str">
            <v/>
          </cell>
          <cell r="V8">
            <v>1.6831469248291573E-2</v>
          </cell>
          <cell r="W8">
            <v>1.9928989867841411</v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>
            <v>332.83104500000002</v>
          </cell>
          <cell r="AC8">
            <v>20.928360999999999</v>
          </cell>
          <cell r="AD8">
            <v>4.6817989999999998</v>
          </cell>
          <cell r="AE8">
            <v>18.862825999999998</v>
          </cell>
          <cell r="AF8">
            <v>4.7011909999999997</v>
          </cell>
          <cell r="AG8">
            <v>342.80902119000001</v>
          </cell>
          <cell r="AH8">
            <v>0</v>
          </cell>
          <cell r="AI8" t="str">
            <v>Unclear</v>
          </cell>
          <cell r="AJ8">
            <v>201.247941</v>
          </cell>
          <cell r="AK8">
            <v>336.05885706999999</v>
          </cell>
          <cell r="AL8">
            <v>0</v>
          </cell>
          <cell r="AM8">
            <v>312.7159125</v>
          </cell>
          <cell r="AN8">
            <v>4.2470109999999996</v>
          </cell>
          <cell r="AO8" t="str">
            <v>Unclear</v>
          </cell>
          <cell r="AP8">
            <v>515.77809599999989</v>
          </cell>
          <cell r="AQ8">
            <v>371</v>
          </cell>
          <cell r="AR8" t="str">
            <v>None</v>
          </cell>
          <cell r="AS8" t="str">
            <v>Army</v>
          </cell>
          <cell r="AT8">
            <v>0</v>
          </cell>
          <cell r="AU8" t="str">
            <v>Lockheed Martin</v>
          </cell>
          <cell r="AV8">
            <v>0</v>
          </cell>
          <cell r="AW8">
            <v>2003</v>
          </cell>
          <cell r="AX8" t="str">
            <v>DE</v>
          </cell>
          <cell r="AY8">
            <v>4670.0569076159336</v>
          </cell>
          <cell r="AZ8">
            <v>4546</v>
          </cell>
          <cell r="BA8">
            <v>0</v>
          </cell>
          <cell r="BB8">
            <v>-92.020825765831205</v>
          </cell>
          <cell r="BC8">
            <v>3857</v>
          </cell>
          <cell r="BD8" t="str">
            <v/>
          </cell>
          <cell r="BE8">
            <v>807387555.53641284</v>
          </cell>
          <cell r="BF8">
            <v>1.1139234129602602</v>
          </cell>
        </row>
        <row r="9">
          <cell r="A9" t="str">
            <v>ADS Increment Alpha</v>
          </cell>
          <cell r="B9">
            <v>1.2</v>
          </cell>
          <cell r="C9" t="str">
            <v/>
          </cell>
          <cell r="D9" t="str">
            <v/>
          </cell>
          <cell r="E9">
            <v>0</v>
          </cell>
          <cell r="F9">
            <v>0</v>
          </cell>
          <cell r="G9">
            <v>1.2</v>
          </cell>
          <cell r="H9" t="str">
            <v>-</v>
          </cell>
          <cell r="I9">
            <v>0</v>
          </cell>
          <cell r="J9">
            <v>0</v>
          </cell>
          <cell r="K9" t="str">
            <v>-</v>
          </cell>
          <cell r="L9">
            <v>408082.3735507399</v>
          </cell>
          <cell r="M9">
            <v>464317.35522701975</v>
          </cell>
          <cell r="N9">
            <v>570002.29826073966</v>
          </cell>
          <cell r="O9">
            <v>538627.11362792109</v>
          </cell>
          <cell r="P9">
            <v>716169.15418339474</v>
          </cell>
          <cell r="Q9">
            <v>755799.51769229909</v>
          </cell>
          <cell r="R9">
            <v>8.4839999999999999E-2</v>
          </cell>
          <cell r="S9">
            <v>599762.51905879902</v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>
            <v>596807.62848616228</v>
          </cell>
          <cell r="Y9" t="str">
            <v/>
          </cell>
          <cell r="Z9" t="str">
            <v/>
          </cell>
          <cell r="AA9" t="str">
            <v/>
          </cell>
          <cell r="AB9">
            <v>1732959.5255029181</v>
          </cell>
          <cell r="AC9">
            <v>425847.09112642071</v>
          </cell>
          <cell r="AD9">
            <v>398392.65953141608</v>
          </cell>
          <cell r="AE9">
            <v>93989.682441720026</v>
          </cell>
          <cell r="AF9">
            <v>16592.734865980001</v>
          </cell>
          <cell r="AG9">
            <v>1383804.6103215395</v>
          </cell>
          <cell r="AH9">
            <v>1174.1126509200001</v>
          </cell>
          <cell r="AI9" t="str">
            <v>Unclear</v>
          </cell>
          <cell r="AJ9">
            <v>3370645.7774285357</v>
          </cell>
          <cell r="AK9">
            <v>731375.68529183953</v>
          </cell>
          <cell r="AL9">
            <v>13656.869432219999</v>
          </cell>
          <cell r="AM9">
            <v>312752.60922890017</v>
          </cell>
          <cell r="AN9">
            <v>83585.869415160021</v>
          </cell>
          <cell r="AO9" t="str">
            <v>Fixed Price</v>
          </cell>
          <cell r="AP9">
            <v>3452997.8973821141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2005</v>
          </cell>
          <cell r="AX9" t="str">
            <v>DE</v>
          </cell>
          <cell r="AY9">
            <v>1528.5240653938492</v>
          </cell>
          <cell r="AZ9">
            <v>1431.7</v>
          </cell>
          <cell r="BA9">
            <v>0</v>
          </cell>
          <cell r="BB9">
            <v>-199.72562021264432</v>
          </cell>
          <cell r="BC9">
            <v>1337</v>
          </cell>
          <cell r="BD9" t="str">
            <v/>
          </cell>
          <cell r="BE9">
            <v>4362636524030.9463</v>
          </cell>
          <cell r="BF9">
            <v>2026380208222.6125</v>
          </cell>
        </row>
        <row r="10">
          <cell r="A10" t="str">
            <v>AEHF</v>
          </cell>
          <cell r="B10">
            <v>9427.7000000000007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str">
            <v/>
          </cell>
          <cell r="H10">
            <v>0</v>
          </cell>
          <cell r="I10">
            <v>0</v>
          </cell>
          <cell r="J10">
            <v>0</v>
          </cell>
          <cell r="K10">
            <v>2485.5</v>
          </cell>
          <cell r="L10">
            <v>1.301064</v>
          </cell>
          <cell r="M10">
            <v>47.164361999999997</v>
          </cell>
          <cell r="N10">
            <v>41.671525000000003</v>
          </cell>
          <cell r="O10">
            <v>62.130702140000004</v>
          </cell>
          <cell r="P10">
            <v>48.016952019999998</v>
          </cell>
          <cell r="Q10">
            <v>56.784599</v>
          </cell>
          <cell r="R10">
            <v>1.4E-5</v>
          </cell>
          <cell r="S10">
            <v>38.138015689999996</v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>
            <v>243.63590258999997</v>
          </cell>
          <cell r="AC10">
            <v>16.35681426</v>
          </cell>
          <cell r="AD10">
            <v>0</v>
          </cell>
          <cell r="AE10">
            <v>0</v>
          </cell>
          <cell r="AF10">
            <v>0</v>
          </cell>
          <cell r="AG10">
            <v>35.214517000000001</v>
          </cell>
          <cell r="AH10">
            <v>0</v>
          </cell>
          <cell r="AI10" t="str">
            <v>Full and Open -Multiple Bidders</v>
          </cell>
          <cell r="AJ10">
            <v>303.82711451</v>
          </cell>
          <cell r="AK10">
            <v>12.484999269999999</v>
          </cell>
          <cell r="AL10">
            <v>0</v>
          </cell>
          <cell r="AM10">
            <v>50.184300439999994</v>
          </cell>
          <cell r="AN10">
            <v>0</v>
          </cell>
          <cell r="AO10" t="str">
            <v>Fixed Price</v>
          </cell>
          <cell r="AP10">
            <v>9427.7000000000007</v>
          </cell>
          <cell r="AQ10">
            <v>261</v>
          </cell>
          <cell r="AR10" t="str">
            <v>None</v>
          </cell>
          <cell r="AS10" t="str">
            <v>Air Force</v>
          </cell>
          <cell r="AT10">
            <v>0</v>
          </cell>
          <cell r="AU10" t="str">
            <v>Lockheed Martin / TRW Systems (Northrop Grumman)</v>
          </cell>
          <cell r="AV10" t="str">
            <v xml:space="preserve">Boeing </v>
          </cell>
          <cell r="AW10">
            <v>2002</v>
          </cell>
          <cell r="AX10" t="str">
            <v>PdE</v>
          </cell>
          <cell r="AY10">
            <v>7170.2101359703329</v>
          </cell>
          <cell r="AZ10">
            <v>6085.7</v>
          </cell>
          <cell r="BA10">
            <v>828.2</v>
          </cell>
          <cell r="BB10">
            <v>2084.7960444993819</v>
          </cell>
          <cell r="BC10">
            <v>5800.7</v>
          </cell>
          <cell r="BD10" t="str">
            <v/>
          </cell>
          <cell r="BE10">
            <v>316008869.21556449</v>
          </cell>
          <cell r="BF10">
            <v>1.0704645177364935</v>
          </cell>
        </row>
        <row r="11">
          <cell r="A11" t="str">
            <v>AESA</v>
          </cell>
          <cell r="B11">
            <v>62.8</v>
          </cell>
          <cell r="C11">
            <v>0</v>
          </cell>
          <cell r="D11">
            <v>0</v>
          </cell>
          <cell r="E11">
            <v>56.4</v>
          </cell>
          <cell r="F11">
            <v>6.4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2.9</v>
          </cell>
          <cell r="L11">
            <v>204041.18677536995</v>
          </cell>
          <cell r="M11">
            <v>232158.67761350988</v>
          </cell>
          <cell r="N11">
            <v>285001.14913036983</v>
          </cell>
          <cell r="O11">
            <v>269313.55681396055</v>
          </cell>
          <cell r="P11">
            <v>358084.57709169737</v>
          </cell>
          <cell r="Q11">
            <v>377899.75884614955</v>
          </cell>
          <cell r="R11">
            <v>4.2419999999999999E-2</v>
          </cell>
          <cell r="S11">
            <v>299881.25952939951</v>
          </cell>
          <cell r="T11" t="str">
            <v/>
          </cell>
          <cell r="U11" t="str">
            <v/>
          </cell>
          <cell r="V11">
            <v>5053.2118640136496</v>
          </cell>
          <cell r="W11">
            <v>42080.243252181332</v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>
            <v>866479.76275145903</v>
          </cell>
          <cell r="AC11">
            <v>212923.54556321035</v>
          </cell>
          <cell r="AD11">
            <v>199196.32976570804</v>
          </cell>
          <cell r="AE11">
            <v>46994.841220860013</v>
          </cell>
          <cell r="AF11">
            <v>8296.3674329900005</v>
          </cell>
          <cell r="AG11">
            <v>691902.30516076973</v>
          </cell>
          <cell r="AH11">
            <v>587.05632546000004</v>
          </cell>
          <cell r="AI11" t="str">
            <v>Unclear</v>
          </cell>
          <cell r="AJ11">
            <v>1685322.8887142679</v>
          </cell>
          <cell r="AK11">
            <v>365687.84264591977</v>
          </cell>
          <cell r="AL11">
            <v>6828.4347161099995</v>
          </cell>
          <cell r="AM11">
            <v>156376.30461445008</v>
          </cell>
          <cell r="AN11">
            <v>41792.934707580011</v>
          </cell>
          <cell r="AO11" t="str">
            <v>Fixed Price</v>
          </cell>
          <cell r="AP11">
            <v>1726498.948691057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 t="str">
            <v xml:space="preserve">Northrop Grumman </v>
          </cell>
          <cell r="AV11" t="str">
            <v>Raytheon</v>
          </cell>
          <cell r="AW11">
            <v>2000</v>
          </cell>
          <cell r="AX11" t="str">
            <v>PE</v>
          </cell>
          <cell r="AY11">
            <v>2443.1584362139915</v>
          </cell>
          <cell r="AZ11">
            <v>525.20000000000005</v>
          </cell>
          <cell r="BA11">
            <v>0</v>
          </cell>
          <cell r="BB11">
            <v>9.9022633744855959</v>
          </cell>
          <cell r="BC11">
            <v>1899.8</v>
          </cell>
          <cell r="BD11" t="str">
            <v/>
          </cell>
          <cell r="BE11">
            <v>4362636524030.9463</v>
          </cell>
          <cell r="BF11">
            <v>2026380208222.6125</v>
          </cell>
        </row>
        <row r="12">
          <cell r="A12" t="str">
            <v>AGM-88E</v>
          </cell>
          <cell r="B12">
            <v>819.9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/>
          </cell>
          <cell r="H12">
            <v>0</v>
          </cell>
          <cell r="I12">
            <v>0</v>
          </cell>
          <cell r="J12">
            <v>0</v>
          </cell>
          <cell r="K12">
            <v>1027.4000000000001</v>
          </cell>
          <cell r="L12">
            <v>0.25512800000000002</v>
          </cell>
          <cell r="M12">
            <v>2.6492000000000002E-2</v>
          </cell>
          <cell r="N12">
            <v>7.238E-2</v>
          </cell>
          <cell r="O12">
            <v>0</v>
          </cell>
          <cell r="P12">
            <v>0</v>
          </cell>
          <cell r="Q12">
            <v>0</v>
          </cell>
          <cell r="R12">
            <v>9.9999999999999995E-7</v>
          </cell>
          <cell r="S12">
            <v>1.0499210000000001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>
            <v>8.1220000000000001E-2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1.322702</v>
          </cell>
          <cell r="AH12">
            <v>0</v>
          </cell>
          <cell r="AI12" t="str">
            <v>None</v>
          </cell>
          <cell r="AJ12">
            <v>53.296860059999993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 t="str">
            <v>Fixed Price</v>
          </cell>
          <cell r="AP12">
            <v>819.9</v>
          </cell>
          <cell r="AQ12">
            <v>368</v>
          </cell>
          <cell r="AR12" t="str">
            <v>None</v>
          </cell>
          <cell r="AS12" t="str">
            <v>Navy</v>
          </cell>
          <cell r="AT12" t="str">
            <v>Munitions</v>
          </cell>
          <cell r="AU12" t="str">
            <v>Alliant Tech Systems (ATK) Missile Systems  (Raytheon makes AGM-88 HARM)</v>
          </cell>
          <cell r="AV12">
            <v>0</v>
          </cell>
          <cell r="AW12">
            <v>2003</v>
          </cell>
          <cell r="AX12" t="str">
            <v>PdE</v>
          </cell>
          <cell r="AY12">
            <v>1850.7083181983289</v>
          </cell>
          <cell r="AZ12">
            <v>1861.4</v>
          </cell>
          <cell r="BA12">
            <v>71.7</v>
          </cell>
          <cell r="BB12">
            <v>105.70286959680347</v>
          </cell>
          <cell r="BC12">
            <v>1528.5</v>
          </cell>
          <cell r="BD12" t="str">
            <v/>
          </cell>
          <cell r="BE12">
            <v>1475975.2560789699</v>
          </cell>
          <cell r="BF12">
            <v>1.0513228342307976</v>
          </cell>
        </row>
        <row r="13">
          <cell r="A13" t="str">
            <v>AIM-9X</v>
          </cell>
          <cell r="B13">
            <v>1687.8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/>
          </cell>
          <cell r="H13">
            <v>0</v>
          </cell>
          <cell r="I13">
            <v>0</v>
          </cell>
          <cell r="J13">
            <v>0</v>
          </cell>
          <cell r="K13">
            <v>1756.6</v>
          </cell>
          <cell r="L13">
            <v>464.73208899999997</v>
          </cell>
          <cell r="M13">
            <v>10.218362000000001</v>
          </cell>
          <cell r="N13">
            <v>-0.13437299999999999</v>
          </cell>
          <cell r="O13">
            <v>200.19800900000001</v>
          </cell>
          <cell r="P13">
            <v>2.2418935599999998</v>
          </cell>
          <cell r="Q13">
            <v>5.2221329499999998</v>
          </cell>
          <cell r="R13">
            <v>3.9999999999999998E-6</v>
          </cell>
          <cell r="S13">
            <v>127.11495109000001</v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>
            <v>399.88361664999996</v>
          </cell>
          <cell r="AC13">
            <v>78.136635499999997</v>
          </cell>
          <cell r="AD13">
            <v>3.4787999999999999E-2</v>
          </cell>
          <cell r="AE13">
            <v>201.17532</v>
          </cell>
          <cell r="AF13">
            <v>0</v>
          </cell>
          <cell r="AG13">
            <v>130.36270845000001</v>
          </cell>
          <cell r="AH13">
            <v>0</v>
          </cell>
          <cell r="AI13" t="str">
            <v>Unclear</v>
          </cell>
          <cell r="AJ13">
            <v>881.10081207000007</v>
          </cell>
          <cell r="AK13">
            <v>119.44192645</v>
          </cell>
          <cell r="AL13">
            <v>0</v>
          </cell>
          <cell r="AM13">
            <v>0.67425000000000002</v>
          </cell>
          <cell r="AN13">
            <v>-0.29828199999999999</v>
          </cell>
          <cell r="AO13" t="str">
            <v>Fixed Price</v>
          </cell>
          <cell r="AP13">
            <v>1687.8</v>
          </cell>
          <cell r="AQ13">
            <v>581</v>
          </cell>
          <cell r="AR13" t="str">
            <v>None</v>
          </cell>
          <cell r="AS13" t="str">
            <v>Navy</v>
          </cell>
          <cell r="AT13" t="str">
            <v>Munitions</v>
          </cell>
          <cell r="AU13" t="str">
            <v>Raytheon</v>
          </cell>
          <cell r="AV13">
            <v>0</v>
          </cell>
          <cell r="AW13">
            <v>1997</v>
          </cell>
          <cell r="AX13" t="str">
            <v>PdE</v>
          </cell>
          <cell r="AY13">
            <v>3315.8390526174135</v>
          </cell>
          <cell r="AZ13">
            <v>3232.9</v>
          </cell>
          <cell r="BA13">
            <v>155</v>
          </cell>
          <cell r="BB13">
            <v>413.80702462656438</v>
          </cell>
          <cell r="BC13">
            <v>2464</v>
          </cell>
          <cell r="BD13" t="str">
            <v/>
          </cell>
          <cell r="BE13">
            <v>911826930.95218647</v>
          </cell>
          <cell r="BF13">
            <v>1.1262780850248333</v>
          </cell>
        </row>
        <row r="14">
          <cell r="A14" t="str">
            <v>AIM-9X Block I</v>
          </cell>
          <cell r="B14">
            <v>1472.8</v>
          </cell>
          <cell r="C14" t="str">
            <v/>
          </cell>
          <cell r="D14" t="str">
            <v/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>
            <v>0</v>
          </cell>
          <cell r="K14" t="str">
            <v>-</v>
          </cell>
          <cell r="L14">
            <v>204041.18677536995</v>
          </cell>
          <cell r="M14">
            <v>232158.67761350988</v>
          </cell>
          <cell r="N14">
            <v>285001.14913036983</v>
          </cell>
          <cell r="O14">
            <v>269313.55681396055</v>
          </cell>
          <cell r="P14">
            <v>358084.57709169737</v>
          </cell>
          <cell r="Q14">
            <v>377899.75884614955</v>
          </cell>
          <cell r="R14">
            <v>4.2419999999999999E-2</v>
          </cell>
          <cell r="S14">
            <v>299881.25952939951</v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>
            <v>866479.76275145903</v>
          </cell>
          <cell r="AC14">
            <v>212923.54556321035</v>
          </cell>
          <cell r="AD14">
            <v>199196.32976570804</v>
          </cell>
          <cell r="AE14">
            <v>46994.841220860013</v>
          </cell>
          <cell r="AF14">
            <v>8296.3674329900005</v>
          </cell>
          <cell r="AG14">
            <v>691902.30516076973</v>
          </cell>
          <cell r="AH14">
            <v>587.05632546000004</v>
          </cell>
          <cell r="AI14" t="str">
            <v>Unclear</v>
          </cell>
          <cell r="AJ14">
            <v>1685322.8887142679</v>
          </cell>
          <cell r="AK14">
            <v>365687.84264591977</v>
          </cell>
          <cell r="AL14">
            <v>6828.4347161099995</v>
          </cell>
          <cell r="AM14">
            <v>156376.30461445008</v>
          </cell>
          <cell r="AN14">
            <v>41792.934707580011</v>
          </cell>
          <cell r="AO14" t="str">
            <v>Fixed Price</v>
          </cell>
          <cell r="AP14">
            <v>1726498.948691057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1997</v>
          </cell>
          <cell r="AX14" t="str">
            <v>PdE</v>
          </cell>
          <cell r="AY14">
            <v>3315.8390526174135</v>
          </cell>
          <cell r="AZ14">
            <v>3232.9</v>
          </cell>
          <cell r="BA14" t="str">
            <v/>
          </cell>
          <cell r="BB14">
            <v>48.176557663840661</v>
          </cell>
          <cell r="BC14">
            <v>2464</v>
          </cell>
          <cell r="BD14" t="str">
            <v/>
          </cell>
          <cell r="BE14">
            <v>4362636524030.9463</v>
          </cell>
          <cell r="BF14">
            <v>2026380208222.6125</v>
          </cell>
        </row>
        <row r="15">
          <cell r="A15" t="str">
            <v>AMF JTRS</v>
          </cell>
          <cell r="B15">
            <v>1297</v>
          </cell>
          <cell r="C15" t="str">
            <v/>
          </cell>
          <cell r="D15" t="str">
            <v/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>
            <v>0</v>
          </cell>
          <cell r="J15">
            <v>0</v>
          </cell>
          <cell r="K15">
            <v>2452.8000000000002</v>
          </cell>
          <cell r="L15">
            <v>106.356877</v>
          </cell>
          <cell r="M15">
            <v>121.72112300000001</v>
          </cell>
          <cell r="N15">
            <v>55.019573000000001</v>
          </cell>
          <cell r="O15">
            <v>1.7405919999999999</v>
          </cell>
          <cell r="P15">
            <v>20.33352906</v>
          </cell>
          <cell r="Q15">
            <v>10.193415480000001</v>
          </cell>
          <cell r="R15">
            <v>2.4000000000000001E-5</v>
          </cell>
          <cell r="S15">
            <v>1.8799999999999998E-6</v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>
            <v>6.5001555700000004</v>
          </cell>
          <cell r="AC15">
            <v>7.1980000000000002E-2</v>
          </cell>
          <cell r="AD15">
            <v>9.9999999999999995E-7</v>
          </cell>
          <cell r="AE15">
            <v>0.01</v>
          </cell>
          <cell r="AF15">
            <v>0</v>
          </cell>
          <cell r="AG15">
            <v>308.78299885000001</v>
          </cell>
          <cell r="AH15">
            <v>0</v>
          </cell>
          <cell r="AI15" t="str">
            <v>None</v>
          </cell>
          <cell r="AJ15">
            <v>255.47142369999997</v>
          </cell>
          <cell r="AK15">
            <v>26.132537369999998</v>
          </cell>
          <cell r="AL15">
            <v>0</v>
          </cell>
          <cell r="AM15">
            <v>23.198288000000002</v>
          </cell>
          <cell r="AN15">
            <v>0.59802500000000003</v>
          </cell>
          <cell r="AO15" t="str">
            <v>Fixed Price</v>
          </cell>
          <cell r="AP15">
            <v>1297</v>
          </cell>
          <cell r="AQ15">
            <v>380</v>
          </cell>
          <cell r="AR15" t="str">
            <v>None</v>
          </cell>
          <cell r="AS15" t="str">
            <v>DoD-wide</v>
          </cell>
          <cell r="AT15" t="str">
            <v>Electronic</v>
          </cell>
          <cell r="AU15" t="str">
            <v>Lockheed Martin</v>
          </cell>
          <cell r="AV15">
            <v>0</v>
          </cell>
          <cell r="AW15">
            <v>2008</v>
          </cell>
          <cell r="AX15" t="str">
            <v>DE</v>
          </cell>
          <cell r="AY15">
            <v>8138.6761774887236</v>
          </cell>
          <cell r="AZ15">
            <v>9034.2999999999993</v>
          </cell>
          <cell r="BA15">
            <v>347.5</v>
          </cell>
          <cell r="BB15">
            <v>-1732.9277247456205</v>
          </cell>
          <cell r="BC15">
            <v>7758.6</v>
          </cell>
          <cell r="BD15" t="str">
            <v/>
          </cell>
          <cell r="BE15">
            <v>359276560.07598943</v>
          </cell>
          <cell r="BF15">
            <v>1.1392399467287613</v>
          </cell>
          <cell r="BG15" t="str">
            <v>DoD</v>
          </cell>
          <cell r="BH15" t="str">
            <v>Dec. 2009:</v>
          </cell>
          <cell r="BI15" t="b">
            <v>1</v>
          </cell>
        </row>
        <row r="16">
          <cell r="A16" t="str">
            <v>AMRAAM</v>
          </cell>
          <cell r="B16">
            <v>11787.8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/>
          </cell>
          <cell r="H16">
            <v>0</v>
          </cell>
          <cell r="I16">
            <v>0</v>
          </cell>
          <cell r="J16">
            <v>0</v>
          </cell>
          <cell r="K16">
            <v>7608.5</v>
          </cell>
          <cell r="L16">
            <v>186.90335099999999</v>
          </cell>
          <cell r="M16">
            <v>259.61344000000003</v>
          </cell>
          <cell r="N16">
            <v>33.114111899999997</v>
          </cell>
          <cell r="O16">
            <v>243.03965825999998</v>
          </cell>
          <cell r="P16">
            <v>14.060044169999998</v>
          </cell>
          <cell r="Q16">
            <v>1.82671973</v>
          </cell>
          <cell r="R16">
            <v>2.0000000000000002E-5</v>
          </cell>
          <cell r="S16">
            <v>666.16646156999991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>
            <v>7.9319923499999998</v>
          </cell>
          <cell r="AC16">
            <v>28.812953299999997</v>
          </cell>
          <cell r="AD16">
            <v>87.137067120000012</v>
          </cell>
          <cell r="AE16">
            <v>213.59558718</v>
          </cell>
          <cell r="AF16">
            <v>0</v>
          </cell>
          <cell r="AG16">
            <v>1067.2462066799999</v>
          </cell>
          <cell r="AH16">
            <v>0</v>
          </cell>
          <cell r="AI16" t="str">
            <v>None</v>
          </cell>
          <cell r="AJ16">
            <v>1968.2548126600002</v>
          </cell>
          <cell r="AK16">
            <v>96.382285949999996</v>
          </cell>
          <cell r="AL16">
            <v>6.3539999999999999E-2</v>
          </cell>
          <cell r="AM16">
            <v>90.635367029999998</v>
          </cell>
          <cell r="AN16">
            <v>0.46505600000000002</v>
          </cell>
          <cell r="AO16" t="str">
            <v>Fixed Price</v>
          </cell>
          <cell r="AP16">
            <v>11787.8</v>
          </cell>
          <cell r="AQ16">
            <v>185</v>
          </cell>
          <cell r="AR16" t="str">
            <v>None</v>
          </cell>
          <cell r="AS16" t="str">
            <v>Air Force</v>
          </cell>
          <cell r="AT16" t="str">
            <v>Munitions</v>
          </cell>
          <cell r="AU16" t="str">
            <v>Raytheon</v>
          </cell>
          <cell r="AV16">
            <v>0</v>
          </cell>
          <cell r="AW16">
            <v>1992</v>
          </cell>
          <cell r="AX16" t="str">
            <v>PdE</v>
          </cell>
          <cell r="AY16">
            <v>18282.013103037523</v>
          </cell>
          <cell r="AZ16">
            <v>13112.4</v>
          </cell>
          <cell r="BA16">
            <v>388.7</v>
          </cell>
          <cell r="BB16">
            <v>1450.7147111375818</v>
          </cell>
          <cell r="BC16">
            <v>12278.2</v>
          </cell>
          <cell r="BD16" t="str">
            <v/>
          </cell>
          <cell r="BE16">
            <v>1509016392.8143013</v>
          </cell>
          <cell r="BF16">
            <v>1.0742441935504061</v>
          </cell>
        </row>
        <row r="17">
          <cell r="A17" t="str">
            <v>ARH</v>
          </cell>
          <cell r="B17">
            <v>181.1</v>
          </cell>
          <cell r="C17" t="str">
            <v/>
          </cell>
          <cell r="D17">
            <v>0</v>
          </cell>
          <cell r="E17">
            <v>0</v>
          </cell>
          <cell r="F17">
            <v>0</v>
          </cell>
          <cell r="G17">
            <v>181.1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4.5149999999999999E-3</v>
          </cell>
          <cell r="O17">
            <v>0</v>
          </cell>
          <cell r="P17">
            <v>1.8498418199999997</v>
          </cell>
          <cell r="Q17">
            <v>0.27494673999999997</v>
          </cell>
          <cell r="R17">
            <v>1.5999999999999999E-5</v>
          </cell>
          <cell r="S17">
            <v>95.043539049999993</v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>
            <v>1.0214477194919932E-2</v>
          </cell>
          <cell r="Y17" t="str">
            <v/>
          </cell>
          <cell r="Z17" t="str">
            <v/>
          </cell>
          <cell r="AA17" t="str">
            <v/>
          </cell>
          <cell r="AB17">
            <v>0</v>
          </cell>
          <cell r="AC17">
            <v>0</v>
          </cell>
          <cell r="AD17">
            <v>50.323489349999996</v>
          </cell>
          <cell r="AE17">
            <v>0</v>
          </cell>
          <cell r="AF17">
            <v>0</v>
          </cell>
          <cell r="AG17">
            <v>46.849369260000003</v>
          </cell>
          <cell r="AH17">
            <v>0</v>
          </cell>
          <cell r="AI17" t="str">
            <v>Partial -Multiple Bidders</v>
          </cell>
          <cell r="AJ17">
            <v>48.947424249999997</v>
          </cell>
          <cell r="AK17">
            <v>51.178722919999998</v>
          </cell>
          <cell r="AL17">
            <v>0</v>
          </cell>
          <cell r="AM17">
            <v>1.60816</v>
          </cell>
          <cell r="AN17">
            <v>0</v>
          </cell>
          <cell r="AO17" t="str">
            <v>Cost (All Other; Including Time and Materials and Labor)</v>
          </cell>
          <cell r="AP17">
            <v>181.1</v>
          </cell>
          <cell r="AQ17">
            <v>179</v>
          </cell>
          <cell r="AR17" t="str">
            <v>None</v>
          </cell>
          <cell r="AS17" t="str">
            <v>Army</v>
          </cell>
          <cell r="AT17" t="str">
            <v>Helicopter</v>
          </cell>
          <cell r="AU17" t="str">
            <v>Bell Helicopter (Textron)</v>
          </cell>
          <cell r="AV17">
            <v>0</v>
          </cell>
          <cell r="AW17">
            <v>2005</v>
          </cell>
          <cell r="AX17" t="str">
            <v>DE</v>
          </cell>
          <cell r="AY17">
            <v>3600.2057848405166</v>
          </cell>
          <cell r="AZ17">
            <v>3568.7</v>
          </cell>
          <cell r="BA17">
            <v>0</v>
          </cell>
          <cell r="BB17">
            <v>-219.16085515033723</v>
          </cell>
          <cell r="BC17">
            <v>3149.1</v>
          </cell>
          <cell r="BD17" t="str">
            <v/>
          </cell>
          <cell r="BE17">
            <v>98593814.40574789</v>
          </cell>
          <cell r="BF17">
            <v>1.014622969994645</v>
          </cell>
        </row>
        <row r="18">
          <cell r="A18" t="str">
            <v>ASDS</v>
          </cell>
          <cell r="B18">
            <v>101</v>
          </cell>
          <cell r="C18">
            <v>0</v>
          </cell>
          <cell r="D18">
            <v>0</v>
          </cell>
          <cell r="E18">
            <v>49.5</v>
          </cell>
          <cell r="F18">
            <v>51.5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37.4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  <cell r="V18">
            <v>0</v>
          </cell>
          <cell r="W18">
            <v>0</v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Missing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 t="str">
            <v>Missing</v>
          </cell>
          <cell r="AP18">
            <v>101</v>
          </cell>
          <cell r="AQ18" t="str">
            <v>None</v>
          </cell>
          <cell r="AR18" t="str">
            <v>None</v>
          </cell>
          <cell r="AS18" t="str">
            <v>Army</v>
          </cell>
          <cell r="AT18">
            <v>0</v>
          </cell>
          <cell r="AU18" t="str">
            <v>Northrop Grumman</v>
          </cell>
          <cell r="AV18">
            <v>0</v>
          </cell>
          <cell r="AW18">
            <v>2003</v>
          </cell>
          <cell r="AX18" t="str">
            <v>DE</v>
          </cell>
          <cell r="AY18">
            <v>2225.3299430923839</v>
          </cell>
          <cell r="AZ18">
            <v>1969.3</v>
          </cell>
          <cell r="BA18">
            <v>0</v>
          </cell>
          <cell r="BB18">
            <v>84.513863663881821</v>
          </cell>
          <cell r="BC18">
            <v>1837.9</v>
          </cell>
          <cell r="BD18" t="str">
            <v/>
          </cell>
          <cell r="BE18">
            <v>0</v>
          </cell>
          <cell r="BF18" t="e">
            <v>#DIV/0!</v>
          </cell>
        </row>
        <row r="19">
          <cell r="A19" t="str">
            <v>ASIP</v>
          </cell>
          <cell r="B19">
            <v>508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Missing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 t="str">
            <v>Missing</v>
          </cell>
          <cell r="AP19">
            <v>508</v>
          </cell>
          <cell r="AQ19">
            <v>375</v>
          </cell>
          <cell r="AR19" t="str">
            <v>None</v>
          </cell>
          <cell r="AS19" t="str">
            <v>Air Force</v>
          </cell>
          <cell r="AT19">
            <v>0</v>
          </cell>
          <cell r="AU19" t="str">
            <v xml:space="preserve">Northrop Grumman, Lockheed, L-3 Communications, Raytheon </v>
          </cell>
          <cell r="AV19">
            <v>0</v>
          </cell>
          <cell r="AW19">
            <v>2010</v>
          </cell>
          <cell r="AX19" t="str">
            <v>DE</v>
          </cell>
          <cell r="AY19">
            <v>554.40254803246694</v>
          </cell>
          <cell r="AZ19">
            <v>508</v>
          </cell>
          <cell r="BA19">
            <v>0</v>
          </cell>
          <cell r="BB19">
            <v>-0.71920271242165823</v>
          </cell>
          <cell r="BC19">
            <v>539.6</v>
          </cell>
          <cell r="BD19" t="str">
            <v/>
          </cell>
          <cell r="BE19">
            <v>0</v>
          </cell>
          <cell r="BF19" t="e">
            <v>#DIV/0!</v>
          </cell>
        </row>
        <row r="20">
          <cell r="A20" t="str">
            <v>ATACMS-BAT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204041.18677536995</v>
          </cell>
          <cell r="M20">
            <v>232158.67761350988</v>
          </cell>
          <cell r="N20">
            <v>285001.14913036983</v>
          </cell>
          <cell r="O20">
            <v>269313.55681396055</v>
          </cell>
          <cell r="P20">
            <v>358084.57709169737</v>
          </cell>
          <cell r="Q20">
            <v>377899.75884614955</v>
          </cell>
          <cell r="R20">
            <v>4.2419999999999999E-2</v>
          </cell>
          <cell r="S20">
            <v>299881.25952939951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>
            <v>866479.76275145903</v>
          </cell>
          <cell r="AC20">
            <v>212923.54556321035</v>
          </cell>
          <cell r="AD20">
            <v>199196.32976570804</v>
          </cell>
          <cell r="AE20">
            <v>46994.841220860013</v>
          </cell>
          <cell r="AF20">
            <v>8296.3674329900005</v>
          </cell>
          <cell r="AG20">
            <v>691902.30516076973</v>
          </cell>
          <cell r="AH20">
            <v>587.05632546000004</v>
          </cell>
          <cell r="AI20" t="str">
            <v>Unclear</v>
          </cell>
          <cell r="AJ20">
            <v>1685322.8887142679</v>
          </cell>
          <cell r="AK20">
            <v>365687.84264591977</v>
          </cell>
          <cell r="AL20">
            <v>6828.4347161099995</v>
          </cell>
          <cell r="AM20">
            <v>156376.30461445008</v>
          </cell>
          <cell r="AN20">
            <v>41792.934707580011</v>
          </cell>
          <cell r="AO20" t="str">
            <v>Fixed Price</v>
          </cell>
          <cell r="AP20">
            <v>1726498.948691057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1991</v>
          </cell>
          <cell r="AX20" t="str">
            <v>DE</v>
          </cell>
          <cell r="AY20">
            <v>5908.4937366330587</v>
          </cell>
          <cell r="AZ20">
            <v>5287.7</v>
          </cell>
          <cell r="BA20">
            <v>0</v>
          </cell>
          <cell r="BB20">
            <v>305.83562480904368</v>
          </cell>
          <cell r="BC20">
            <v>3867.7</v>
          </cell>
          <cell r="BD20" t="str">
            <v/>
          </cell>
          <cell r="BE20">
            <v>4362636524030.9463</v>
          </cell>
          <cell r="BF20">
            <v>2026380208222.6125</v>
          </cell>
        </row>
        <row r="21">
          <cell r="A21" t="str">
            <v>ATIRCM/CMWS</v>
          </cell>
          <cell r="B21">
            <v>934.7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479.9</v>
          </cell>
          <cell r="H21">
            <v>454.8</v>
          </cell>
          <cell r="I21">
            <v>0</v>
          </cell>
          <cell r="J21">
            <v>0</v>
          </cell>
          <cell r="K21">
            <v>1818.2</v>
          </cell>
          <cell r="L21">
            <v>65.455404999999999</v>
          </cell>
          <cell r="M21">
            <v>181.546966</v>
          </cell>
          <cell r="N21">
            <v>407.73220800000001</v>
          </cell>
          <cell r="O21">
            <v>654.0156820599999</v>
          </cell>
          <cell r="P21">
            <v>526.80808261999994</v>
          </cell>
          <cell r="Q21">
            <v>207.55296781000001</v>
          </cell>
          <cell r="R21">
            <v>3.9999999999999998E-6</v>
          </cell>
          <cell r="S21">
            <v>189.77938438000004</v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>
            <v>1.097745535778287</v>
          </cell>
          <cell r="Y21">
            <v>0.45636096704045737</v>
          </cell>
          <cell r="Z21" t="str">
            <v/>
          </cell>
          <cell r="AA21" t="str">
            <v/>
          </cell>
          <cell r="AB21">
            <v>4.9584550000000005E-2</v>
          </cell>
          <cell r="AC21">
            <v>2.6918292400000001</v>
          </cell>
          <cell r="AD21">
            <v>5.6443E-2</v>
          </cell>
          <cell r="AE21">
            <v>0.26913999999999999</v>
          </cell>
          <cell r="AF21">
            <v>0</v>
          </cell>
          <cell r="AG21">
            <v>2229.8237030800001</v>
          </cell>
          <cell r="AH21">
            <v>0</v>
          </cell>
          <cell r="AI21" t="str">
            <v>None</v>
          </cell>
          <cell r="AJ21">
            <v>1431.42233373</v>
          </cell>
          <cell r="AK21">
            <v>198.74370647000006</v>
          </cell>
          <cell r="AL21">
            <v>0</v>
          </cell>
          <cell r="AM21">
            <v>804.16216747999999</v>
          </cell>
          <cell r="AN21">
            <v>1.921639E-2</v>
          </cell>
          <cell r="AO21" t="str">
            <v>Fixed Price</v>
          </cell>
          <cell r="AP21">
            <v>2043.1113154899997</v>
          </cell>
          <cell r="AQ21">
            <v>219</v>
          </cell>
          <cell r="AR21" t="str">
            <v>None</v>
          </cell>
          <cell r="AS21" t="str">
            <v>Army</v>
          </cell>
          <cell r="AT21" t="str">
            <v>Electronic</v>
          </cell>
          <cell r="AU21" t="str">
            <v xml:space="preserve">BAE Systems (North America) </v>
          </cell>
          <cell r="AV21">
            <v>0</v>
          </cell>
          <cell r="AW21">
            <v>2003</v>
          </cell>
          <cell r="AX21" t="str">
            <v>PdE</v>
          </cell>
          <cell r="AY21">
            <v>3385.0345078096616</v>
          </cell>
          <cell r="AZ21">
            <v>3240.6</v>
          </cell>
          <cell r="BA21">
            <v>0</v>
          </cell>
          <cell r="BB21">
            <v>564.11187795132571</v>
          </cell>
          <cell r="BC21">
            <v>2795.7</v>
          </cell>
          <cell r="BD21" t="str">
            <v/>
          </cell>
          <cell r="BE21">
            <v>2397495886.2248001</v>
          </cell>
          <cell r="BF21">
            <v>1.0737184253418153</v>
          </cell>
        </row>
        <row r="22">
          <cell r="A22" t="str">
            <v>ATIRCM/CMWS SPLIT</v>
          </cell>
          <cell r="B22">
            <v>1006.6</v>
          </cell>
          <cell r="C22" t="str">
            <v/>
          </cell>
          <cell r="D22" t="str">
            <v/>
          </cell>
          <cell r="E22" t="str">
            <v/>
          </cell>
          <cell r="F22" t="str">
            <v/>
          </cell>
          <cell r="G22" t="str">
            <v/>
          </cell>
          <cell r="H22" t="str">
            <v/>
          </cell>
          <cell r="I22">
            <v>0</v>
          </cell>
          <cell r="J22">
            <v>0</v>
          </cell>
          <cell r="K22">
            <v>0</v>
          </cell>
          <cell r="L22">
            <v>204041.18677536995</v>
          </cell>
          <cell r="M22">
            <v>232158.67761350988</v>
          </cell>
          <cell r="N22">
            <v>285001.14913036983</v>
          </cell>
          <cell r="O22">
            <v>269313.55681396055</v>
          </cell>
          <cell r="P22">
            <v>358084.57709169737</v>
          </cell>
          <cell r="Q22">
            <v>377899.75884614955</v>
          </cell>
          <cell r="R22">
            <v>4.2419999999999999E-2</v>
          </cell>
          <cell r="S22">
            <v>299881.25952939951</v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>
            <v>866479.76275145903</v>
          </cell>
          <cell r="AC22">
            <v>212923.54556321035</v>
          </cell>
          <cell r="AD22">
            <v>199196.32976570804</v>
          </cell>
          <cell r="AE22">
            <v>46994.841220860013</v>
          </cell>
          <cell r="AF22">
            <v>8296.3674329900005</v>
          </cell>
          <cell r="AG22">
            <v>691902.30516076973</v>
          </cell>
          <cell r="AH22">
            <v>587.05632546000004</v>
          </cell>
          <cell r="AI22" t="str">
            <v>Unclear</v>
          </cell>
          <cell r="AJ22">
            <v>1685322.8887142679</v>
          </cell>
          <cell r="AK22">
            <v>365687.84264591977</v>
          </cell>
          <cell r="AL22">
            <v>6828.4347161099995</v>
          </cell>
          <cell r="AM22">
            <v>156376.30461445008</v>
          </cell>
          <cell r="AN22">
            <v>41792.934707580011</v>
          </cell>
          <cell r="AO22" t="str">
            <v>Fixed Price</v>
          </cell>
          <cell r="AP22">
            <v>1726498.948691057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2003</v>
          </cell>
          <cell r="AX22" t="str">
            <v>PdE/DE</v>
          </cell>
          <cell r="AY22">
            <v>1083.4241433587599</v>
          </cell>
          <cell r="AZ22">
            <v>1054.4000000000001</v>
          </cell>
          <cell r="BA22">
            <v>0</v>
          </cell>
          <cell r="BB22">
            <v>350.52669814747543</v>
          </cell>
          <cell r="BC22">
            <v>894.8</v>
          </cell>
          <cell r="BD22" t="str">
            <v/>
          </cell>
          <cell r="BE22">
            <v>4362636524030.9463</v>
          </cell>
          <cell r="BF22">
            <v>2026380208222.6125</v>
          </cell>
        </row>
        <row r="23">
          <cell r="A23" t="str">
            <v>ATIRCM/CMWS SPLIT</v>
          </cell>
          <cell r="B23">
            <v>1006.6</v>
          </cell>
          <cell r="C23" t="str">
            <v/>
          </cell>
          <cell r="D23" t="str">
            <v/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>
            <v>0</v>
          </cell>
          <cell r="J23">
            <v>0</v>
          </cell>
          <cell r="K23">
            <v>0</v>
          </cell>
          <cell r="L23">
            <v>204041.18677536995</v>
          </cell>
          <cell r="M23">
            <v>232158.67761350988</v>
          </cell>
          <cell r="N23">
            <v>285001.14913036983</v>
          </cell>
          <cell r="O23">
            <v>269313.55681396055</v>
          </cell>
          <cell r="P23">
            <v>358084.57709169737</v>
          </cell>
          <cell r="Q23">
            <v>377899.75884614955</v>
          </cell>
          <cell r="R23">
            <v>4.2419999999999999E-2</v>
          </cell>
          <cell r="S23">
            <v>299881.25952939951</v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>
            <v>866479.76275145903</v>
          </cell>
          <cell r="AC23">
            <v>212923.54556321035</v>
          </cell>
          <cell r="AD23">
            <v>199196.32976570804</v>
          </cell>
          <cell r="AE23">
            <v>46994.841220860013</v>
          </cell>
          <cell r="AF23">
            <v>8296.3674329900005</v>
          </cell>
          <cell r="AG23">
            <v>691902.30516076973</v>
          </cell>
          <cell r="AH23">
            <v>587.05632546000004</v>
          </cell>
          <cell r="AI23" t="str">
            <v>Unclear</v>
          </cell>
          <cell r="AJ23">
            <v>1685322.8887142679</v>
          </cell>
          <cell r="AK23">
            <v>365687.84264591977</v>
          </cell>
          <cell r="AL23">
            <v>6828.4347161099995</v>
          </cell>
          <cell r="AM23">
            <v>156376.30461445008</v>
          </cell>
          <cell r="AN23">
            <v>41792.934707580011</v>
          </cell>
          <cell r="AO23" t="str">
            <v>Fixed Price</v>
          </cell>
          <cell r="AP23">
            <v>1726498.948691057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2003</v>
          </cell>
          <cell r="AX23" t="str">
            <v>PdE/DE</v>
          </cell>
          <cell r="AY23">
            <v>1083.4241433587599</v>
          </cell>
          <cell r="AZ23">
            <v>1054.4000000000001</v>
          </cell>
          <cell r="BA23">
            <v>0</v>
          </cell>
          <cell r="BB23">
            <v>350.52669814747543</v>
          </cell>
          <cell r="BC23">
            <v>894.8</v>
          </cell>
          <cell r="BD23" t="str">
            <v/>
          </cell>
          <cell r="BE23">
            <v>4362636524030.9463</v>
          </cell>
          <cell r="BF23">
            <v>2026380208222.6125</v>
          </cell>
        </row>
        <row r="24">
          <cell r="A24" t="str">
            <v>AV-8B REMANUFACTURE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204041.18677536995</v>
          </cell>
          <cell r="M24">
            <v>232158.67761350988</v>
          </cell>
          <cell r="N24">
            <v>285001.14913036983</v>
          </cell>
          <cell r="O24">
            <v>269313.55681396055</v>
          </cell>
          <cell r="P24">
            <v>358084.57709169737</v>
          </cell>
          <cell r="Q24">
            <v>377899.75884614955</v>
          </cell>
          <cell r="R24">
            <v>4.2419999999999999E-2</v>
          </cell>
          <cell r="S24">
            <v>299881.25952939951</v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>
            <v>866479.76275145903</v>
          </cell>
          <cell r="AC24">
            <v>212923.54556321035</v>
          </cell>
          <cell r="AD24">
            <v>199196.32976570804</v>
          </cell>
          <cell r="AE24">
            <v>46994.841220860013</v>
          </cell>
          <cell r="AF24">
            <v>8296.3674329900005</v>
          </cell>
          <cell r="AG24">
            <v>691902.30516076973</v>
          </cell>
          <cell r="AH24">
            <v>587.05632546000004</v>
          </cell>
          <cell r="AI24" t="str">
            <v>Unclear</v>
          </cell>
          <cell r="AJ24">
            <v>1685322.8887142679</v>
          </cell>
          <cell r="AK24">
            <v>365687.84264591977</v>
          </cell>
          <cell r="AL24">
            <v>6828.4347161099995</v>
          </cell>
          <cell r="AM24">
            <v>156376.30461445008</v>
          </cell>
          <cell r="AN24">
            <v>41792.934707580011</v>
          </cell>
          <cell r="AO24" t="str">
            <v>Fixed Price</v>
          </cell>
          <cell r="AP24">
            <v>1726498.948691057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1994</v>
          </cell>
          <cell r="AX24" t="str">
            <v>PdE</v>
          </cell>
          <cell r="AY24">
            <v>2629.1012838801712</v>
          </cell>
          <cell r="AZ24">
            <v>2158.4</v>
          </cell>
          <cell r="BA24">
            <v>0</v>
          </cell>
          <cell r="BB24">
            <v>-91.726105563480743</v>
          </cell>
          <cell r="BC24">
            <v>1843</v>
          </cell>
          <cell r="BD24" t="str">
            <v/>
          </cell>
          <cell r="BE24">
            <v>4362636524030.9463</v>
          </cell>
          <cell r="BF24">
            <v>2026380208222.6125</v>
          </cell>
        </row>
        <row r="25">
          <cell r="A25" t="str">
            <v>AWACS Upgrade</v>
          </cell>
          <cell r="B25">
            <v>28.5</v>
          </cell>
          <cell r="C25">
            <v>21.9</v>
          </cell>
          <cell r="D25">
            <v>6.6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>-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Missing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 t="str">
            <v>Missing</v>
          </cell>
          <cell r="AP25">
            <v>28.5</v>
          </cell>
          <cell r="AQ25">
            <v>277</v>
          </cell>
          <cell r="AR25" t="str">
            <v>None</v>
          </cell>
          <cell r="AS25">
            <v>0</v>
          </cell>
          <cell r="AT25" t="str">
            <v>Electronic</v>
          </cell>
          <cell r="AU25" t="str">
            <v>Boeing</v>
          </cell>
          <cell r="AV25">
            <v>0</v>
          </cell>
          <cell r="AW25">
            <v>1997</v>
          </cell>
          <cell r="AX25" t="str">
            <v>PdE</v>
          </cell>
          <cell r="AY25">
            <v>1197.8199434800163</v>
          </cell>
          <cell r="AZ25">
            <v>891.3</v>
          </cell>
          <cell r="BA25">
            <v>0</v>
          </cell>
          <cell r="BB25">
            <v>-7.1322836764903776</v>
          </cell>
          <cell r="BC25">
            <v>890.1</v>
          </cell>
          <cell r="BD25" t="str">
            <v/>
          </cell>
          <cell r="BE25">
            <v>0</v>
          </cell>
          <cell r="BF25" t="e">
            <v>#DIV/0!</v>
          </cell>
        </row>
        <row r="26">
          <cell r="A26" t="str">
            <v>B-1B CMUP</v>
          </cell>
          <cell r="B26">
            <v>634.6</v>
          </cell>
          <cell r="C26">
            <v>0</v>
          </cell>
          <cell r="D26">
            <v>0</v>
          </cell>
          <cell r="E26" t="str">
            <v>-</v>
          </cell>
          <cell r="F26" t="str">
            <v>-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 t="str">
            <v>-</v>
          </cell>
          <cell r="L26">
            <v>408082.3735507399</v>
          </cell>
          <cell r="M26">
            <v>464317.35522701975</v>
          </cell>
          <cell r="N26">
            <v>570002.29826073966</v>
          </cell>
          <cell r="O26">
            <v>538627.11362792109</v>
          </cell>
          <cell r="P26">
            <v>716169.15418339474</v>
          </cell>
          <cell r="Q26">
            <v>755799.51769229909</v>
          </cell>
          <cell r="R26">
            <v>8.4839999999999999E-2</v>
          </cell>
          <cell r="S26">
            <v>599762.51905879902</v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>
            <v>1732959.5255029181</v>
          </cell>
          <cell r="AC26">
            <v>425847.09112642071</v>
          </cell>
          <cell r="AD26">
            <v>398392.65953141608</v>
          </cell>
          <cell r="AE26">
            <v>93989.682441720026</v>
          </cell>
          <cell r="AF26">
            <v>16592.734865980001</v>
          </cell>
          <cell r="AG26">
            <v>1383804.6103215395</v>
          </cell>
          <cell r="AH26">
            <v>1174.1126509200001</v>
          </cell>
          <cell r="AI26" t="str">
            <v>Unclear</v>
          </cell>
          <cell r="AJ26">
            <v>3370645.7774285357</v>
          </cell>
          <cell r="AK26">
            <v>731375.68529183953</v>
          </cell>
          <cell r="AL26">
            <v>13656.869432219999</v>
          </cell>
          <cell r="AM26">
            <v>312752.60922890017</v>
          </cell>
          <cell r="AN26">
            <v>83585.869415160021</v>
          </cell>
          <cell r="AO26" t="str">
            <v>Fixed Price</v>
          </cell>
          <cell r="AP26">
            <v>3452997.8973821141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 t="str">
            <v xml:space="preserve">Boeing </v>
          </cell>
          <cell r="AV26">
            <v>0</v>
          </cell>
          <cell r="AW26">
            <v>2003</v>
          </cell>
          <cell r="AX26" t="str">
            <v>PdE</v>
          </cell>
          <cell r="AY26">
            <v>839.44787504540488</v>
          </cell>
          <cell r="AZ26">
            <v>675.4</v>
          </cell>
          <cell r="BA26">
            <v>0</v>
          </cell>
          <cell r="BB26">
            <v>-66.957258748032444</v>
          </cell>
          <cell r="BC26">
            <v>693.3</v>
          </cell>
          <cell r="BD26" t="str">
            <v/>
          </cell>
          <cell r="BE26">
            <v>4362636524030.9463</v>
          </cell>
          <cell r="BF26">
            <v>2026380208222.6125</v>
          </cell>
        </row>
        <row r="27">
          <cell r="A27" t="str">
            <v>B-2 EHF Increment I</v>
          </cell>
          <cell r="B27">
            <v>377.3</v>
          </cell>
          <cell r="C27" t="str">
            <v/>
          </cell>
          <cell r="D27" t="str">
            <v/>
          </cell>
          <cell r="E27" t="str">
            <v/>
          </cell>
          <cell r="F27">
            <v>0</v>
          </cell>
          <cell r="G27" t="str">
            <v/>
          </cell>
          <cell r="H27" t="str">
            <v/>
          </cell>
          <cell r="I27">
            <v>0</v>
          </cell>
          <cell r="J27">
            <v>0</v>
          </cell>
          <cell r="K27">
            <v>24.4</v>
          </cell>
          <cell r="L27">
            <v>0</v>
          </cell>
          <cell r="M27">
            <v>3.6675770000000001</v>
          </cell>
          <cell r="N27">
            <v>4.557995</v>
          </cell>
          <cell r="O27">
            <v>13.732048220000001</v>
          </cell>
          <cell r="P27">
            <v>35.727398229999999</v>
          </cell>
          <cell r="Q27">
            <v>3.5360503100000003</v>
          </cell>
          <cell r="R27">
            <v>1.5999999999999999E-5</v>
          </cell>
          <cell r="S27">
            <v>8.4464670999999996</v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>
            <v>2.9693589999999999E-2</v>
          </cell>
          <cell r="AC27">
            <v>5.6002150400000001</v>
          </cell>
          <cell r="AD27">
            <v>6.4448119999999998E-2</v>
          </cell>
          <cell r="AE27">
            <v>8.9622998900000006</v>
          </cell>
          <cell r="AF27">
            <v>0</v>
          </cell>
          <cell r="AG27">
            <v>55.010895220000002</v>
          </cell>
          <cell r="AH27">
            <v>0</v>
          </cell>
          <cell r="AI27" t="str">
            <v>None</v>
          </cell>
          <cell r="AJ27">
            <v>66.618238349999999</v>
          </cell>
          <cell r="AK27">
            <v>4.5951620000000002</v>
          </cell>
          <cell r="AL27">
            <v>0</v>
          </cell>
          <cell r="AM27">
            <v>0.16953699999999999</v>
          </cell>
          <cell r="AN27">
            <v>0</v>
          </cell>
          <cell r="AO27" t="str">
            <v>Fixed Price</v>
          </cell>
          <cell r="AP27">
            <v>377.3</v>
          </cell>
          <cell r="AQ27">
            <v>224</v>
          </cell>
          <cell r="AR27" t="str">
            <v>None</v>
          </cell>
          <cell r="AS27" t="str">
            <v>Air Force</v>
          </cell>
          <cell r="AT27" t="str">
            <v>Fixed Wing</v>
          </cell>
          <cell r="AU27" t="str">
            <v>Northrop Grumman</v>
          </cell>
          <cell r="AV27">
            <v>0</v>
          </cell>
          <cell r="AW27">
            <v>2007</v>
          </cell>
          <cell r="AX27" t="str">
            <v>DE</v>
          </cell>
          <cell r="AY27">
            <v>707.90857388131781</v>
          </cell>
          <cell r="AZ27">
            <v>706.1</v>
          </cell>
          <cell r="BA27">
            <v>91.3</v>
          </cell>
          <cell r="BB27">
            <v>-131.12994956540402</v>
          </cell>
          <cell r="BC27">
            <v>659.7</v>
          </cell>
          <cell r="BD27" t="str">
            <v/>
          </cell>
          <cell r="BE27">
            <v>73869096.519038841</v>
          </cell>
          <cell r="BF27">
            <v>1.0603084871918855</v>
          </cell>
        </row>
        <row r="28">
          <cell r="A28" t="str">
            <v>B-2 RMP</v>
          </cell>
          <cell r="B28">
            <v>1210.3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102.926006</v>
          </cell>
          <cell r="M28">
            <v>761.54236200000003</v>
          </cell>
          <cell r="N28">
            <v>4.2429449999999997</v>
          </cell>
          <cell r="O28">
            <v>12.8147495</v>
          </cell>
          <cell r="P28">
            <v>12.63357195</v>
          </cell>
          <cell r="Q28">
            <v>7.0089597300000008</v>
          </cell>
          <cell r="R28">
            <v>2.5000000000000001E-5</v>
          </cell>
          <cell r="S28">
            <v>3.9620484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>
            <v>6.1440839999999997E-2</v>
          </cell>
          <cell r="AC28">
            <v>11.6408179</v>
          </cell>
          <cell r="AD28">
            <v>2.1999999999999999E-5</v>
          </cell>
          <cell r="AE28">
            <v>0.21190220999999998</v>
          </cell>
          <cell r="AF28">
            <v>0</v>
          </cell>
          <cell r="AG28">
            <v>893.21648462999997</v>
          </cell>
          <cell r="AH28">
            <v>0</v>
          </cell>
          <cell r="AI28" t="str">
            <v>None</v>
          </cell>
          <cell r="AJ28">
            <v>867.72667596999997</v>
          </cell>
          <cell r="AK28">
            <v>51.871794209999997</v>
          </cell>
          <cell r="AL28">
            <v>0</v>
          </cell>
          <cell r="AM28">
            <v>3.9378134</v>
          </cell>
          <cell r="AN28">
            <v>0</v>
          </cell>
          <cell r="AO28" t="str">
            <v>Fixed Price</v>
          </cell>
          <cell r="AP28">
            <v>1210.3</v>
          </cell>
          <cell r="AQ28">
            <v>376</v>
          </cell>
          <cell r="AR28" t="str">
            <v>None</v>
          </cell>
          <cell r="AS28" t="str">
            <v>Air Force</v>
          </cell>
          <cell r="AT28" t="str">
            <v>Fixed Wing</v>
          </cell>
          <cell r="AU28" t="str">
            <v>Northrop Grumman</v>
          </cell>
          <cell r="AV28">
            <v>0</v>
          </cell>
          <cell r="AW28">
            <v>2008</v>
          </cell>
          <cell r="AX28" t="str">
            <v>PdE</v>
          </cell>
          <cell r="AY28">
            <v>1389.3842442043428</v>
          </cell>
          <cell r="AZ28">
            <v>1348.4</v>
          </cell>
          <cell r="BA28">
            <v>14.8</v>
          </cell>
          <cell r="BB28">
            <v>-32.413720759467111</v>
          </cell>
          <cell r="BC28">
            <v>1324.5</v>
          </cell>
          <cell r="BD28" t="str">
            <v/>
          </cell>
          <cell r="BE28">
            <v>1035252919.3423291</v>
          </cell>
          <cell r="BF28">
            <v>1.1437607369002645</v>
          </cell>
          <cell r="BG28" t="str">
            <v>Army</v>
          </cell>
          <cell r="BH28" t="str">
            <v>Jun. 2004</v>
          </cell>
          <cell r="BI28" t="b">
            <v>1</v>
          </cell>
        </row>
        <row r="29">
          <cell r="A29" t="str">
            <v>BAMS</v>
          </cell>
          <cell r="B29">
            <v>1585.6</v>
          </cell>
          <cell r="C29" t="str">
            <v/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>
            <v>0</v>
          </cell>
          <cell r="J29">
            <v>0</v>
          </cell>
          <cell r="K29">
            <v>11964.4</v>
          </cell>
          <cell r="L29">
            <v>0.70031299999999996</v>
          </cell>
          <cell r="M29">
            <v>5.5818469999999998</v>
          </cell>
          <cell r="N29">
            <v>0</v>
          </cell>
          <cell r="O29">
            <v>0.51624800000000004</v>
          </cell>
          <cell r="P29">
            <v>0.66678940999999992</v>
          </cell>
          <cell r="Q29">
            <v>0</v>
          </cell>
          <cell r="R29">
            <v>1.0000000000000001E-5</v>
          </cell>
          <cell r="S29">
            <v>466.76823751000001</v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>
            <v>451.66157800000002</v>
          </cell>
          <cell r="AC29">
            <v>3.1053480000000002</v>
          </cell>
          <cell r="AD29">
            <v>0.66679240999999989</v>
          </cell>
          <cell r="AE29">
            <v>0</v>
          </cell>
          <cell r="AF29">
            <v>-0.81112399999999996</v>
          </cell>
          <cell r="AG29">
            <v>19.610850510000002</v>
          </cell>
          <cell r="AH29">
            <v>0</v>
          </cell>
          <cell r="AI29" t="str">
            <v>Full and Open -Multiple Bidders</v>
          </cell>
          <cell r="AJ29">
            <v>388.20746524999998</v>
          </cell>
          <cell r="AK29">
            <v>18.222577999999999</v>
          </cell>
          <cell r="AL29">
            <v>0</v>
          </cell>
          <cell r="AM29">
            <v>440.97365407000001</v>
          </cell>
          <cell r="AN29">
            <v>-0.21164305</v>
          </cell>
          <cell r="AO29" t="str">
            <v>Cost Plus Award/Incentive</v>
          </cell>
          <cell r="AP29">
            <v>1585.6</v>
          </cell>
          <cell r="AQ29">
            <v>373</v>
          </cell>
          <cell r="AR29" t="str">
            <v>None</v>
          </cell>
          <cell r="AS29" t="str">
            <v>Navy</v>
          </cell>
          <cell r="AT29">
            <v>0</v>
          </cell>
          <cell r="AU29" t="str">
            <v>Northrop Grumman</v>
          </cell>
          <cell r="AV29">
            <v>0</v>
          </cell>
          <cell r="AW29">
            <v>2008</v>
          </cell>
          <cell r="AX29" t="str">
            <v>DE</v>
          </cell>
          <cell r="AY29">
            <v>12823.350466799538</v>
          </cell>
          <cell r="AZ29">
            <v>15172.3</v>
          </cell>
          <cell r="BA29">
            <v>552.79999999999995</v>
          </cell>
          <cell r="BB29">
            <v>-15.525018357285219</v>
          </cell>
          <cell r="BC29">
            <v>12224.5</v>
          </cell>
          <cell r="BD29" t="str">
            <v/>
          </cell>
          <cell r="BE29">
            <v>482670915.02595639</v>
          </cell>
          <cell r="BF29">
            <v>1.0177918073816572</v>
          </cell>
          <cell r="BG29" t="str">
            <v>Army</v>
          </cell>
          <cell r="BH29" t="str">
            <v>Jun. 2002</v>
          </cell>
          <cell r="BI29" t="b">
            <v>1</v>
          </cell>
        </row>
        <row r="30">
          <cell r="A30" t="str">
            <v>BMDS</v>
          </cell>
          <cell r="B30">
            <v>80240.100000000006</v>
          </cell>
          <cell r="C30" t="str">
            <v/>
          </cell>
          <cell r="D30">
            <v>0</v>
          </cell>
          <cell r="E30">
            <v>0</v>
          </cell>
          <cell r="F30">
            <v>0</v>
          </cell>
          <cell r="G30" t="str">
            <v/>
          </cell>
          <cell r="H30">
            <v>0</v>
          </cell>
          <cell r="I30">
            <v>0</v>
          </cell>
          <cell r="J30">
            <v>0</v>
          </cell>
          <cell r="K30">
            <v>30258.1</v>
          </cell>
          <cell r="L30">
            <v>114.53456799999999</v>
          </cell>
          <cell r="M30">
            <v>388.378942</v>
          </cell>
          <cell r="N30">
            <v>214.836308</v>
          </cell>
          <cell r="O30">
            <v>499.34675312000002</v>
          </cell>
          <cell r="P30">
            <v>157.56795084999999</v>
          </cell>
          <cell r="Q30">
            <v>43.074666469999997</v>
          </cell>
          <cell r="R30">
            <v>4.1999999999999998E-5</v>
          </cell>
          <cell r="S30">
            <v>264.77487061999994</v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>
            <v>895.42820534999987</v>
          </cell>
          <cell r="AC30">
            <v>194.96193556</v>
          </cell>
          <cell r="AD30">
            <v>32.430274619999999</v>
          </cell>
          <cell r="AE30">
            <v>0.126</v>
          </cell>
          <cell r="AF30">
            <v>1.978</v>
          </cell>
          <cell r="AG30">
            <v>557.58968553</v>
          </cell>
          <cell r="AH30">
            <v>0</v>
          </cell>
          <cell r="AI30" t="str">
            <v>Full and Open -Multiple Bidders</v>
          </cell>
          <cell r="AJ30">
            <v>565.49556466999991</v>
          </cell>
          <cell r="AK30">
            <v>618.17192490000002</v>
          </cell>
          <cell r="AL30">
            <v>0</v>
          </cell>
          <cell r="AM30">
            <v>409.40411692000004</v>
          </cell>
          <cell r="AN30">
            <v>342.82138900000001</v>
          </cell>
          <cell r="AO30" t="str">
            <v>Unclear</v>
          </cell>
          <cell r="AP30">
            <v>80240.100000000006</v>
          </cell>
          <cell r="AQ30">
            <v>362</v>
          </cell>
          <cell r="AR30" t="str">
            <v>None</v>
          </cell>
          <cell r="AS30" t="str">
            <v>DoD-wide</v>
          </cell>
          <cell r="AT30">
            <v>0</v>
          </cell>
          <cell r="AU30" t="str">
            <v>Boeing, Lockheed Martin, Northrop Grumman, Raytheon, TRW Systems (Northrop Grumman)</v>
          </cell>
          <cell r="AV30">
            <v>0</v>
          </cell>
          <cell r="AW30">
            <v>2002</v>
          </cell>
          <cell r="AX30" t="str">
            <v>PE</v>
          </cell>
          <cell r="AY30">
            <v>93367.119901112485</v>
          </cell>
          <cell r="AZ30">
            <v>86998</v>
          </cell>
          <cell r="BA30">
            <v>8217.1</v>
          </cell>
          <cell r="BB30">
            <v>-9887.2682323856607</v>
          </cell>
          <cell r="BC30">
            <v>75534</v>
          </cell>
          <cell r="BD30" t="str">
            <v/>
          </cell>
          <cell r="BE30">
            <v>1845877035.4336121</v>
          </cell>
          <cell r="BF30">
            <v>1.097094541003069</v>
          </cell>
        </row>
        <row r="31">
          <cell r="A31" t="str">
            <v>BDMS (RDT&amp;E)</v>
          </cell>
          <cell r="B31">
            <v>17348.8</v>
          </cell>
          <cell r="C31">
            <v>0</v>
          </cell>
          <cell r="D31">
            <v>0</v>
          </cell>
          <cell r="E31">
            <v>7775.2</v>
          </cell>
          <cell r="F31">
            <v>9573.6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40326.199999999997</v>
          </cell>
          <cell r="L31">
            <v>204041.18677536995</v>
          </cell>
          <cell r="M31">
            <v>232158.67761350988</v>
          </cell>
          <cell r="N31">
            <v>285001.14913036983</v>
          </cell>
          <cell r="O31">
            <v>269313.55681396055</v>
          </cell>
          <cell r="P31">
            <v>358084.57709169737</v>
          </cell>
          <cell r="Q31">
            <v>377899.75884614955</v>
          </cell>
          <cell r="R31">
            <v>4.2419999999999999E-2</v>
          </cell>
          <cell r="S31">
            <v>299881.25952939951</v>
          </cell>
          <cell r="T31" t="str">
            <v/>
          </cell>
          <cell r="U31" t="str">
            <v/>
          </cell>
          <cell r="V31">
            <v>36.65515345333494</v>
          </cell>
          <cell r="W31">
            <v>28.130855353676832</v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>
            <v>866479.76275145903</v>
          </cell>
          <cell r="AC31">
            <v>212923.54556321035</v>
          </cell>
          <cell r="AD31">
            <v>199196.32976570804</v>
          </cell>
          <cell r="AE31">
            <v>46994.841220860013</v>
          </cell>
          <cell r="AF31">
            <v>8296.3674329900005</v>
          </cell>
          <cell r="AG31">
            <v>691902.30516076973</v>
          </cell>
          <cell r="AH31">
            <v>587.05632546000004</v>
          </cell>
          <cell r="AI31" t="str">
            <v>Unclear</v>
          </cell>
          <cell r="AJ31">
            <v>1685322.8887142679</v>
          </cell>
          <cell r="AK31">
            <v>365687.84264591977</v>
          </cell>
          <cell r="AL31">
            <v>6828.4347161099995</v>
          </cell>
          <cell r="AM31">
            <v>156376.30461445008</v>
          </cell>
          <cell r="AN31">
            <v>41792.934707580011</v>
          </cell>
          <cell r="AO31" t="str">
            <v>Fixed Price</v>
          </cell>
          <cell r="AP31">
            <v>1726498.948691057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2002</v>
          </cell>
          <cell r="AX31" t="str">
            <v>PE</v>
          </cell>
          <cell r="AY31">
            <v>55302.96662546353</v>
          </cell>
          <cell r="AZ31">
            <v>47217.1</v>
          </cell>
          <cell r="BA31">
            <v>0</v>
          </cell>
          <cell r="BB31">
            <v>-3.9555006180469716</v>
          </cell>
          <cell r="BC31">
            <v>44740.1</v>
          </cell>
          <cell r="BD31" t="str">
            <v/>
          </cell>
          <cell r="BE31">
            <v>4362636524030.9463</v>
          </cell>
          <cell r="BF31">
            <v>2026380208222.6125</v>
          </cell>
        </row>
        <row r="32">
          <cell r="A32" t="str">
            <v>BRADLEY UPGRADE</v>
          </cell>
          <cell r="B32" t="e">
            <v>#VALUE!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>
            <v>102.473467</v>
          </cell>
          <cell r="M32">
            <v>1262.823699</v>
          </cell>
          <cell r="N32">
            <v>201.44940600000001</v>
          </cell>
          <cell r="O32">
            <v>86.890475059999986</v>
          </cell>
          <cell r="P32">
            <v>51.830487239999989</v>
          </cell>
          <cell r="Q32">
            <v>9.3438501200000008</v>
          </cell>
          <cell r="R32">
            <v>1.2999999999999999E-5</v>
          </cell>
          <cell r="S32">
            <v>5.6687190400000009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>
            <v>12.117244960000001</v>
          </cell>
          <cell r="AC32">
            <v>4.1705408999999998</v>
          </cell>
          <cell r="AD32">
            <v>59.546407909999999</v>
          </cell>
          <cell r="AE32">
            <v>15.49671682</v>
          </cell>
          <cell r="AF32">
            <v>1.2766649999999999</v>
          </cell>
          <cell r="AG32">
            <v>1627.0674238699999</v>
          </cell>
          <cell r="AH32">
            <v>0.80511699999999997</v>
          </cell>
          <cell r="AI32" t="str">
            <v>None</v>
          </cell>
          <cell r="AJ32">
            <v>1662.0766761199998</v>
          </cell>
          <cell r="AK32">
            <v>43.150026709999999</v>
          </cell>
          <cell r="AL32">
            <v>-2.5000000000000001E-4</v>
          </cell>
          <cell r="AM32">
            <v>58.417011000000002</v>
          </cell>
          <cell r="AN32">
            <v>2.5979830000000002</v>
          </cell>
          <cell r="AO32" t="str">
            <v>Fixed Price</v>
          </cell>
          <cell r="AP32" t="e">
            <v>#VALUE!</v>
          </cell>
          <cell r="AQ32">
            <v>601</v>
          </cell>
          <cell r="AR32" t="str">
            <v>None</v>
          </cell>
          <cell r="AS32" t="str">
            <v>Army</v>
          </cell>
          <cell r="AT32" t="str">
            <v>AFV</v>
          </cell>
          <cell r="AU32" t="str">
            <v>BAE</v>
          </cell>
          <cell r="AV32">
            <v>0</v>
          </cell>
          <cell r="AW32">
            <v>2001</v>
          </cell>
          <cell r="AX32" t="str">
            <v>PdE</v>
          </cell>
          <cell r="AY32">
            <v>4679.231059178288</v>
          </cell>
          <cell r="AZ32">
            <v>3859.8</v>
          </cell>
          <cell r="BA32" t="str">
            <v/>
          </cell>
          <cell r="BB32">
            <v>-1391.2551828119108</v>
          </cell>
          <cell r="BC32">
            <v>3724.2</v>
          </cell>
          <cell r="BD32" t="str">
            <v/>
          </cell>
          <cell r="BE32">
            <v>1954517146.949399</v>
          </cell>
          <cell r="BF32">
            <v>1.1360300698917378</v>
          </cell>
        </row>
        <row r="33">
          <cell r="A33" t="str">
            <v>C-130AMP</v>
          </cell>
          <cell r="B33">
            <v>1985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 t="str">
            <v/>
          </cell>
          <cell r="H33">
            <v>0</v>
          </cell>
          <cell r="I33">
            <v>0</v>
          </cell>
          <cell r="J33">
            <v>0</v>
          </cell>
          <cell r="K33" t="str">
            <v>-</v>
          </cell>
          <cell r="L33">
            <v>36.330038000000002</v>
          </cell>
          <cell r="M33">
            <v>2.447044</v>
          </cell>
          <cell r="N33">
            <v>65.736508000000001</v>
          </cell>
          <cell r="O33">
            <v>6.4359837200000003</v>
          </cell>
          <cell r="P33">
            <v>41.263454620000005</v>
          </cell>
          <cell r="Q33">
            <v>1.5693330300000001</v>
          </cell>
          <cell r="R33">
            <v>1.4E-5</v>
          </cell>
          <cell r="S33">
            <v>130.91150998999998</v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>
            <v>43.474261159999998</v>
          </cell>
          <cell r="AC33">
            <v>6.7778134900000007</v>
          </cell>
          <cell r="AD33">
            <v>4.3010655800000004</v>
          </cell>
          <cell r="AE33">
            <v>0.47651452</v>
          </cell>
          <cell r="AF33">
            <v>0</v>
          </cell>
          <cell r="AG33">
            <v>229.66423060999998</v>
          </cell>
          <cell r="AH33">
            <v>0</v>
          </cell>
          <cell r="AI33" t="str">
            <v>None</v>
          </cell>
          <cell r="AJ33">
            <v>380.32588957999997</v>
          </cell>
          <cell r="AK33">
            <v>11.312527560000001</v>
          </cell>
          <cell r="AL33">
            <v>0</v>
          </cell>
          <cell r="AM33">
            <v>5.6390320999999997</v>
          </cell>
          <cell r="AN33">
            <v>1.1383559999999999</v>
          </cell>
          <cell r="AO33" t="str">
            <v>Fixed Price</v>
          </cell>
          <cell r="AP33">
            <v>1985</v>
          </cell>
          <cell r="AQ33">
            <v>298</v>
          </cell>
          <cell r="AR33" t="str">
            <v>None</v>
          </cell>
          <cell r="AS33" t="str">
            <v>Air Force</v>
          </cell>
          <cell r="AT33" t="str">
            <v>Fixed Wing</v>
          </cell>
          <cell r="AU33" t="str">
            <v>Boeing</v>
          </cell>
          <cell r="AV33">
            <v>0</v>
          </cell>
          <cell r="AW33">
            <v>2010</v>
          </cell>
          <cell r="AX33" t="str">
            <v>PdE</v>
          </cell>
          <cell r="AY33">
            <v>6092.8798931470255</v>
          </cell>
          <cell r="AZ33">
            <v>6300.3</v>
          </cell>
          <cell r="BA33">
            <v>214.6</v>
          </cell>
          <cell r="BB33">
            <v>-85.893352512072326</v>
          </cell>
          <cell r="BC33">
            <v>5930.2</v>
          </cell>
          <cell r="BD33" t="str">
            <v/>
          </cell>
          <cell r="BE33">
            <v>303179647.12418866</v>
          </cell>
          <cell r="BF33">
            <v>1.0649320646307985</v>
          </cell>
        </row>
        <row r="34">
          <cell r="A34" t="str">
            <v>C-130J</v>
          </cell>
          <cell r="B34">
            <v>9662.2000000000007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str">
            <v/>
          </cell>
          <cell r="H34">
            <v>0</v>
          </cell>
          <cell r="I34">
            <v>0</v>
          </cell>
          <cell r="J34">
            <v>0</v>
          </cell>
          <cell r="K34">
            <v>5672.2</v>
          </cell>
          <cell r="L34">
            <v>319.239059</v>
          </cell>
          <cell r="M34">
            <v>121.518243</v>
          </cell>
          <cell r="N34">
            <v>384.30367699999999</v>
          </cell>
          <cell r="O34">
            <v>1134.4768776200001</v>
          </cell>
          <cell r="P34">
            <v>240.51698983999998</v>
          </cell>
          <cell r="Q34">
            <v>167.44456946999995</v>
          </cell>
          <cell r="R34">
            <v>9.7999999999999997E-5</v>
          </cell>
          <cell r="S34">
            <v>3251.5712579599995</v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>
            <v>514.76794047999999</v>
          </cell>
          <cell r="AC34">
            <v>46.423062170000001</v>
          </cell>
          <cell r="AD34">
            <v>12.649288720000001</v>
          </cell>
          <cell r="AE34">
            <v>6.4327156500000005</v>
          </cell>
          <cell r="AF34">
            <v>229.355178</v>
          </cell>
          <cell r="AG34">
            <v>4809.4425868699973</v>
          </cell>
          <cell r="AH34">
            <v>0</v>
          </cell>
          <cell r="AI34" t="str">
            <v>None</v>
          </cell>
          <cell r="AJ34">
            <v>7955.9898419799993</v>
          </cell>
          <cell r="AK34">
            <v>397.46847415999997</v>
          </cell>
          <cell r="AL34">
            <v>0</v>
          </cell>
          <cell r="AM34">
            <v>268.58583169999997</v>
          </cell>
          <cell r="AN34">
            <v>-10.312514999999999</v>
          </cell>
          <cell r="AO34" t="str">
            <v>Fixed Price</v>
          </cell>
          <cell r="AP34">
            <v>9662.2000000000007</v>
          </cell>
          <cell r="AQ34">
            <v>220</v>
          </cell>
          <cell r="AR34" t="str">
            <v>None</v>
          </cell>
          <cell r="AS34" t="str">
            <v>Air Force</v>
          </cell>
          <cell r="AT34" t="str">
            <v>Fixed Wing</v>
          </cell>
          <cell r="AU34" t="str">
            <v>Lockheed Martin</v>
          </cell>
          <cell r="AV34">
            <v>0</v>
          </cell>
          <cell r="AW34">
            <v>1996</v>
          </cell>
          <cell r="AX34" t="str">
            <v>PdE</v>
          </cell>
          <cell r="AY34">
            <v>1001.3704262025491</v>
          </cell>
          <cell r="AZ34">
            <v>839.7</v>
          </cell>
          <cell r="BA34">
            <v>246.6</v>
          </cell>
          <cell r="BB34">
            <v>876.11347128957095</v>
          </cell>
          <cell r="BC34">
            <v>730.7</v>
          </cell>
          <cell r="BD34" t="str">
            <v/>
          </cell>
          <cell r="BE34">
            <v>5905557424.3133812</v>
          </cell>
          <cell r="BF34">
            <v>1.0509847026409711</v>
          </cell>
        </row>
        <row r="35">
          <cell r="A35" t="str">
            <v>C-17A</v>
          </cell>
          <cell r="B35">
            <v>68422.3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 t="str">
            <v/>
          </cell>
          <cell r="H35">
            <v>0</v>
          </cell>
          <cell r="I35">
            <v>2742.2</v>
          </cell>
          <cell r="J35">
            <v>305.89999999999998</v>
          </cell>
          <cell r="K35">
            <v>842.6</v>
          </cell>
          <cell r="L35">
            <v>2099.3743359999999</v>
          </cell>
          <cell r="M35">
            <v>1952.127021</v>
          </cell>
          <cell r="N35">
            <v>2070.678703</v>
          </cell>
          <cell r="O35">
            <v>5969.4180028700021</v>
          </cell>
          <cell r="P35">
            <v>2035.5751906500002</v>
          </cell>
          <cell r="Q35">
            <v>522.50102842999991</v>
          </cell>
          <cell r="R35">
            <v>7.8999999999999996E-5</v>
          </cell>
          <cell r="S35">
            <v>3650.0244970699996</v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>
            <v>2.8808985486106046E-8</v>
          </cell>
          <cell r="AA35">
            <v>11.932084004805491</v>
          </cell>
          <cell r="AB35">
            <v>1738.5657051599999</v>
          </cell>
          <cell r="AC35">
            <v>1485.1443930500002</v>
          </cell>
          <cell r="AD35">
            <v>24.261270950000004</v>
          </cell>
          <cell r="AE35">
            <v>44.337810950000005</v>
          </cell>
          <cell r="AF35">
            <v>-7.738302</v>
          </cell>
          <cell r="AG35">
            <v>15015.127979909999</v>
          </cell>
          <cell r="AH35">
            <v>0</v>
          </cell>
          <cell r="AI35" t="str">
            <v>None</v>
          </cell>
          <cell r="AJ35">
            <v>21100.4782696</v>
          </cell>
          <cell r="AK35">
            <v>760.99302568000007</v>
          </cell>
          <cell r="AL35">
            <v>0</v>
          </cell>
          <cell r="AM35">
            <v>161.80812149000002</v>
          </cell>
          <cell r="AN35">
            <v>87.406453999999997</v>
          </cell>
          <cell r="AO35" t="str">
            <v>Fixed Price</v>
          </cell>
          <cell r="AP35">
            <v>68422.3</v>
          </cell>
          <cell r="AQ35">
            <v>200</v>
          </cell>
          <cell r="AR35" t="str">
            <v>None</v>
          </cell>
          <cell r="AS35" t="str">
            <v>Air Force</v>
          </cell>
          <cell r="AT35" t="str">
            <v>Fixed Wing</v>
          </cell>
          <cell r="AU35" t="str">
            <v>Boeing</v>
          </cell>
          <cell r="AV35">
            <v>0</v>
          </cell>
          <cell r="AW35">
            <v>1996</v>
          </cell>
          <cell r="AX35" t="str">
            <v>PdE</v>
          </cell>
          <cell r="AY35">
            <v>56531.314238728242</v>
          </cell>
          <cell r="AZ35">
            <v>41811.9</v>
          </cell>
          <cell r="BA35">
            <v>0</v>
          </cell>
          <cell r="BB35">
            <v>20484.993833082088</v>
          </cell>
          <cell r="BC35">
            <v>41250.9</v>
          </cell>
          <cell r="BD35" t="str">
            <v/>
          </cell>
          <cell r="BE35">
            <v>19792028497.237236</v>
          </cell>
          <cell r="BF35">
            <v>1.0815494096813081</v>
          </cell>
        </row>
        <row r="36">
          <cell r="A36" t="str">
            <v>C-5 AMP</v>
          </cell>
          <cell r="B36">
            <v>1147.9000000000001</v>
          </cell>
          <cell r="C36" t="str">
            <v/>
          </cell>
          <cell r="D36" t="str">
            <v/>
          </cell>
          <cell r="E36">
            <v>0</v>
          </cell>
          <cell r="F36">
            <v>0</v>
          </cell>
          <cell r="G36" t="str">
            <v/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3.5574000000000001E-2</v>
          </cell>
          <cell r="M36">
            <v>0</v>
          </cell>
          <cell r="N36">
            <v>-0.27825800000000001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>
            <v>3.5574000000000001E-2</v>
          </cell>
          <cell r="AC36">
            <v>0</v>
          </cell>
          <cell r="AD36">
            <v>-0.27825800000000001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Unclear</v>
          </cell>
          <cell r="AJ36">
            <v>-0.24268400000000001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 t="str">
            <v>Unclear</v>
          </cell>
          <cell r="AP36">
            <v>1147.9000000000001</v>
          </cell>
          <cell r="AQ36">
            <v>273</v>
          </cell>
          <cell r="AR36" t="str">
            <v>None</v>
          </cell>
          <cell r="AS36" t="str">
            <v>Air Force</v>
          </cell>
          <cell r="AT36" t="str">
            <v>Fixed Wing</v>
          </cell>
          <cell r="AU36" t="str">
            <v>Lockheed Martin</v>
          </cell>
          <cell r="AV36">
            <v>0</v>
          </cell>
          <cell r="AW36">
            <v>2006</v>
          </cell>
          <cell r="AX36" t="str">
            <v>PdE</v>
          </cell>
          <cell r="AY36">
            <v>981.98297778269045</v>
          </cell>
          <cell r="AZ36">
            <v>856.3</v>
          </cell>
          <cell r="BA36">
            <v>0</v>
          </cell>
          <cell r="BB36">
            <v>37.139383220957228</v>
          </cell>
          <cell r="BC36">
            <v>888.4</v>
          </cell>
          <cell r="BD36" t="str">
            <v/>
          </cell>
          <cell r="BE36">
            <v>41995.041907685045</v>
          </cell>
          <cell r="BF36">
            <v>-0.17304413108274566</v>
          </cell>
        </row>
        <row r="37">
          <cell r="A37" t="str">
            <v>C-5 RERP</v>
          </cell>
          <cell r="B37">
            <v>3597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 t="str">
            <v/>
          </cell>
          <cell r="H37">
            <v>0</v>
          </cell>
          <cell r="I37">
            <v>0</v>
          </cell>
          <cell r="J37">
            <v>0</v>
          </cell>
          <cell r="K37">
            <v>1497.8</v>
          </cell>
          <cell r="L37">
            <v>50.205886999999997</v>
          </cell>
          <cell r="M37">
            <v>1.714402</v>
          </cell>
          <cell r="N37">
            <v>2.3651219999999999</v>
          </cell>
          <cell r="O37">
            <v>25.875720000000001</v>
          </cell>
          <cell r="P37">
            <v>0</v>
          </cell>
          <cell r="Q37">
            <v>0</v>
          </cell>
          <cell r="R37">
            <v>1.0000000000000001E-5</v>
          </cell>
          <cell r="S37">
            <v>727.66477564000002</v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>
            <v>43.922576999999997</v>
          </cell>
          <cell r="AC37">
            <v>0.67972900000000003</v>
          </cell>
          <cell r="AD37">
            <v>1.2857179999999999</v>
          </cell>
          <cell r="AE37">
            <v>9.6242999999999995E-2</v>
          </cell>
          <cell r="AF37">
            <v>0</v>
          </cell>
          <cell r="AG37">
            <v>761.84164964000001</v>
          </cell>
          <cell r="AH37">
            <v>0</v>
          </cell>
          <cell r="AI37" t="str">
            <v>None</v>
          </cell>
          <cell r="AJ37">
            <v>1298.40681064</v>
          </cell>
          <cell r="AK37">
            <v>10.068509039999999</v>
          </cell>
          <cell r="AL37">
            <v>0</v>
          </cell>
          <cell r="AM37">
            <v>8.3849513900000012</v>
          </cell>
          <cell r="AN37">
            <v>0.116093</v>
          </cell>
          <cell r="AO37" t="str">
            <v>Fixed Price</v>
          </cell>
          <cell r="AP37">
            <v>3597</v>
          </cell>
          <cell r="AQ37">
            <v>327</v>
          </cell>
          <cell r="AR37" t="str">
            <v>None</v>
          </cell>
          <cell r="AS37" t="str">
            <v>Air Force</v>
          </cell>
          <cell r="AT37" t="str">
            <v>Fixed Wing</v>
          </cell>
          <cell r="AU37" t="str">
            <v>Lockheed Martin</v>
          </cell>
          <cell r="AV37">
            <v>0</v>
          </cell>
          <cell r="AW37">
            <v>2008</v>
          </cell>
          <cell r="AX37" t="str">
            <v>PdE</v>
          </cell>
          <cell r="AY37">
            <v>7496.695688660443</v>
          </cell>
          <cell r="AZ37">
            <v>7694.1</v>
          </cell>
          <cell r="BA37">
            <v>1102.5999999999999</v>
          </cell>
          <cell r="BB37">
            <v>29.791251442358121</v>
          </cell>
          <cell r="BC37">
            <v>7146.6</v>
          </cell>
          <cell r="BD37" t="str">
            <v/>
          </cell>
          <cell r="BE37">
            <v>829381607.46760714</v>
          </cell>
          <cell r="BF37">
            <v>1.026683584152962</v>
          </cell>
          <cell r="BI37" t="str">
            <v>MAYBE</v>
          </cell>
        </row>
        <row r="38">
          <cell r="A38" t="str">
            <v>CEC</v>
          </cell>
          <cell r="B38">
            <v>3645.7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str">
            <v/>
          </cell>
          <cell r="H38">
            <v>0</v>
          </cell>
          <cell r="I38">
            <v>0</v>
          </cell>
          <cell r="J38">
            <v>0</v>
          </cell>
          <cell r="K38">
            <v>863.9</v>
          </cell>
          <cell r="L38">
            <v>138.652931</v>
          </cell>
          <cell r="M38">
            <v>144.71986100000001</v>
          </cell>
          <cell r="N38">
            <v>7.6938979999999999</v>
          </cell>
          <cell r="O38">
            <v>45.292369999999998</v>
          </cell>
          <cell r="P38">
            <v>19.678066050000002</v>
          </cell>
          <cell r="Q38">
            <v>22.441253280000002</v>
          </cell>
          <cell r="R38">
            <v>1.8E-5</v>
          </cell>
          <cell r="S38">
            <v>68.745560799999993</v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>
            <v>95.663755690000002</v>
          </cell>
          <cell r="AC38">
            <v>51.372377</v>
          </cell>
          <cell r="AD38">
            <v>0.78369844</v>
          </cell>
          <cell r="AE38">
            <v>55.636898000000002</v>
          </cell>
          <cell r="AF38">
            <v>0</v>
          </cell>
          <cell r="AG38">
            <v>243.76722899999999</v>
          </cell>
          <cell r="AH38">
            <v>0</v>
          </cell>
          <cell r="AI38" t="str">
            <v>None</v>
          </cell>
          <cell r="AJ38">
            <v>489.93305104000001</v>
          </cell>
          <cell r="AK38">
            <v>47.055475080000001</v>
          </cell>
          <cell r="AL38">
            <v>0</v>
          </cell>
          <cell r="AM38">
            <v>3.6583700000000001</v>
          </cell>
          <cell r="AN38">
            <v>4.6535169999999999</v>
          </cell>
          <cell r="AO38" t="str">
            <v>Fixed Price</v>
          </cell>
          <cell r="AP38">
            <v>3645.7</v>
          </cell>
          <cell r="AQ38">
            <v>582</v>
          </cell>
          <cell r="AR38" t="str">
            <v>None</v>
          </cell>
          <cell r="AS38" t="str">
            <v>Navy</v>
          </cell>
          <cell r="AT38">
            <v>0</v>
          </cell>
          <cell r="AU38" t="str">
            <v>Raytheon</v>
          </cell>
          <cell r="AV38">
            <v>0</v>
          </cell>
          <cell r="AW38">
            <v>2002</v>
          </cell>
          <cell r="AX38" t="str">
            <v>PdE</v>
          </cell>
          <cell r="AY38">
            <v>5096.7861557478363</v>
          </cell>
          <cell r="AZ38">
            <v>4310.7</v>
          </cell>
          <cell r="BA38">
            <v>118.6</v>
          </cell>
          <cell r="BB38">
            <v>277.99752781211373</v>
          </cell>
          <cell r="BC38">
            <v>4123.3</v>
          </cell>
          <cell r="BD38" t="str">
            <v/>
          </cell>
          <cell r="BE38">
            <v>499850952.03100753</v>
          </cell>
          <cell r="BF38">
            <v>1.1176748091069615</v>
          </cell>
        </row>
        <row r="39">
          <cell r="A39" t="str">
            <v>CH-47F</v>
          </cell>
          <cell r="B39">
            <v>8407.7999999999993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 t="str">
            <v/>
          </cell>
          <cell r="H39">
            <v>0</v>
          </cell>
          <cell r="I39">
            <v>0</v>
          </cell>
          <cell r="J39">
            <v>0</v>
          </cell>
          <cell r="K39">
            <v>3475.6</v>
          </cell>
          <cell r="L39">
            <v>564.93615599999998</v>
          </cell>
          <cell r="M39">
            <v>2636.0016936399998</v>
          </cell>
          <cell r="N39">
            <v>2708.9376669000003</v>
          </cell>
          <cell r="O39">
            <v>2436.1025476199998</v>
          </cell>
          <cell r="P39">
            <v>1061.1079404299994</v>
          </cell>
          <cell r="Q39">
            <v>514.80746733000001</v>
          </cell>
          <cell r="R39">
            <v>1.2999999999999999E-5</v>
          </cell>
          <cell r="S39">
            <v>127.48475487999998</v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3.0881685300000004</v>
          </cell>
          <cell r="AC39">
            <v>10.654993699999999</v>
          </cell>
          <cell r="AD39">
            <v>97.715314390000003</v>
          </cell>
          <cell r="AE39">
            <v>2.6019639400000001</v>
          </cell>
          <cell r="AF39">
            <v>-0.227632</v>
          </cell>
          <cell r="AG39">
            <v>9935.5454312399979</v>
          </cell>
          <cell r="AH39">
            <v>0</v>
          </cell>
          <cell r="AI39" t="str">
            <v>None</v>
          </cell>
          <cell r="AJ39">
            <v>7957.2850709799986</v>
          </cell>
          <cell r="AK39">
            <v>2474.2597260100001</v>
          </cell>
          <cell r="AL39">
            <v>0</v>
          </cell>
          <cell r="AM39">
            <v>-1.1065590000000001</v>
          </cell>
          <cell r="AN39">
            <v>1.31432646</v>
          </cell>
          <cell r="AO39" t="str">
            <v>Fixed Price</v>
          </cell>
          <cell r="AP39">
            <v>9921.8934849199995</v>
          </cell>
          <cell r="AQ39">
            <v>278</v>
          </cell>
          <cell r="AR39" t="str">
            <v>None</v>
          </cell>
          <cell r="AS39" t="str">
            <v>Army</v>
          </cell>
          <cell r="AT39" t="str">
            <v>Helicopter</v>
          </cell>
          <cell r="AU39" t="str">
            <v>Boeing</v>
          </cell>
          <cell r="AV39">
            <v>0</v>
          </cell>
          <cell r="AW39">
            <v>2005</v>
          </cell>
          <cell r="AX39" t="str">
            <v>PdE</v>
          </cell>
          <cell r="AY39">
            <v>12135.36069509546</v>
          </cell>
          <cell r="AZ39">
            <v>12147.4</v>
          </cell>
          <cell r="BA39">
            <v>1307</v>
          </cell>
          <cell r="BB39">
            <v>1365.1537670058303</v>
          </cell>
          <cell r="BC39">
            <v>10614.8</v>
          </cell>
          <cell r="BD39" t="str">
            <v/>
          </cell>
          <cell r="BE39">
            <v>11065599974.408726</v>
          </cell>
          <cell r="BF39">
            <v>1.101122846643789</v>
          </cell>
        </row>
        <row r="40">
          <cell r="A40" t="str">
            <v>CH-53K</v>
          </cell>
          <cell r="B40">
            <v>2691.1</v>
          </cell>
          <cell r="C40" t="str">
            <v/>
          </cell>
          <cell r="D40" t="str">
            <v/>
          </cell>
          <cell r="E40">
            <v>0</v>
          </cell>
          <cell r="F40">
            <v>0</v>
          </cell>
          <cell r="G40" t="str">
            <v/>
          </cell>
          <cell r="H40">
            <v>0</v>
          </cell>
          <cell r="I40">
            <v>0</v>
          </cell>
          <cell r="J40">
            <v>0</v>
          </cell>
          <cell r="K40">
            <v>22705</v>
          </cell>
          <cell r="L40">
            <v>1.41791</v>
          </cell>
          <cell r="M40">
            <v>1.4079950000000001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0.43130099999999999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3.257206</v>
          </cell>
          <cell r="AH40">
            <v>0</v>
          </cell>
          <cell r="AI40" t="str">
            <v>None</v>
          </cell>
          <cell r="AJ40">
            <v>2.8259050000000001</v>
          </cell>
          <cell r="AK40">
            <v>0.43130099999999999</v>
          </cell>
          <cell r="AL40">
            <v>0</v>
          </cell>
          <cell r="AM40">
            <v>0</v>
          </cell>
          <cell r="AN40">
            <v>0</v>
          </cell>
          <cell r="AO40" t="str">
            <v>Fixed Price</v>
          </cell>
          <cell r="AP40">
            <v>2691.1</v>
          </cell>
          <cell r="AQ40">
            <v>390</v>
          </cell>
          <cell r="AR40" t="str">
            <v>None</v>
          </cell>
          <cell r="AS40" t="str">
            <v>Navy</v>
          </cell>
          <cell r="AT40" t="str">
            <v>Helicopter</v>
          </cell>
          <cell r="AU40" t="str">
            <v>Sikorsky Aircraft Corporation (UTC)</v>
          </cell>
          <cell r="AV40">
            <v>0</v>
          </cell>
          <cell r="AW40">
            <v>2006</v>
          </cell>
          <cell r="AX40" t="str">
            <v>DE</v>
          </cell>
          <cell r="AY40">
            <v>16558.969824251133</v>
          </cell>
          <cell r="AZ40">
            <v>18766.3</v>
          </cell>
          <cell r="BA40">
            <v>624.5</v>
          </cell>
          <cell r="BB40">
            <v>1271.0290704100807</v>
          </cell>
          <cell r="BC40">
            <v>14980.9</v>
          </cell>
          <cell r="BD40" t="str">
            <v/>
          </cell>
          <cell r="BE40">
            <v>3720821.0958052743</v>
          </cell>
          <cell r="BF40">
            <v>1.1423352087050296</v>
          </cell>
          <cell r="BI40" t="b">
            <v>1</v>
          </cell>
        </row>
        <row r="41">
          <cell r="A41" t="str">
            <v>CHEM DEMIL-ACWA</v>
          </cell>
          <cell r="B41">
            <v>3361.6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 t="str">
            <v/>
          </cell>
          <cell r="H41">
            <v>0</v>
          </cell>
          <cell r="I41">
            <v>0</v>
          </cell>
          <cell r="J41">
            <v>0</v>
          </cell>
          <cell r="K41">
            <v>5999.7</v>
          </cell>
          <cell r="L41">
            <v>219.927278</v>
          </cell>
          <cell r="M41">
            <v>356.15565800000002</v>
          </cell>
          <cell r="N41">
            <v>348.29605099999998</v>
          </cell>
          <cell r="O41">
            <v>474.22179344</v>
          </cell>
          <cell r="P41">
            <v>639.19935089000001</v>
          </cell>
          <cell r="Q41">
            <v>621.40495405999991</v>
          </cell>
          <cell r="R41">
            <v>5.0000000000000004E-6</v>
          </cell>
          <cell r="S41">
            <v>579.69888557999991</v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>
            <v>3238.9039759699999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Full and Open -Multiple Bidders</v>
          </cell>
          <cell r="AJ41">
            <v>0</v>
          </cell>
          <cell r="AK41">
            <v>2689.6888229599999</v>
          </cell>
          <cell r="AL41">
            <v>76.179041359999999</v>
          </cell>
          <cell r="AM41">
            <v>1172.00481279</v>
          </cell>
          <cell r="AN41">
            <v>45.267000000000003</v>
          </cell>
          <cell r="AO41" t="str">
            <v>Cost (All Other; Including Time and Materials and Labor)</v>
          </cell>
          <cell r="AP41">
            <v>3361.6</v>
          </cell>
          <cell r="AQ41">
            <v>243</v>
          </cell>
          <cell r="AR41" t="str">
            <v>None</v>
          </cell>
          <cell r="AS41" t="str">
            <v>DoD-wide</v>
          </cell>
          <cell r="AT41">
            <v>0</v>
          </cell>
          <cell r="AU41" t="str">
            <v>Bechtel National &amp; Bechtel/Parsons JV</v>
          </cell>
          <cell r="AV41">
            <v>0</v>
          </cell>
          <cell r="AW41">
            <v>2011</v>
          </cell>
          <cell r="AX41" t="str">
            <v>PdE/DE</v>
          </cell>
          <cell r="AY41">
            <v>2632.36337828247</v>
          </cell>
          <cell r="AZ41">
            <v>2430.4</v>
          </cell>
          <cell r="BA41">
            <v>477.1</v>
          </cell>
          <cell r="BB41">
            <v>7979.9249721180176</v>
          </cell>
          <cell r="BC41">
            <v>2596.3000000000002</v>
          </cell>
          <cell r="BD41" t="str">
            <v/>
          </cell>
          <cell r="BE41">
            <v>3462199495.7455072</v>
          </cell>
          <cell r="BF41">
            <v>1.0689416918291423</v>
          </cell>
        </row>
        <row r="42">
          <cell r="A42" t="str">
            <v>CHEM DEMIL-CMA</v>
          </cell>
          <cell r="B42">
            <v>20282.2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str">
            <v/>
          </cell>
          <cell r="H42">
            <v>0</v>
          </cell>
          <cell r="I42">
            <v>0</v>
          </cell>
          <cell r="J42">
            <v>0</v>
          </cell>
          <cell r="K42">
            <v>2754.3</v>
          </cell>
          <cell r="L42">
            <v>146.36632900000001</v>
          </cell>
          <cell r="M42">
            <v>161.62508199999999</v>
          </cell>
          <cell r="N42">
            <v>183.08299196000002</v>
          </cell>
          <cell r="O42">
            <v>57.501263000000002</v>
          </cell>
          <cell r="P42">
            <v>15.914024230000003</v>
          </cell>
          <cell r="Q42">
            <v>3.8361282200000004</v>
          </cell>
          <cell r="R42">
            <v>3.1999999999999999E-5</v>
          </cell>
          <cell r="S42">
            <v>36.828090799999998</v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>
            <v>245.48616705000001</v>
          </cell>
          <cell r="AC42">
            <v>14.722845</v>
          </cell>
          <cell r="AD42">
            <v>29.15182763</v>
          </cell>
          <cell r="AE42">
            <v>30.876984619999998</v>
          </cell>
          <cell r="AF42">
            <v>0</v>
          </cell>
          <cell r="AG42">
            <v>284.91611690999997</v>
          </cell>
          <cell r="AH42">
            <v>0</v>
          </cell>
          <cell r="AI42" t="str">
            <v>Unclear</v>
          </cell>
          <cell r="AJ42">
            <v>31.764501899999999</v>
          </cell>
          <cell r="AK42">
            <v>584.54352560999996</v>
          </cell>
          <cell r="AL42">
            <v>0</v>
          </cell>
          <cell r="AM42">
            <v>0</v>
          </cell>
          <cell r="AN42">
            <v>6.4494999999999997E-2</v>
          </cell>
          <cell r="AO42" t="str">
            <v>Cost (All Other; Including Time and Materials and Labor)</v>
          </cell>
          <cell r="AP42">
            <v>20282.2</v>
          </cell>
          <cell r="AQ42">
            <v>285</v>
          </cell>
          <cell r="AR42" t="str">
            <v>None</v>
          </cell>
          <cell r="AS42" t="str">
            <v>DoD-wide</v>
          </cell>
          <cell r="AT42">
            <v>0</v>
          </cell>
          <cell r="AU42" t="str">
            <v>NA (agency withing DOD)</v>
          </cell>
          <cell r="AV42">
            <v>0</v>
          </cell>
          <cell r="AW42">
            <v>1994</v>
          </cell>
          <cell r="AX42" t="str">
            <v>PdE</v>
          </cell>
          <cell r="AY42">
            <v>16424.679029957206</v>
          </cell>
          <cell r="AZ42">
            <v>12879.9</v>
          </cell>
          <cell r="BA42">
            <v>1152.7</v>
          </cell>
          <cell r="BB42">
            <v>3057.2039942938659</v>
          </cell>
          <cell r="BC42">
            <v>11513.7</v>
          </cell>
          <cell r="BD42" t="str">
            <v/>
          </cell>
          <cell r="BE42">
            <v>680318259.06654155</v>
          </cell>
          <cell r="BF42">
            <v>1.1242069376698616</v>
          </cell>
        </row>
        <row r="43">
          <cell r="A43" t="str">
            <v>CHEM DEMIL-NEWPORT</v>
          </cell>
          <cell r="B43">
            <v>281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137.9</v>
          </cell>
          <cell r="H43">
            <v>143.1</v>
          </cell>
          <cell r="I43">
            <v>0</v>
          </cell>
          <cell r="J43">
            <v>0</v>
          </cell>
          <cell r="K43">
            <v>488.6</v>
          </cell>
          <cell r="L43">
            <v>204041.18677536995</v>
          </cell>
          <cell r="M43">
            <v>232158.67761350988</v>
          </cell>
          <cell r="N43">
            <v>285001.14913036983</v>
          </cell>
          <cell r="O43">
            <v>269313.55681396055</v>
          </cell>
          <cell r="P43">
            <v>358084.57709169737</v>
          </cell>
          <cell r="Q43">
            <v>377899.75884614955</v>
          </cell>
          <cell r="R43">
            <v>4.2419999999999999E-2</v>
          </cell>
          <cell r="S43">
            <v>299881.25952939951</v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>
            <v>2596.6974408389947</v>
          </cell>
          <cell r="Y43">
            <v>2640.8089367306047</v>
          </cell>
          <cell r="Z43" t="str">
            <v/>
          </cell>
          <cell r="AA43" t="str">
            <v/>
          </cell>
          <cell r="AB43">
            <v>866479.76275145903</v>
          </cell>
          <cell r="AC43">
            <v>212923.54556321035</v>
          </cell>
          <cell r="AD43">
            <v>199196.32976570804</v>
          </cell>
          <cell r="AE43">
            <v>46994.841220860013</v>
          </cell>
          <cell r="AF43">
            <v>8296.3674329900005</v>
          </cell>
          <cell r="AG43">
            <v>691902.30516076973</v>
          </cell>
          <cell r="AH43">
            <v>587.05632546000004</v>
          </cell>
          <cell r="AI43" t="str">
            <v>Unclear</v>
          </cell>
          <cell r="AJ43">
            <v>1685322.8887142679</v>
          </cell>
          <cell r="AK43">
            <v>365687.84264591977</v>
          </cell>
          <cell r="AL43">
            <v>6828.4347161099995</v>
          </cell>
          <cell r="AM43">
            <v>156376.30461445008</v>
          </cell>
          <cell r="AN43">
            <v>41792.934707580011</v>
          </cell>
          <cell r="AO43" t="str">
            <v>Fixed Price</v>
          </cell>
          <cell r="AP43">
            <v>1726498.948691057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1994</v>
          </cell>
          <cell r="AX43" t="str">
            <v>PdE</v>
          </cell>
          <cell r="AY43">
            <v>606.13409415121259</v>
          </cell>
          <cell r="AZ43">
            <v>494.7</v>
          </cell>
          <cell r="BA43">
            <v>0</v>
          </cell>
          <cell r="BB43">
            <v>416.1198288159772</v>
          </cell>
          <cell r="BC43">
            <v>424.9</v>
          </cell>
          <cell r="BD43" t="str">
            <v/>
          </cell>
          <cell r="BE43">
            <v>4362636524030.9463</v>
          </cell>
          <cell r="BF43">
            <v>2026380208222.6125</v>
          </cell>
        </row>
        <row r="44">
          <cell r="A44" t="str">
            <v>COBRA JUDY REPLACEMENT</v>
          </cell>
          <cell r="B44">
            <v>1600.2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str">
            <v/>
          </cell>
          <cell r="H44">
            <v>0</v>
          </cell>
          <cell r="I44">
            <v>0</v>
          </cell>
          <cell r="J44">
            <v>0</v>
          </cell>
          <cell r="K44" t="str">
            <v>-</v>
          </cell>
          <cell r="L44">
            <v>256.66962100000001</v>
          </cell>
          <cell r="M44">
            <v>224.20417800000001</v>
          </cell>
          <cell r="N44">
            <v>105.11513670000001</v>
          </cell>
          <cell r="O44">
            <v>319.13957404999996</v>
          </cell>
          <cell r="P44">
            <v>29.044231</v>
          </cell>
          <cell r="Q44">
            <v>2.1397091100000001</v>
          </cell>
          <cell r="R44">
            <v>9.0000000000000002E-6</v>
          </cell>
          <cell r="S44">
            <v>60.608458799999994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>
            <v>302.12998385000003</v>
          </cell>
          <cell r="AC44">
            <v>19.721782999999999</v>
          </cell>
          <cell r="AD44">
            <v>0.179645</v>
          </cell>
          <cell r="AE44">
            <v>1.3217700000000001E-2</v>
          </cell>
          <cell r="AF44">
            <v>0</v>
          </cell>
          <cell r="AG44">
            <v>674.87628811000002</v>
          </cell>
          <cell r="AH44">
            <v>0</v>
          </cell>
          <cell r="AI44" t="str">
            <v>None</v>
          </cell>
          <cell r="AJ44">
            <v>914.78105327000003</v>
          </cell>
          <cell r="AK44">
            <v>120.66837599999999</v>
          </cell>
          <cell r="AL44">
            <v>0</v>
          </cell>
          <cell r="AM44">
            <v>59.003710909999995</v>
          </cell>
          <cell r="AN44">
            <v>-0.20835799999999999</v>
          </cell>
          <cell r="AO44" t="str">
            <v>Fixed Price</v>
          </cell>
          <cell r="AP44">
            <v>1600.2</v>
          </cell>
          <cell r="AQ44">
            <v>365</v>
          </cell>
          <cell r="AR44" t="str">
            <v>None</v>
          </cell>
          <cell r="AS44" t="str">
            <v>Navy</v>
          </cell>
          <cell r="AT44" t="str">
            <v>Helicopter</v>
          </cell>
          <cell r="AU44" t="str">
            <v>Raytheon</v>
          </cell>
          <cell r="AV44">
            <v>0</v>
          </cell>
          <cell r="AW44">
            <v>2003</v>
          </cell>
          <cell r="AX44" t="str">
            <v>DE</v>
          </cell>
          <cell r="AY44">
            <v>1652.7424627678895</v>
          </cell>
          <cell r="AZ44">
            <v>1464</v>
          </cell>
          <cell r="BA44">
            <v>80.599999999999994</v>
          </cell>
          <cell r="BB44">
            <v>157.16188400532752</v>
          </cell>
          <cell r="BC44">
            <v>1365</v>
          </cell>
          <cell r="BD44" t="str">
            <v/>
          </cell>
          <cell r="BE44">
            <v>1112575440.2055631</v>
          </cell>
          <cell r="BF44">
            <v>1.1160117322214791</v>
          </cell>
          <cell r="BG44" t="str">
            <v>Army</v>
          </cell>
          <cell r="BH44" t="str">
            <v>Jun. 2004</v>
          </cell>
          <cell r="BI44" t="b">
            <v>1</v>
          </cell>
        </row>
        <row r="45">
          <cell r="A45" t="str">
            <v>COMANCHE</v>
          </cell>
          <cell r="B45">
            <v>2309.6999999999998</v>
          </cell>
          <cell r="C45">
            <v>1068</v>
          </cell>
          <cell r="D45">
            <v>1241.7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30135.8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Missing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Missing</v>
          </cell>
          <cell r="AP45">
            <v>2309.6999999999998</v>
          </cell>
          <cell r="AQ45" t="str">
            <v>NONE</v>
          </cell>
          <cell r="AR45" t="str">
            <v>None</v>
          </cell>
          <cell r="AS45" t="str">
            <v>Army</v>
          </cell>
          <cell r="AT45">
            <v>0</v>
          </cell>
          <cell r="AU45" t="str">
            <v>Boeing/Sikorsky JV</v>
          </cell>
          <cell r="AV45">
            <v>0</v>
          </cell>
          <cell r="AW45">
            <v>2000</v>
          </cell>
          <cell r="AX45" t="str">
            <v>DE</v>
          </cell>
          <cell r="AY45">
            <v>48786.136831275711</v>
          </cell>
          <cell r="AZ45">
            <v>48134.3</v>
          </cell>
          <cell r="BA45">
            <v>0</v>
          </cell>
          <cell r="BB45">
            <v>3706.6615226337449</v>
          </cell>
          <cell r="BC45">
            <v>37936.1</v>
          </cell>
          <cell r="BD45" t="str">
            <v/>
          </cell>
          <cell r="BE45">
            <v>0</v>
          </cell>
          <cell r="BF45" t="e">
            <v>#DIV/0!</v>
          </cell>
        </row>
        <row r="46">
          <cell r="A46" t="str">
            <v>CRUSADER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Missing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 t="str">
            <v>Missing</v>
          </cell>
          <cell r="AP46">
            <v>0</v>
          </cell>
          <cell r="AQ46" t="str">
            <v>AFF</v>
          </cell>
          <cell r="AR46" t="str">
            <v>2AFF</v>
          </cell>
          <cell r="AS46" t="str">
            <v>Army</v>
          </cell>
          <cell r="AT46">
            <v>0</v>
          </cell>
          <cell r="AU46" t="str">
            <v>United Defense, LP (BAE)</v>
          </cell>
          <cell r="AV46">
            <v>0</v>
          </cell>
          <cell r="AW46">
            <v>1995</v>
          </cell>
          <cell r="AX46" t="str">
            <v>PE</v>
          </cell>
          <cell r="AY46">
            <v>3292.3592680541974</v>
          </cell>
          <cell r="AZ46">
            <v>2780</v>
          </cell>
          <cell r="BA46">
            <v>0</v>
          </cell>
          <cell r="BB46">
            <v>-32.96549797457746</v>
          </cell>
          <cell r="BC46">
            <v>2357</v>
          </cell>
          <cell r="BD46" t="str">
            <v/>
          </cell>
          <cell r="BE46">
            <v>0</v>
          </cell>
          <cell r="BF46" t="e">
            <v>#DIV/0!</v>
          </cell>
        </row>
        <row r="47">
          <cell r="A47" t="str">
            <v>CSAR-X</v>
          </cell>
          <cell r="B47" t="e">
            <v>#VALUE!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 t="str">
            <v/>
          </cell>
          <cell r="I47" t="str">
            <v/>
          </cell>
          <cell r="J47" t="str">
            <v/>
          </cell>
          <cell r="K47" t="str">
            <v/>
          </cell>
          <cell r="L47">
            <v>408082.3735507399</v>
          </cell>
          <cell r="M47">
            <v>464317.35522701975</v>
          </cell>
          <cell r="N47">
            <v>570002.29826073966</v>
          </cell>
          <cell r="O47">
            <v>538627.11362792109</v>
          </cell>
          <cell r="P47">
            <v>716169.15418339474</v>
          </cell>
          <cell r="Q47">
            <v>755799.51769229909</v>
          </cell>
          <cell r="R47">
            <v>8.4839999999999999E-2</v>
          </cell>
          <cell r="S47">
            <v>599762.51905879902</v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>
            <v>1732959.5255029181</v>
          </cell>
          <cell r="AC47">
            <v>425847.09112642071</v>
          </cell>
          <cell r="AD47">
            <v>398392.65953141608</v>
          </cell>
          <cell r="AE47">
            <v>93989.682441720026</v>
          </cell>
          <cell r="AF47">
            <v>16592.734865980001</v>
          </cell>
          <cell r="AG47">
            <v>1383804.6103215395</v>
          </cell>
          <cell r="AH47">
            <v>1174.1126509200001</v>
          </cell>
          <cell r="AI47" t="str">
            <v>Unclear</v>
          </cell>
          <cell r="AJ47">
            <v>3370645.7774285357</v>
          </cell>
          <cell r="AK47">
            <v>731375.68529183953</v>
          </cell>
          <cell r="AL47">
            <v>13656.869432219999</v>
          </cell>
          <cell r="AM47">
            <v>312752.60922890017</v>
          </cell>
          <cell r="AN47">
            <v>83585.869415160021</v>
          </cell>
          <cell r="AO47" t="str">
            <v>Fixed Price</v>
          </cell>
          <cell r="AP47" t="e">
            <v>#VALUE!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 t="str">
            <v>Boeing</v>
          </cell>
          <cell r="AV47">
            <v>0</v>
          </cell>
          <cell r="AW47" t="str">
            <v/>
          </cell>
          <cell r="AX47" t="str">
            <v/>
          </cell>
          <cell r="AY47" t="e">
            <v>#VALUE!</v>
          </cell>
          <cell r="AZ47" t="str">
            <v/>
          </cell>
          <cell r="BA47" t="str">
            <v/>
          </cell>
          <cell r="BB47" t="e">
            <v>#VALUE!</v>
          </cell>
          <cell r="BC47" t="str">
            <v/>
          </cell>
          <cell r="BD47" t="str">
            <v/>
          </cell>
          <cell r="BE47">
            <v>4362636524030.9463</v>
          </cell>
          <cell r="BF47">
            <v>2026380208222.6125</v>
          </cell>
        </row>
        <row r="48">
          <cell r="A48" t="str">
            <v>CVN 21</v>
          </cell>
          <cell r="B48">
            <v>7225.5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3037.5</v>
          </cell>
          <cell r="H48">
            <v>4188</v>
          </cell>
          <cell r="I48">
            <v>0</v>
          </cell>
          <cell r="J48">
            <v>0</v>
          </cell>
          <cell r="K48">
            <v>21749.7</v>
          </cell>
          <cell r="L48">
            <v>168.34827000000001</v>
          </cell>
          <cell r="M48">
            <v>630.60410300000001</v>
          </cell>
          <cell r="N48">
            <v>35.320090999999998</v>
          </cell>
          <cell r="O48">
            <v>795.48595005999994</v>
          </cell>
          <cell r="P48">
            <v>42.225412629999994</v>
          </cell>
          <cell r="Q48">
            <v>45.833022</v>
          </cell>
          <cell r="R48">
            <v>3.4999999999999997E-5</v>
          </cell>
          <cell r="S48">
            <v>845.19497923000006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>
            <v>1.3901370413168723E-2</v>
          </cell>
          <cell r="Y48">
            <v>1.0943892550143266E-2</v>
          </cell>
          <cell r="Z48" t="str">
            <v/>
          </cell>
          <cell r="AA48" t="str">
            <v/>
          </cell>
          <cell r="AB48">
            <v>201.13365854</v>
          </cell>
          <cell r="AC48">
            <v>52.912842990000001</v>
          </cell>
          <cell r="AD48">
            <v>105.74163839000001</v>
          </cell>
          <cell r="AE48">
            <v>0.46</v>
          </cell>
          <cell r="AF48">
            <v>0</v>
          </cell>
          <cell r="AG48">
            <v>2202.763723</v>
          </cell>
          <cell r="AH48">
            <v>0</v>
          </cell>
          <cell r="AI48" t="str">
            <v>None</v>
          </cell>
          <cell r="AJ48">
            <v>1737.2595274100001</v>
          </cell>
          <cell r="AK48">
            <v>691.46285278999994</v>
          </cell>
          <cell r="AL48">
            <v>327.38797699999998</v>
          </cell>
          <cell r="AM48">
            <v>480.82723788999994</v>
          </cell>
          <cell r="AN48">
            <v>129.58618300000001</v>
          </cell>
          <cell r="AO48" t="str">
            <v>Fixed Price</v>
          </cell>
          <cell r="AP48">
            <v>7225.5</v>
          </cell>
          <cell r="AQ48">
            <v>223</v>
          </cell>
          <cell r="AR48" t="str">
            <v>None</v>
          </cell>
          <cell r="AS48" t="str">
            <v>Navy</v>
          </cell>
          <cell r="AT48" t="str">
            <v>Ship / Sub</v>
          </cell>
          <cell r="AU48" t="str">
            <v>Northrop Grumman</v>
          </cell>
          <cell r="AV48">
            <v>0</v>
          </cell>
          <cell r="AW48">
            <v>2000</v>
          </cell>
          <cell r="AX48" t="str">
            <v>DE</v>
          </cell>
          <cell r="AY48">
            <v>36909.97942386831</v>
          </cell>
          <cell r="AZ48">
            <v>36082.1</v>
          </cell>
          <cell r="BA48">
            <v>0</v>
          </cell>
          <cell r="BB48">
            <v>-4003.6008230452667</v>
          </cell>
          <cell r="BC48">
            <v>28701.200000000001</v>
          </cell>
          <cell r="BD48" t="str">
            <v/>
          </cell>
          <cell r="BE48">
            <v>2761010389.003231</v>
          </cell>
          <cell r="BF48">
            <v>1.0772522862448457</v>
          </cell>
        </row>
        <row r="49">
          <cell r="A49" t="str">
            <v>CVN 68</v>
          </cell>
          <cell r="B49">
            <v>6265.8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 t="str">
            <v/>
          </cell>
          <cell r="H49">
            <v>0</v>
          </cell>
          <cell r="I49">
            <v>4.2</v>
          </cell>
          <cell r="J49">
            <v>0</v>
          </cell>
          <cell r="K49">
            <v>0</v>
          </cell>
          <cell r="L49">
            <v>56.632336000000002</v>
          </cell>
          <cell r="M49">
            <v>110.932453</v>
          </cell>
          <cell r="N49">
            <v>54.469577119999997</v>
          </cell>
          <cell r="O49">
            <v>1045.7286044</v>
          </cell>
          <cell r="P49">
            <v>139.47851452</v>
          </cell>
          <cell r="Q49">
            <v>92.855210430000014</v>
          </cell>
          <cell r="R49">
            <v>5.0000000000000001E-4</v>
          </cell>
          <cell r="S49">
            <v>1196.4955767500001</v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>
            <v>1.1904761904761905E-4</v>
          </cell>
          <cell r="AA49" t="str">
            <v/>
          </cell>
          <cell r="AB49">
            <v>65.539035639999994</v>
          </cell>
          <cell r="AC49">
            <v>234.28536312</v>
          </cell>
          <cell r="AD49">
            <v>-0.48677545999999994</v>
          </cell>
          <cell r="AE49">
            <v>0.30171623999999997</v>
          </cell>
          <cell r="AF49">
            <v>0</v>
          </cell>
          <cell r="AG49">
            <v>2396.9534326799999</v>
          </cell>
          <cell r="AH49">
            <v>0</v>
          </cell>
          <cell r="AI49" t="str">
            <v>None</v>
          </cell>
          <cell r="AJ49">
            <v>165.39861562000002</v>
          </cell>
          <cell r="AK49">
            <v>2946.6658096399997</v>
          </cell>
          <cell r="AL49">
            <v>0</v>
          </cell>
          <cell r="AM49">
            <v>971.40840784999989</v>
          </cell>
          <cell r="AN49">
            <v>62.781423330000003</v>
          </cell>
          <cell r="AO49" t="str">
            <v>Cost (All Other; Including Time and Materials and Labor)</v>
          </cell>
          <cell r="AP49">
            <v>6265.8</v>
          </cell>
          <cell r="AQ49">
            <v>161</v>
          </cell>
          <cell r="AR49" t="str">
            <v>None</v>
          </cell>
          <cell r="AS49" t="str">
            <v>Navy</v>
          </cell>
          <cell r="AT49" t="str">
            <v>Ship / Sub</v>
          </cell>
          <cell r="AU49" t="str">
            <v>Huntington Ingalls Industries (HII)</v>
          </cell>
          <cell r="AV49">
            <v>0</v>
          </cell>
          <cell r="AW49">
            <v>1995</v>
          </cell>
          <cell r="AX49" t="str">
            <v>PdE</v>
          </cell>
          <cell r="AY49">
            <v>6365.5538483028358</v>
          </cell>
          <cell r="AZ49">
            <v>5540.8</v>
          </cell>
          <cell r="BA49">
            <v>0</v>
          </cell>
          <cell r="BB49">
            <v>940.21511384271548</v>
          </cell>
          <cell r="BC49">
            <v>4557.1000000000004</v>
          </cell>
          <cell r="BD49" t="str">
            <v/>
          </cell>
          <cell r="BE49">
            <v>2837740656.5244012</v>
          </cell>
          <cell r="BF49">
            <v>1.0523430477743956</v>
          </cell>
        </row>
        <row r="50">
          <cell r="A50" t="str">
            <v>CVN 78</v>
          </cell>
          <cell r="B50">
            <v>17714.400000000001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>
            <v>0</v>
          </cell>
          <cell r="I50">
            <v>0</v>
          </cell>
          <cell r="J50">
            <v>0</v>
          </cell>
          <cell r="K50">
            <v>23308.1</v>
          </cell>
          <cell r="L50">
            <v>204041.18677536995</v>
          </cell>
          <cell r="M50">
            <v>232158.67761350988</v>
          </cell>
          <cell r="N50">
            <v>285001.14913036983</v>
          </cell>
          <cell r="O50">
            <v>269313.55681396055</v>
          </cell>
          <cell r="P50">
            <v>358084.57709169737</v>
          </cell>
          <cell r="Q50">
            <v>377899.75884614955</v>
          </cell>
          <cell r="R50">
            <v>4.2419999999999999E-2</v>
          </cell>
          <cell r="S50">
            <v>299881.25952939951</v>
          </cell>
          <cell r="T50" t="str">
            <v/>
          </cell>
          <cell r="U50" t="str">
            <v/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/>
          </cell>
          <cell r="AA50" t="str">
            <v/>
          </cell>
          <cell r="AB50">
            <v>866479.76275145903</v>
          </cell>
          <cell r="AC50">
            <v>212923.54556321035</v>
          </cell>
          <cell r="AD50">
            <v>199196.32976570804</v>
          </cell>
          <cell r="AE50">
            <v>46994.841220860013</v>
          </cell>
          <cell r="AF50">
            <v>8296.3674329900005</v>
          </cell>
          <cell r="AG50">
            <v>691902.30516076973</v>
          </cell>
          <cell r="AH50">
            <v>587.05632546000004</v>
          </cell>
          <cell r="AI50" t="str">
            <v>Unclear</v>
          </cell>
          <cell r="AJ50">
            <v>1685322.8887142679</v>
          </cell>
          <cell r="AK50">
            <v>365687.84264591977</v>
          </cell>
          <cell r="AL50">
            <v>6828.4347161099995</v>
          </cell>
          <cell r="AM50">
            <v>156376.30461445008</v>
          </cell>
          <cell r="AN50">
            <v>41792.934707580011</v>
          </cell>
          <cell r="AO50" t="str">
            <v>Fixed Price</v>
          </cell>
          <cell r="AP50">
            <v>1726498.948691057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2000</v>
          </cell>
          <cell r="AX50" t="str">
            <v>DE</v>
          </cell>
          <cell r="AY50">
            <v>36909.97942386831</v>
          </cell>
          <cell r="AZ50">
            <v>36082.1</v>
          </cell>
          <cell r="BA50">
            <v>691.7</v>
          </cell>
          <cell r="BB50">
            <v>-1017.8755144032921</v>
          </cell>
          <cell r="BC50">
            <v>28701.200000000001</v>
          </cell>
          <cell r="BD50" t="str">
            <v/>
          </cell>
          <cell r="BE50">
            <v>4362636524030.9463</v>
          </cell>
          <cell r="BF50">
            <v>2026380208222.6125</v>
          </cell>
        </row>
        <row r="51">
          <cell r="A51" t="str">
            <v>DDG 1000</v>
          </cell>
          <cell r="B51">
            <v>18089.8</v>
          </cell>
          <cell r="C51" t="str">
            <v/>
          </cell>
          <cell r="D51">
            <v>0</v>
          </cell>
          <cell r="E51">
            <v>0</v>
          </cell>
          <cell r="F51">
            <v>0</v>
          </cell>
          <cell r="G51" t="str">
            <v/>
          </cell>
          <cell r="H51">
            <v>0</v>
          </cell>
          <cell r="I51">
            <v>0</v>
          </cell>
          <cell r="J51">
            <v>0</v>
          </cell>
          <cell r="K51">
            <v>1419.9</v>
          </cell>
          <cell r="L51">
            <v>1.0898000000000001</v>
          </cell>
          <cell r="M51">
            <v>200.20263399999999</v>
          </cell>
          <cell r="N51">
            <v>51.174008000000001</v>
          </cell>
          <cell r="O51">
            <v>2434.0747394099999</v>
          </cell>
          <cell r="P51">
            <v>99.992716709999996</v>
          </cell>
          <cell r="Q51">
            <v>57.990118190000004</v>
          </cell>
          <cell r="R51">
            <v>4.1999999999999998E-5</v>
          </cell>
          <cell r="S51">
            <v>4303.0709074899996</v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>
            <v>255.90499820999997</v>
          </cell>
          <cell r="AC51">
            <v>73.69328259000001</v>
          </cell>
          <cell r="AD51">
            <v>6.0000000000000002E-6</v>
          </cell>
          <cell r="AE51">
            <v>6.429E-2</v>
          </cell>
          <cell r="AF51">
            <v>0</v>
          </cell>
          <cell r="AG51">
            <v>6817.9323889999996</v>
          </cell>
          <cell r="AH51">
            <v>0</v>
          </cell>
          <cell r="AI51" t="str">
            <v>None</v>
          </cell>
          <cell r="AJ51">
            <v>3879.1207247999996</v>
          </cell>
          <cell r="AK51">
            <v>232.58414836</v>
          </cell>
          <cell r="AL51">
            <v>1844.600641</v>
          </cell>
          <cell r="AM51">
            <v>519.72780069999999</v>
          </cell>
          <cell r="AN51">
            <v>1144.9037662400001</v>
          </cell>
          <cell r="AO51" t="str">
            <v>Fixed Price</v>
          </cell>
          <cell r="AP51">
            <v>18089.8</v>
          </cell>
          <cell r="AQ51">
            <v>197</v>
          </cell>
          <cell r="AR51" t="str">
            <v>None</v>
          </cell>
          <cell r="AS51" t="str">
            <v>Navy</v>
          </cell>
          <cell r="AT51" t="str">
            <v>Ship / Sub</v>
          </cell>
          <cell r="AU51" t="str">
            <v>Bath Iron Works (General Dynamics)</v>
          </cell>
          <cell r="AV51" t="str">
            <v>Raytheon (Combat Systems)</v>
          </cell>
          <cell r="AW51">
            <v>2005</v>
          </cell>
          <cell r="AX51" t="str">
            <v>DE</v>
          </cell>
          <cell r="AY51">
            <v>36067.108722990743</v>
          </cell>
          <cell r="AZ51">
            <v>36296.300000000003</v>
          </cell>
          <cell r="BA51">
            <v>716.1</v>
          </cell>
          <cell r="BB51">
            <v>1521.7788956213558</v>
          </cell>
          <cell r="BC51">
            <v>31547.9</v>
          </cell>
          <cell r="BD51" t="str">
            <v/>
          </cell>
          <cell r="BE51">
            <v>7426445228.760746</v>
          </cell>
          <cell r="BF51">
            <v>1.0390131595725551</v>
          </cell>
        </row>
        <row r="52">
          <cell r="A52" t="str">
            <v>DDG 1000 (RDT&amp;E)</v>
          </cell>
          <cell r="B52">
            <v>1878.8000000000002</v>
          </cell>
          <cell r="C52">
            <v>0</v>
          </cell>
          <cell r="D52">
            <v>0</v>
          </cell>
          <cell r="E52">
            <v>1084.7</v>
          </cell>
          <cell r="F52">
            <v>794.1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1529</v>
          </cell>
          <cell r="L52">
            <v>204041.18677536995</v>
          </cell>
          <cell r="M52">
            <v>232158.67761350988</v>
          </cell>
          <cell r="N52">
            <v>285001.14913036983</v>
          </cell>
          <cell r="O52">
            <v>269313.55681396055</v>
          </cell>
          <cell r="P52">
            <v>358084.57709169737</v>
          </cell>
          <cell r="Q52">
            <v>377899.75884614955</v>
          </cell>
          <cell r="R52">
            <v>4.2419999999999999E-2</v>
          </cell>
          <cell r="S52">
            <v>299881.25952939951</v>
          </cell>
          <cell r="T52" t="str">
            <v/>
          </cell>
          <cell r="U52" t="str">
            <v/>
          </cell>
          <cell r="V52">
            <v>262.74651897332888</v>
          </cell>
          <cell r="W52">
            <v>339.14312657594832</v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>
            <v>866479.76275145903</v>
          </cell>
          <cell r="AC52">
            <v>212923.54556321035</v>
          </cell>
          <cell r="AD52">
            <v>199196.32976570804</v>
          </cell>
          <cell r="AE52">
            <v>46994.841220860013</v>
          </cell>
          <cell r="AF52">
            <v>8296.3674329900005</v>
          </cell>
          <cell r="AG52">
            <v>691902.30516076973</v>
          </cell>
          <cell r="AH52">
            <v>587.05632546000004</v>
          </cell>
          <cell r="AI52" t="str">
            <v>Unclear</v>
          </cell>
          <cell r="AJ52">
            <v>1685322.8887142679</v>
          </cell>
          <cell r="AK52">
            <v>365687.84264591977</v>
          </cell>
          <cell r="AL52">
            <v>6828.4347161099995</v>
          </cell>
          <cell r="AM52">
            <v>156376.30461445008</v>
          </cell>
          <cell r="AN52">
            <v>41792.934707580011</v>
          </cell>
          <cell r="AO52" t="str">
            <v>Fixed Price</v>
          </cell>
          <cell r="AP52">
            <v>1726498.948691057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1996</v>
          </cell>
          <cell r="AX52" t="str">
            <v>PE</v>
          </cell>
          <cell r="AY52">
            <v>2403.7275592709334</v>
          </cell>
          <cell r="AZ52">
            <v>2089</v>
          </cell>
          <cell r="BA52">
            <v>0</v>
          </cell>
          <cell r="BB52">
            <v>3491.0237083733041</v>
          </cell>
          <cell r="BC52">
            <v>1754</v>
          </cell>
          <cell r="BD52" t="str">
            <v/>
          </cell>
          <cell r="BE52">
            <v>4362636524030.9463</v>
          </cell>
          <cell r="BF52">
            <v>2026380208222.6125</v>
          </cell>
        </row>
        <row r="53">
          <cell r="A53" t="str">
            <v>DDG 51</v>
          </cell>
          <cell r="B53">
            <v>67772.100000000006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>
            <v>0</v>
          </cell>
          <cell r="I53">
            <v>0</v>
          </cell>
          <cell r="J53">
            <v>0</v>
          </cell>
          <cell r="K53">
            <v>13798.2</v>
          </cell>
          <cell r="L53">
            <v>345.46090600000002</v>
          </cell>
          <cell r="M53">
            <v>679.81603101999997</v>
          </cell>
          <cell r="N53">
            <v>443.09090698</v>
          </cell>
          <cell r="O53">
            <v>644.09070659999998</v>
          </cell>
          <cell r="P53">
            <v>436.61157700000001</v>
          </cell>
          <cell r="Q53">
            <v>328.97317906000001</v>
          </cell>
          <cell r="R53">
            <v>4.3000000000000002E-5</v>
          </cell>
          <cell r="S53">
            <v>2558.8991400299997</v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>
            <v>2558.3648872499998</v>
          </cell>
          <cell r="AC53">
            <v>234.38193786000002</v>
          </cell>
          <cell r="AD53">
            <v>1423.5867787100001</v>
          </cell>
          <cell r="AE53">
            <v>22.954228649999997</v>
          </cell>
          <cell r="AF53">
            <v>0.236238</v>
          </cell>
          <cell r="AG53">
            <v>1197.41841922</v>
          </cell>
          <cell r="AH53">
            <v>0</v>
          </cell>
          <cell r="AI53" t="str">
            <v>Unclear</v>
          </cell>
          <cell r="AJ53">
            <v>4692.2311274700005</v>
          </cell>
          <cell r="AK53">
            <v>997.29813096000009</v>
          </cell>
          <cell r="AL53">
            <v>1.486</v>
          </cell>
          <cell r="AM53">
            <v>585.85348753999995</v>
          </cell>
          <cell r="AN53">
            <v>17.225150109999998</v>
          </cell>
          <cell r="AO53" t="str">
            <v>Fixed Price</v>
          </cell>
          <cell r="AP53">
            <v>67772.100000000006</v>
          </cell>
          <cell r="AQ53">
            <v>180</v>
          </cell>
          <cell r="AR53" t="str">
            <v>None</v>
          </cell>
          <cell r="AS53" t="str">
            <v>Navy</v>
          </cell>
          <cell r="AT53" t="str">
            <v>Ship / Sub</v>
          </cell>
          <cell r="AU53" t="str">
            <v>Huntington Ingalls Industries (HII)</v>
          </cell>
          <cell r="AV53" t="str">
            <v>*Bath Iron Works (General Dynamics) finishing</v>
          </cell>
          <cell r="AW53">
            <v>1987</v>
          </cell>
          <cell r="AX53" t="str">
            <v>PdE</v>
          </cell>
          <cell r="AY53">
            <v>29879.626365879452</v>
          </cell>
          <cell r="AZ53">
            <v>20117.5</v>
          </cell>
          <cell r="BA53">
            <v>2167.3000000000002</v>
          </cell>
          <cell r="BB53">
            <v>13021.325343672894</v>
          </cell>
          <cell r="BC53">
            <v>16953.7</v>
          </cell>
          <cell r="BD53" t="str">
            <v/>
          </cell>
          <cell r="BE53">
            <v>5761478426.5101843</v>
          </cell>
          <cell r="BF53">
            <v>1.0596908901345925</v>
          </cell>
        </row>
        <row r="54">
          <cell r="A54" t="str">
            <v>DIMHRS</v>
          </cell>
          <cell r="B54">
            <v>167.6</v>
          </cell>
          <cell r="C54" t="str">
            <v/>
          </cell>
          <cell r="D54" t="str">
            <v/>
          </cell>
          <cell r="E54" t="str">
            <v/>
          </cell>
          <cell r="F54">
            <v>0</v>
          </cell>
          <cell r="G54">
            <v>104.2</v>
          </cell>
          <cell r="H54">
            <v>63.4</v>
          </cell>
          <cell r="I54">
            <v>0</v>
          </cell>
          <cell r="J54">
            <v>0</v>
          </cell>
          <cell r="K54" t="str">
            <v>-</v>
          </cell>
          <cell r="L54">
            <v>11.023579</v>
          </cell>
          <cell r="M54">
            <v>2.0978889999999999</v>
          </cell>
          <cell r="N54">
            <v>4.6382830000000004</v>
          </cell>
          <cell r="O54">
            <v>5.2444639999999998</v>
          </cell>
          <cell r="P54">
            <v>5.2677854200000009</v>
          </cell>
          <cell r="Q54">
            <v>7.2872874000000003</v>
          </cell>
          <cell r="R54">
            <v>3.1000000000000001E-5</v>
          </cell>
          <cell r="S54">
            <v>22.627980869999998</v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>
            <v>5.0554562571976977E-2</v>
          </cell>
          <cell r="Y54">
            <v>0.11494144164037856</v>
          </cell>
          <cell r="Z54" t="str">
            <v/>
          </cell>
          <cell r="AA54" t="str">
            <v/>
          </cell>
          <cell r="AB54">
            <v>6.5658886699999996</v>
          </cell>
          <cell r="AC54">
            <v>47.269149079999998</v>
          </cell>
          <cell r="AD54">
            <v>0.64000100000000004</v>
          </cell>
          <cell r="AE54">
            <v>0</v>
          </cell>
          <cell r="AF54">
            <v>0</v>
          </cell>
          <cell r="AG54">
            <v>3.7122609399999997</v>
          </cell>
          <cell r="AH54">
            <v>0</v>
          </cell>
          <cell r="AI54" t="str">
            <v>Full and Open -Single Bidder</v>
          </cell>
          <cell r="AJ54">
            <v>18.498920009999999</v>
          </cell>
          <cell r="AK54">
            <v>14.398423259999998</v>
          </cell>
          <cell r="AL54">
            <v>0</v>
          </cell>
          <cell r="AM54">
            <v>22.492245670000003</v>
          </cell>
          <cell r="AN54">
            <v>15.661696280000001</v>
          </cell>
          <cell r="AO54" t="str">
            <v>Unclear</v>
          </cell>
          <cell r="AP54">
            <v>167.6</v>
          </cell>
          <cell r="AQ54" t="str">
            <v>M26</v>
          </cell>
          <cell r="AR54" t="str">
            <v>None</v>
          </cell>
          <cell r="AS54" t="str">
            <v>DoD-wide</v>
          </cell>
          <cell r="AT54">
            <v>0</v>
          </cell>
          <cell r="AU54" t="str">
            <v>Northrop Grumman</v>
          </cell>
          <cell r="AV54" t="str">
            <v>PeopleSoft</v>
          </cell>
          <cell r="AW54">
            <v>2007</v>
          </cell>
          <cell r="AX54" t="str">
            <v>DE</v>
          </cell>
          <cell r="AY54">
            <v>1016.739993561541</v>
          </cell>
          <cell r="AZ54">
            <v>922.3</v>
          </cell>
          <cell r="BA54">
            <v>0</v>
          </cell>
          <cell r="BB54">
            <v>16.739993561540938</v>
          </cell>
          <cell r="BC54">
            <v>947.5</v>
          </cell>
          <cell r="BD54" t="str">
            <v/>
          </cell>
          <cell r="BE54">
            <v>62178249.935464442</v>
          </cell>
          <cell r="BF54">
            <v>1.0685879954341708</v>
          </cell>
          <cell r="BG54" t="str">
            <v>Army</v>
          </cell>
          <cell r="BH54" t="str">
            <v>Jun. 2004</v>
          </cell>
          <cell r="BI54" t="b">
            <v>1</v>
          </cell>
        </row>
        <row r="55">
          <cell r="A55" t="str">
            <v>DON-LAIRCM</v>
          </cell>
          <cell r="B55" t="e">
            <v>#VALUE!</v>
          </cell>
          <cell r="C55" t="str">
            <v/>
          </cell>
          <cell r="D55" t="str">
            <v/>
          </cell>
          <cell r="E55" t="str">
            <v/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Missing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 t="str">
            <v>Missing</v>
          </cell>
          <cell r="AP55" t="e">
            <v>#VALUE!</v>
          </cell>
          <cell r="AQ55">
            <v>426</v>
          </cell>
          <cell r="AR55" t="str">
            <v>None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 t="str">
            <v/>
          </cell>
          <cell r="AX55" t="str">
            <v/>
          </cell>
          <cell r="AY55" t="e">
            <v>#VALUE!</v>
          </cell>
          <cell r="AZ55" t="str">
            <v/>
          </cell>
          <cell r="BA55" t="str">
            <v/>
          </cell>
          <cell r="BB55" t="e">
            <v>#VALUE!</v>
          </cell>
          <cell r="BC55" t="str">
            <v/>
          </cell>
          <cell r="BD55" t="str">
            <v/>
          </cell>
          <cell r="BE55">
            <v>0</v>
          </cell>
          <cell r="BF55" t="e">
            <v>#DIV/0!</v>
          </cell>
        </row>
        <row r="56">
          <cell r="A56" t="str">
            <v>E-2C REPRODUCTION</v>
          </cell>
          <cell r="B56">
            <v>4.0999999999999996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1.8</v>
          </cell>
          <cell r="H56">
            <v>2.2999999999999998</v>
          </cell>
          <cell r="I56">
            <v>0</v>
          </cell>
          <cell r="J56">
            <v>0</v>
          </cell>
          <cell r="K56">
            <v>8.4</v>
          </cell>
          <cell r="L56">
            <v>408082.3735507399</v>
          </cell>
          <cell r="M56">
            <v>464317.35522701975</v>
          </cell>
          <cell r="N56">
            <v>570002.29826073966</v>
          </cell>
          <cell r="O56">
            <v>538627.11362792109</v>
          </cell>
          <cell r="P56">
            <v>716169.15418339474</v>
          </cell>
          <cell r="Q56">
            <v>755799.51769229909</v>
          </cell>
          <cell r="R56">
            <v>8.4839999999999999E-2</v>
          </cell>
          <cell r="S56">
            <v>599762.51905879902</v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>
            <v>397871.75232410815</v>
          </cell>
          <cell r="Y56">
            <v>328608.48595317354</v>
          </cell>
          <cell r="Z56" t="str">
            <v/>
          </cell>
          <cell r="AA56" t="str">
            <v/>
          </cell>
          <cell r="AB56">
            <v>1732959.5255029181</v>
          </cell>
          <cell r="AC56">
            <v>425847.09112642071</v>
          </cell>
          <cell r="AD56">
            <v>398392.65953141608</v>
          </cell>
          <cell r="AE56">
            <v>93989.682441720026</v>
          </cell>
          <cell r="AF56">
            <v>16592.734865980001</v>
          </cell>
          <cell r="AG56">
            <v>1383804.6103215395</v>
          </cell>
          <cell r="AH56">
            <v>1174.1126509200001</v>
          </cell>
          <cell r="AI56" t="str">
            <v>Unclear</v>
          </cell>
          <cell r="AJ56">
            <v>3370645.7774285357</v>
          </cell>
          <cell r="AK56">
            <v>731375.68529183953</v>
          </cell>
          <cell r="AL56">
            <v>13656.869432219999</v>
          </cell>
          <cell r="AM56">
            <v>312752.60922890017</v>
          </cell>
          <cell r="AN56">
            <v>83585.869415160021</v>
          </cell>
          <cell r="AO56" t="str">
            <v>Fixed Price</v>
          </cell>
          <cell r="AP56">
            <v>3452997.8973821141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1994</v>
          </cell>
          <cell r="AX56" t="str">
            <v>PdE</v>
          </cell>
          <cell r="AY56">
            <v>3748.5021398002855</v>
          </cell>
          <cell r="AZ56">
            <v>3187.9</v>
          </cell>
          <cell r="BA56">
            <v>0</v>
          </cell>
          <cell r="BB56">
            <v>145.64907275320971</v>
          </cell>
          <cell r="BC56">
            <v>2627.7</v>
          </cell>
          <cell r="BD56" t="str">
            <v/>
          </cell>
          <cell r="BE56">
            <v>4362636524030.9463</v>
          </cell>
          <cell r="BF56">
            <v>2026380208222.6125</v>
          </cell>
        </row>
        <row r="57">
          <cell r="A57" t="str">
            <v>E-2D AHE</v>
          </cell>
          <cell r="B57">
            <v>6391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 t="str">
            <v/>
          </cell>
          <cell r="H57">
            <v>0</v>
          </cell>
          <cell r="I57">
            <v>0</v>
          </cell>
          <cell r="J57">
            <v>0</v>
          </cell>
          <cell r="K57">
            <v>11985.8</v>
          </cell>
          <cell r="L57">
            <v>36.604559000000002</v>
          </cell>
          <cell r="M57">
            <v>9.1213250000000006</v>
          </cell>
          <cell r="N57">
            <v>17.634906999999998</v>
          </cell>
          <cell r="O57">
            <v>33.154573999999997</v>
          </cell>
          <cell r="P57">
            <v>42.937997299999999</v>
          </cell>
          <cell r="Q57">
            <v>32.013601280000003</v>
          </cell>
          <cell r="R57">
            <v>1.4E-5</v>
          </cell>
          <cell r="S57">
            <v>985.80371310999999</v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>
            <v>45.624722649999995</v>
          </cell>
          <cell r="AC57">
            <v>35.499108249999999</v>
          </cell>
          <cell r="AD57">
            <v>0.26857199999999998</v>
          </cell>
          <cell r="AE57">
            <v>0</v>
          </cell>
          <cell r="AF57">
            <v>0</v>
          </cell>
          <cell r="AG57">
            <v>1075.8782877900001</v>
          </cell>
          <cell r="AH57">
            <v>0</v>
          </cell>
          <cell r="AI57" t="str">
            <v>None</v>
          </cell>
          <cell r="AJ57">
            <v>1581.1927494900001</v>
          </cell>
          <cell r="AK57">
            <v>118.20329293</v>
          </cell>
          <cell r="AL57">
            <v>0.40784288000000002</v>
          </cell>
          <cell r="AM57">
            <v>6.591024</v>
          </cell>
          <cell r="AN57">
            <v>46.985531739999999</v>
          </cell>
          <cell r="AO57" t="str">
            <v>Fixed Price</v>
          </cell>
          <cell r="AP57">
            <v>6391</v>
          </cell>
          <cell r="AQ57">
            <v>364</v>
          </cell>
          <cell r="AR57" t="str">
            <v>None</v>
          </cell>
          <cell r="AS57" t="str">
            <v>Navy</v>
          </cell>
          <cell r="AT57" t="str">
            <v>Fixed Wing</v>
          </cell>
          <cell r="AU57" t="str">
            <v>Northrop Grumman</v>
          </cell>
          <cell r="AV57">
            <v>0</v>
          </cell>
          <cell r="AW57">
            <v>2009</v>
          </cell>
          <cell r="AX57" t="str">
            <v>PdE</v>
          </cell>
          <cell r="AY57">
            <v>18083.436853002069</v>
          </cell>
          <cell r="AZ57">
            <v>19031.400000000001</v>
          </cell>
          <cell r="BA57">
            <v>1201.2</v>
          </cell>
          <cell r="BB57">
            <v>92.23602484472049</v>
          </cell>
          <cell r="BC57">
            <v>17468.599999999999</v>
          </cell>
          <cell r="BD57" t="str">
            <v/>
          </cell>
          <cell r="BE57">
            <v>1186434853.8897066</v>
          </cell>
          <cell r="BF57">
            <v>1.0252008138064206</v>
          </cell>
        </row>
        <row r="58">
          <cell r="A58" t="str">
            <v>E-8 JSTARS</v>
          </cell>
          <cell r="B58">
            <v>247.1</v>
          </cell>
          <cell r="C58">
            <v>104.4</v>
          </cell>
          <cell r="D58">
            <v>142.69999999999999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471.1</v>
          </cell>
          <cell r="L58">
            <v>204041.18677536995</v>
          </cell>
          <cell r="M58">
            <v>232158.67761350988</v>
          </cell>
          <cell r="N58">
            <v>285001.14913036983</v>
          </cell>
          <cell r="O58">
            <v>269313.55681396055</v>
          </cell>
          <cell r="P58">
            <v>358084.57709169737</v>
          </cell>
          <cell r="Q58">
            <v>377899.75884614955</v>
          </cell>
          <cell r="R58">
            <v>4.2419999999999999E-2</v>
          </cell>
          <cell r="S58">
            <v>299881.25952939951</v>
          </cell>
          <cell r="T58">
            <v>1954.4174978483711</v>
          </cell>
          <cell r="U58">
            <v>1626.900333661597</v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>
            <v>866479.76275145903</v>
          </cell>
          <cell r="AC58">
            <v>212923.54556321035</v>
          </cell>
          <cell r="AD58">
            <v>199196.32976570804</v>
          </cell>
          <cell r="AE58">
            <v>46994.841220860013</v>
          </cell>
          <cell r="AF58">
            <v>8296.3674329900005</v>
          </cell>
          <cell r="AG58">
            <v>691902.30516076973</v>
          </cell>
          <cell r="AH58">
            <v>587.05632546000004</v>
          </cell>
          <cell r="AI58" t="str">
            <v>Unclear</v>
          </cell>
          <cell r="AJ58">
            <v>1685322.8887142679</v>
          </cell>
          <cell r="AK58">
            <v>365687.84264591977</v>
          </cell>
          <cell r="AL58">
            <v>6828.4347161099995</v>
          </cell>
          <cell r="AM58">
            <v>156376.30461445008</v>
          </cell>
          <cell r="AN58">
            <v>41792.934707580011</v>
          </cell>
          <cell r="AO58" t="str">
            <v>Fixed Price</v>
          </cell>
          <cell r="AP58">
            <v>1726498.948691057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 t="str">
            <v>Northrop Grumman</v>
          </cell>
          <cell r="AV58">
            <v>0</v>
          </cell>
          <cell r="AW58">
            <v>1998</v>
          </cell>
          <cell r="AX58" t="str">
            <v>PdE</v>
          </cell>
          <cell r="AY58">
            <v>13199.069767441861</v>
          </cell>
          <cell r="AZ58">
            <v>9762.1</v>
          </cell>
          <cell r="BA58">
            <v>0</v>
          </cell>
          <cell r="BB58">
            <v>-492.22591362126246</v>
          </cell>
          <cell r="BC58">
            <v>9932.2999999999993</v>
          </cell>
          <cell r="BD58" t="str">
            <v/>
          </cell>
          <cell r="BE58">
            <v>4362636524030.9463</v>
          </cell>
          <cell r="BF58">
            <v>2026380208222.6125</v>
          </cell>
        </row>
        <row r="59">
          <cell r="A59" t="str">
            <v>EA-18G</v>
          </cell>
          <cell r="B59">
            <v>8852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 t="str">
            <v/>
          </cell>
          <cell r="H59">
            <v>0</v>
          </cell>
          <cell r="I59">
            <v>0</v>
          </cell>
          <cell r="J59">
            <v>0</v>
          </cell>
          <cell r="K59">
            <v>93.8</v>
          </cell>
          <cell r="L59">
            <v>143.134321</v>
          </cell>
          <cell r="M59">
            <v>268.71247799999998</v>
          </cell>
          <cell r="N59">
            <v>0</v>
          </cell>
          <cell r="O59">
            <v>342.77317599999998</v>
          </cell>
          <cell r="P59">
            <v>4.7391259999999997</v>
          </cell>
          <cell r="Q59">
            <v>0.61450230000000006</v>
          </cell>
          <cell r="R59">
            <v>6.9999999999999999E-6</v>
          </cell>
          <cell r="S59">
            <v>203.01757085</v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>
            <v>55.687919999999998</v>
          </cell>
          <cell r="AC59">
            <v>5.6762912000000005</v>
          </cell>
          <cell r="AD59">
            <v>4.3603680199999992</v>
          </cell>
          <cell r="AE59">
            <v>0.28601500000000002</v>
          </cell>
          <cell r="AF59">
            <v>0</v>
          </cell>
          <cell r="AG59">
            <v>896.98058693000007</v>
          </cell>
          <cell r="AH59">
            <v>0</v>
          </cell>
          <cell r="AI59" t="str">
            <v>None</v>
          </cell>
          <cell r="AJ59">
            <v>1168.4009726000002</v>
          </cell>
          <cell r="AK59">
            <v>272.70282600000002</v>
          </cell>
          <cell r="AL59">
            <v>0</v>
          </cell>
          <cell r="AM59">
            <v>0.158776</v>
          </cell>
          <cell r="AN59">
            <v>0.63473599999999997</v>
          </cell>
          <cell r="AO59" t="str">
            <v>Fixed Price</v>
          </cell>
          <cell r="AP59">
            <v>8852</v>
          </cell>
          <cell r="AQ59">
            <v>378</v>
          </cell>
          <cell r="AR59" t="str">
            <v>None</v>
          </cell>
          <cell r="AS59" t="str">
            <v>Navy</v>
          </cell>
          <cell r="AT59" t="str">
            <v>Fixed Wing</v>
          </cell>
          <cell r="AU59" t="str">
            <v>Boeing</v>
          </cell>
          <cell r="AV59">
            <v>0</v>
          </cell>
          <cell r="AW59">
            <v>2004</v>
          </cell>
          <cell r="AX59" t="str">
            <v>PdE</v>
          </cell>
          <cell r="AY59">
            <v>8890.095620351789</v>
          </cell>
          <cell r="AZ59">
            <v>8636.4</v>
          </cell>
          <cell r="BA59">
            <v>1039.9000000000001</v>
          </cell>
          <cell r="BB59">
            <v>-111.08487781843938</v>
          </cell>
          <cell r="BC59">
            <v>7530.8</v>
          </cell>
          <cell r="BD59" t="str">
            <v/>
          </cell>
          <cell r="BE59">
            <v>1055441942.5737367</v>
          </cell>
          <cell r="BF59">
            <v>1.0960037466940584</v>
          </cell>
        </row>
        <row r="60">
          <cell r="A60" t="str">
            <v>EA-6B ICAP III</v>
          </cell>
          <cell r="B60">
            <v>1035.9000000000001</v>
          </cell>
          <cell r="C60" t="str">
            <v/>
          </cell>
          <cell r="D60" t="str">
            <v/>
          </cell>
          <cell r="E60" t="str">
            <v/>
          </cell>
          <cell r="F60" t="str">
            <v/>
          </cell>
          <cell r="G60" t="str">
            <v/>
          </cell>
          <cell r="H60">
            <v>0</v>
          </cell>
          <cell r="I60">
            <v>13.8</v>
          </cell>
          <cell r="J60">
            <v>17.399999999999999</v>
          </cell>
          <cell r="K60">
            <v>12.7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Missing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 t="str">
            <v>Missing</v>
          </cell>
          <cell r="AP60">
            <v>1035.9000000000001</v>
          </cell>
          <cell r="AQ60">
            <v>418</v>
          </cell>
          <cell r="AR60">
            <v>102</v>
          </cell>
          <cell r="AS60" t="str">
            <v>Navy</v>
          </cell>
          <cell r="AT60" t="str">
            <v>Fixed Wing</v>
          </cell>
          <cell r="AU60" t="str">
            <v>Northrop Grumman</v>
          </cell>
          <cell r="AV60">
            <v>0</v>
          </cell>
          <cell r="AW60">
            <v>2008</v>
          </cell>
          <cell r="AX60" t="str">
            <v>PdE</v>
          </cell>
          <cell r="AY60">
            <v>1185.4610301059477</v>
          </cell>
          <cell r="AZ60">
            <v>1053.8</v>
          </cell>
          <cell r="BA60">
            <v>0</v>
          </cell>
          <cell r="BB60">
            <v>28.742263715514525</v>
          </cell>
          <cell r="BC60">
            <v>1130.0999999999999</v>
          </cell>
          <cell r="BD60" t="str">
            <v/>
          </cell>
          <cell r="BE60">
            <v>901663670.94547927</v>
          </cell>
          <cell r="BF60" t="e">
            <v>#DIV/0!</v>
          </cell>
        </row>
        <row r="61">
          <cell r="A61" t="str">
            <v>EELV</v>
          </cell>
          <cell r="B61">
            <v>3754.4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1626.1</v>
          </cell>
          <cell r="H61">
            <v>2128.3000000000002</v>
          </cell>
          <cell r="I61">
            <v>0</v>
          </cell>
          <cell r="J61">
            <v>0</v>
          </cell>
          <cell r="K61">
            <v>25354.1</v>
          </cell>
          <cell r="L61">
            <v>204041.18677536995</v>
          </cell>
          <cell r="M61">
            <v>232158.67761350988</v>
          </cell>
          <cell r="N61">
            <v>285001.14913036983</v>
          </cell>
          <cell r="O61">
            <v>269313.55681396055</v>
          </cell>
          <cell r="P61">
            <v>358084.57709169737</v>
          </cell>
          <cell r="Q61">
            <v>377899.75884614955</v>
          </cell>
          <cell r="R61">
            <v>4.2419999999999999E-2</v>
          </cell>
          <cell r="S61">
            <v>299881.25952939951</v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>
            <v>220.21067406167973</v>
          </cell>
          <cell r="Y61">
            <v>177.55944126586925</v>
          </cell>
          <cell r="Z61" t="str">
            <v/>
          </cell>
          <cell r="AA61" t="str">
            <v/>
          </cell>
          <cell r="AB61">
            <v>866479.76275145903</v>
          </cell>
          <cell r="AC61">
            <v>212923.54556321035</v>
          </cell>
          <cell r="AD61">
            <v>199196.32976570804</v>
          </cell>
          <cell r="AE61">
            <v>46994.841220860013</v>
          </cell>
          <cell r="AF61">
            <v>8296.3674329900005</v>
          </cell>
          <cell r="AG61">
            <v>691902.30516076973</v>
          </cell>
          <cell r="AH61">
            <v>587.05632546000004</v>
          </cell>
          <cell r="AI61" t="str">
            <v>Unclear</v>
          </cell>
          <cell r="AJ61">
            <v>1685322.8887142679</v>
          </cell>
          <cell r="AK61">
            <v>365687.84264591977</v>
          </cell>
          <cell r="AL61">
            <v>6828.4347161099995</v>
          </cell>
          <cell r="AM61">
            <v>156376.30461445008</v>
          </cell>
          <cell r="AN61">
            <v>41792.934707580011</v>
          </cell>
          <cell r="AO61" t="str">
            <v>Fixed Price</v>
          </cell>
          <cell r="AP61">
            <v>1726498.948691057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 t="str">
            <v>United Launch Alliance (Boeing and Lockheed JV)</v>
          </cell>
          <cell r="AV61">
            <v>0</v>
          </cell>
          <cell r="AW61">
            <v>1995</v>
          </cell>
          <cell r="AX61" t="str">
            <v>DE</v>
          </cell>
          <cell r="AY61">
            <v>18321.832658192485</v>
          </cell>
          <cell r="AZ61">
            <v>17347.8</v>
          </cell>
          <cell r="BA61">
            <v>0</v>
          </cell>
          <cell r="BB61">
            <v>23587.093169437074</v>
          </cell>
          <cell r="BC61">
            <v>13116.6</v>
          </cell>
          <cell r="BD61" t="str">
            <v/>
          </cell>
          <cell r="BE61">
            <v>4362636524030.9463</v>
          </cell>
          <cell r="BF61">
            <v>2026380208222.6125</v>
          </cell>
        </row>
        <row r="62">
          <cell r="A62" t="str">
            <v>EFV</v>
          </cell>
          <cell r="B62">
            <v>3329.6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str">
            <v/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107.42738876</v>
          </cell>
          <cell r="M62">
            <v>50.857451730000001</v>
          </cell>
          <cell r="N62">
            <v>19.602388489999999</v>
          </cell>
          <cell r="O62">
            <v>9.9015925399999993</v>
          </cell>
          <cell r="P62">
            <v>3.9033231399999999</v>
          </cell>
          <cell r="Q62">
            <v>0.34451683999999994</v>
          </cell>
          <cell r="R62">
            <v>1.9100000000000001E-4</v>
          </cell>
          <cell r="S62">
            <v>147.08258863</v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>
            <v>36.29447660000001</v>
          </cell>
          <cell r="AC62">
            <v>3.02835067</v>
          </cell>
          <cell r="AD62">
            <v>23.86859317</v>
          </cell>
          <cell r="AE62">
            <v>2.52998513</v>
          </cell>
          <cell r="AF62">
            <v>5.3308231000000008</v>
          </cell>
          <cell r="AG62">
            <v>268.06721246000001</v>
          </cell>
          <cell r="AH62">
            <v>0</v>
          </cell>
          <cell r="AI62" t="str">
            <v>None</v>
          </cell>
          <cell r="AJ62">
            <v>169.10292188999998</v>
          </cell>
          <cell r="AK62">
            <v>133.15836639000003</v>
          </cell>
          <cell r="AL62">
            <v>140.43204600000001</v>
          </cell>
          <cell r="AM62">
            <v>7.471013E-2</v>
          </cell>
          <cell r="AN62">
            <v>147.976159</v>
          </cell>
          <cell r="AO62" t="str">
            <v>Unclear</v>
          </cell>
          <cell r="AP62">
            <v>3329.6</v>
          </cell>
          <cell r="AQ62">
            <v>515</v>
          </cell>
          <cell r="AR62" t="str">
            <v>None</v>
          </cell>
          <cell r="AS62" t="str">
            <v>Navy</v>
          </cell>
          <cell r="AT62" t="str">
            <v>AFV</v>
          </cell>
          <cell r="AU62" t="str">
            <v>General Dynamics</v>
          </cell>
          <cell r="AV62">
            <v>0</v>
          </cell>
          <cell r="AW62">
            <v>2007</v>
          </cell>
          <cell r="AX62" t="str">
            <v>DE</v>
          </cell>
          <cell r="AY62">
            <v>9113.8534177486872</v>
          </cell>
          <cell r="AZ62">
            <v>8725.2000000000007</v>
          </cell>
          <cell r="BA62">
            <v>0</v>
          </cell>
          <cell r="BB62">
            <v>2084.0218907608114</v>
          </cell>
          <cell r="BC62">
            <v>8493.2000000000007</v>
          </cell>
          <cell r="BD62" t="str">
            <v/>
          </cell>
          <cell r="BE62">
            <v>379280329.18583167</v>
          </cell>
          <cell r="BF62">
            <v>1.1184269705151946</v>
          </cell>
        </row>
        <row r="63">
          <cell r="A63" t="str">
            <v>E-IBCT</v>
          </cell>
          <cell r="B63">
            <v>1182.4000000000001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 t="str">
            <v/>
          </cell>
          <cell r="H63" t="str">
            <v/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Missing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 t="str">
            <v>Missing</v>
          </cell>
          <cell r="AP63">
            <v>1182.4000000000001</v>
          </cell>
          <cell r="AQ63" t="str">
            <v>None</v>
          </cell>
          <cell r="AR63" t="str">
            <v>None</v>
          </cell>
          <cell r="AS63" t="str">
            <v>Army</v>
          </cell>
          <cell r="AT63">
            <v>0</v>
          </cell>
          <cell r="AU63" t="str">
            <v>Boeing</v>
          </cell>
          <cell r="AV63" t="str">
            <v xml:space="preserve">SAIC </v>
          </cell>
          <cell r="AW63">
            <v>2010</v>
          </cell>
          <cell r="AX63" t="str">
            <v>PdE</v>
          </cell>
          <cell r="AY63">
            <v>3235.8984896743041</v>
          </cell>
          <cell r="AZ63">
            <v>3284</v>
          </cell>
          <cell r="BA63">
            <v>76.7</v>
          </cell>
          <cell r="BB63">
            <v>-862.22130894893667</v>
          </cell>
          <cell r="BC63">
            <v>3149.5</v>
          </cell>
          <cell r="BD63" t="str">
            <v/>
          </cell>
          <cell r="BE63">
            <v>0</v>
          </cell>
          <cell r="BF63" t="e">
            <v>#DIV/0!</v>
          </cell>
        </row>
        <row r="64">
          <cell r="A64" t="str">
            <v>ER/MP UAS</v>
          </cell>
          <cell r="B64" t="e">
            <v>#VALUE!</v>
          </cell>
          <cell r="C64" t="str">
            <v/>
          </cell>
          <cell r="D64" t="str">
            <v/>
          </cell>
          <cell r="E64" t="str">
            <v/>
          </cell>
          <cell r="F64" t="str">
            <v/>
          </cell>
          <cell r="G64" t="str">
            <v/>
          </cell>
          <cell r="H64" t="str">
            <v/>
          </cell>
          <cell r="I64" t="str">
            <v/>
          </cell>
          <cell r="J64" t="str">
            <v/>
          </cell>
          <cell r="K64" t="str">
            <v/>
          </cell>
          <cell r="L64">
            <v>0</v>
          </cell>
          <cell r="M64">
            <v>0</v>
          </cell>
          <cell r="N64">
            <v>0</v>
          </cell>
          <cell r="O64">
            <v>11590.431575000001</v>
          </cell>
          <cell r="P64">
            <v>31493.064013999989</v>
          </cell>
          <cell r="Q64">
            <v>7751.5573671500051</v>
          </cell>
          <cell r="R64">
            <v>1.0000000000000001E-5</v>
          </cell>
          <cell r="S64">
            <v>381.35818474999996</v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>
            <v>51216.411150899992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Full and Open -Multiple Bidders</v>
          </cell>
          <cell r="AJ64">
            <v>52466.868865799996</v>
          </cell>
          <cell r="AK64">
            <v>0</v>
          </cell>
          <cell r="AL64">
            <v>0</v>
          </cell>
          <cell r="AM64">
            <v>0</v>
          </cell>
          <cell r="AN64">
            <v>38.329361349999992</v>
          </cell>
          <cell r="AO64" t="str">
            <v>Fixed Price</v>
          </cell>
          <cell r="AP64" t="e">
            <v>#VALUE!</v>
          </cell>
          <cell r="AQ64">
            <v>353</v>
          </cell>
          <cell r="AR64" t="str">
            <v>None</v>
          </cell>
          <cell r="AS64" t="str">
            <v>Army</v>
          </cell>
          <cell r="AT64">
            <v>0</v>
          </cell>
          <cell r="AU64" t="str">
            <v>General Atomics Aeronautical Systems</v>
          </cell>
          <cell r="AV64">
            <v>0</v>
          </cell>
          <cell r="AW64" t="str">
            <v/>
          </cell>
          <cell r="AX64" t="str">
            <v/>
          </cell>
          <cell r="AY64" t="e">
            <v>#VALUE!</v>
          </cell>
          <cell r="AZ64" t="str">
            <v/>
          </cell>
          <cell r="BA64" t="str">
            <v/>
          </cell>
          <cell r="BB64" t="e">
            <v>#VALUE!</v>
          </cell>
          <cell r="BC64" t="str">
            <v/>
          </cell>
          <cell r="BD64" t="str">
            <v/>
          </cell>
          <cell r="BE64">
            <v>53884299381.334671</v>
          </cell>
          <cell r="BF64">
            <v>1.0520904954190216</v>
          </cell>
        </row>
        <row r="65">
          <cell r="A65" t="str">
            <v>ERM</v>
          </cell>
          <cell r="B65">
            <v>68.599999999999994</v>
          </cell>
          <cell r="C65" t="str">
            <v/>
          </cell>
          <cell r="D65" t="str">
            <v/>
          </cell>
          <cell r="E65" t="str">
            <v/>
          </cell>
          <cell r="F65">
            <v>0</v>
          </cell>
          <cell r="G65">
            <v>29.8</v>
          </cell>
          <cell r="H65">
            <v>38.799999999999997</v>
          </cell>
          <cell r="I65">
            <v>0</v>
          </cell>
          <cell r="J65">
            <v>0</v>
          </cell>
          <cell r="K65">
            <v>1113.2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 t="str">
            <v/>
          </cell>
          <cell r="U65" t="str">
            <v/>
          </cell>
          <cell r="V65" t="str">
            <v/>
          </cell>
          <cell r="W65" t="str">
            <v/>
          </cell>
          <cell r="X65">
            <v>0</v>
          </cell>
          <cell r="Y65">
            <v>0</v>
          </cell>
          <cell r="Z65" t="str">
            <v/>
          </cell>
          <cell r="AA65" t="str">
            <v/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Missing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 t="str">
            <v>Missing</v>
          </cell>
          <cell r="AP65">
            <v>68.599999999999994</v>
          </cell>
          <cell r="AQ65">
            <v>256</v>
          </cell>
          <cell r="AR65" t="str">
            <v>None</v>
          </cell>
          <cell r="AS65" t="str">
            <v>Navy</v>
          </cell>
          <cell r="AT65" t="str">
            <v>Munitions</v>
          </cell>
          <cell r="AU65" t="str">
            <v>Raytheon</v>
          </cell>
          <cell r="AV65">
            <v>0</v>
          </cell>
          <cell r="AW65">
            <v>2005</v>
          </cell>
          <cell r="AX65" t="str">
            <v>DE</v>
          </cell>
          <cell r="AY65">
            <v>1420.7156739453526</v>
          </cell>
          <cell r="AZ65">
            <v>1478</v>
          </cell>
          <cell r="BA65">
            <v>0</v>
          </cell>
          <cell r="BB65">
            <v>51.217560306390759</v>
          </cell>
          <cell r="BC65">
            <v>1242.7</v>
          </cell>
          <cell r="BD65" t="str">
            <v/>
          </cell>
          <cell r="BE65">
            <v>0</v>
          </cell>
          <cell r="BF65" t="e">
            <v>#DIV/0!</v>
          </cell>
        </row>
        <row r="66">
          <cell r="A66" t="str">
            <v>EXCALIBUR</v>
          </cell>
          <cell r="B66">
            <v>1381.9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 t="str">
            <v/>
          </cell>
          <cell r="H66">
            <v>0</v>
          </cell>
          <cell r="I66">
            <v>0</v>
          </cell>
          <cell r="J66">
            <v>0</v>
          </cell>
          <cell r="K66">
            <v>70.2</v>
          </cell>
          <cell r="L66">
            <v>0</v>
          </cell>
          <cell r="M66">
            <v>97.556220999999994</v>
          </cell>
          <cell r="N66">
            <v>0</v>
          </cell>
          <cell r="O66">
            <v>252.34218792000007</v>
          </cell>
          <cell r="P66">
            <v>350.92113300000011</v>
          </cell>
          <cell r="Q66">
            <v>-4.0210567800000003</v>
          </cell>
          <cell r="R66">
            <v>1.9999999999999999E-6</v>
          </cell>
          <cell r="S66">
            <v>-17.678149940000004</v>
          </cell>
          <cell r="T66" t="str">
            <v/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>
            <v>132.51410799999999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546.60622920000014</v>
          </cell>
          <cell r="AH66">
            <v>0</v>
          </cell>
          <cell r="AI66" t="str">
            <v>None</v>
          </cell>
          <cell r="AJ66">
            <v>546.1449302000002</v>
          </cell>
          <cell r="AK66">
            <v>110.432571</v>
          </cell>
          <cell r="AL66">
            <v>0</v>
          </cell>
          <cell r="AM66">
            <v>0</v>
          </cell>
          <cell r="AN66">
            <v>22.375302000000001</v>
          </cell>
          <cell r="AO66" t="str">
            <v>Fixed Price</v>
          </cell>
          <cell r="AP66">
            <v>1381.9</v>
          </cell>
          <cell r="AQ66">
            <v>366</v>
          </cell>
          <cell r="AR66" t="str">
            <v>None</v>
          </cell>
          <cell r="AS66" t="str">
            <v>Army</v>
          </cell>
          <cell r="AT66">
            <v>0</v>
          </cell>
          <cell r="AU66" t="str">
            <v>Raytheon</v>
          </cell>
          <cell r="AV66" t="str">
            <v>BAE Bofors</v>
          </cell>
          <cell r="AW66">
            <v>2007</v>
          </cell>
          <cell r="AX66" t="str">
            <v>PdE</v>
          </cell>
          <cell r="AY66">
            <v>1775.5123940336946</v>
          </cell>
          <cell r="AZ66">
            <v>1679</v>
          </cell>
          <cell r="BA66">
            <v>97.7</v>
          </cell>
          <cell r="BB66">
            <v>-25.324605644382448</v>
          </cell>
          <cell r="BC66">
            <v>1654.6</v>
          </cell>
          <cell r="BD66" t="str">
            <v/>
          </cell>
          <cell r="BE66">
            <v>750425501.31217706</v>
          </cell>
          <cell r="BF66">
            <v>1.104996361036936</v>
          </cell>
        </row>
        <row r="67">
          <cell r="A67" t="str">
            <v>F/A-18E/F</v>
          </cell>
          <cell r="B67">
            <v>45404.3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 t="str">
            <v/>
          </cell>
          <cell r="H67">
            <v>0</v>
          </cell>
          <cell r="I67">
            <v>0</v>
          </cell>
          <cell r="J67">
            <v>0</v>
          </cell>
          <cell r="K67">
            <v>1154</v>
          </cell>
          <cell r="L67">
            <v>622.69595305999997</v>
          </cell>
          <cell r="M67">
            <v>2658.3067461999999</v>
          </cell>
          <cell r="N67">
            <v>1060.2659931399999</v>
          </cell>
          <cell r="O67">
            <v>3504.1476835299995</v>
          </cell>
          <cell r="P67">
            <v>689.46189781999988</v>
          </cell>
          <cell r="Q67">
            <v>174.79686154000001</v>
          </cell>
          <cell r="R67">
            <v>5.3000000000000001E-5</v>
          </cell>
          <cell r="S67">
            <v>2597.9439449299985</v>
          </cell>
          <cell r="T67" t="str">
            <v/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>
            <v>419.49004418999999</v>
          </cell>
          <cell r="AC67">
            <v>83.785212330000007</v>
          </cell>
          <cell r="AD67">
            <v>10.84881079</v>
          </cell>
          <cell r="AE67">
            <v>145.908692</v>
          </cell>
          <cell r="AF67">
            <v>49.201399000000002</v>
          </cell>
          <cell r="AG67">
            <v>10598.384974909999</v>
          </cell>
          <cell r="AH67">
            <v>0</v>
          </cell>
          <cell r="AI67" t="str">
            <v>None</v>
          </cell>
          <cell r="AJ67">
            <v>11793.905351880001</v>
          </cell>
          <cell r="AK67">
            <v>1426.3213533500002</v>
          </cell>
          <cell r="AL67">
            <v>14.960806400000003</v>
          </cell>
          <cell r="AM67">
            <v>138.84225033000001</v>
          </cell>
          <cell r="AN67">
            <v>477.35729045999994</v>
          </cell>
          <cell r="AO67" t="str">
            <v>Fixed Price</v>
          </cell>
          <cell r="AP67">
            <v>45404.3</v>
          </cell>
          <cell r="AQ67">
            <v>549</v>
          </cell>
          <cell r="AR67" t="str">
            <v>None</v>
          </cell>
          <cell r="AS67" t="str">
            <v>Navy</v>
          </cell>
          <cell r="AT67" t="str">
            <v>Fixed Wing</v>
          </cell>
          <cell r="AU67" t="str">
            <v>Boeing</v>
          </cell>
          <cell r="AV67" t="str">
            <v>(Northrop Grumman, GE Aviation, Raytheon all contribute)</v>
          </cell>
          <cell r="AW67">
            <v>2000</v>
          </cell>
          <cell r="AX67" t="str">
            <v>PdE</v>
          </cell>
          <cell r="AY67">
            <v>50006.04423868312</v>
          </cell>
          <cell r="AZ67">
            <v>41637.300000000003</v>
          </cell>
          <cell r="BA67">
            <v>2356.6999999999998</v>
          </cell>
          <cell r="BB67">
            <v>-1219.0072016460904</v>
          </cell>
          <cell r="BC67">
            <v>38884.699999999997</v>
          </cell>
          <cell r="BD67" t="str">
            <v/>
          </cell>
          <cell r="BE67">
            <v>12245144091.373014</v>
          </cell>
          <cell r="BF67">
            <v>1.0829109069829488</v>
          </cell>
        </row>
        <row r="68">
          <cell r="A68" t="str">
            <v>F-22</v>
          </cell>
          <cell r="B68">
            <v>64257.4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>
            <v>0</v>
          </cell>
          <cell r="I68">
            <v>0</v>
          </cell>
          <cell r="J68">
            <v>0</v>
          </cell>
          <cell r="K68">
            <v>1539.7</v>
          </cell>
          <cell r="L68">
            <v>4471.5120699999998</v>
          </cell>
          <cell r="M68">
            <v>2734.8860610000002</v>
          </cell>
          <cell r="N68">
            <v>1925.0229449999999</v>
          </cell>
          <cell r="O68">
            <v>7203.2640270999991</v>
          </cell>
          <cell r="P68">
            <v>1451.9224409099998</v>
          </cell>
          <cell r="Q68">
            <v>1075.8987399600001</v>
          </cell>
          <cell r="R68">
            <v>5.0000000000000004E-6</v>
          </cell>
          <cell r="S68">
            <v>2270.3069937700002</v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>
            <v>4.3023971599999999</v>
          </cell>
          <cell r="AC68">
            <v>3.8910800000000001</v>
          </cell>
          <cell r="AD68">
            <v>583.67522799999995</v>
          </cell>
          <cell r="AE68">
            <v>0</v>
          </cell>
          <cell r="AF68">
            <v>458.04094199999997</v>
          </cell>
          <cell r="AG68">
            <v>20082.903635580002</v>
          </cell>
          <cell r="AH68">
            <v>0</v>
          </cell>
          <cell r="AI68" t="str">
            <v>None</v>
          </cell>
          <cell r="AJ68">
            <v>12876.978119619998</v>
          </cell>
          <cell r="AK68">
            <v>9582.2303708500003</v>
          </cell>
          <cell r="AL68">
            <v>0</v>
          </cell>
          <cell r="AM68">
            <v>1355.5955715400003</v>
          </cell>
          <cell r="AN68">
            <v>0</v>
          </cell>
          <cell r="AO68" t="str">
            <v>Fixed Price</v>
          </cell>
          <cell r="AP68">
            <v>64257.4</v>
          </cell>
          <cell r="AQ68">
            <v>265</v>
          </cell>
          <cell r="AR68" t="str">
            <v>None</v>
          </cell>
          <cell r="AS68" t="str">
            <v>Air Force</v>
          </cell>
          <cell r="AT68" t="str">
            <v>Fixed Wing</v>
          </cell>
          <cell r="AU68" t="str">
            <v>Lockheed Martin, Boeing, Pratt &amp; Whitney</v>
          </cell>
          <cell r="AV68">
            <v>0</v>
          </cell>
          <cell r="AW68">
            <v>2005</v>
          </cell>
          <cell r="AX68" t="str">
            <v>PdE</v>
          </cell>
          <cell r="AY68">
            <v>73489.996570252653</v>
          </cell>
          <cell r="AZ68">
            <v>61323.7</v>
          </cell>
          <cell r="BA68">
            <v>839</v>
          </cell>
          <cell r="BB68">
            <v>3710.4149994283753</v>
          </cell>
          <cell r="BC68">
            <v>64281.7</v>
          </cell>
          <cell r="BD68" t="str">
            <v/>
          </cell>
          <cell r="BE68">
            <v>23209243306.846497</v>
          </cell>
          <cell r="BF68">
            <v>1.0982562045254241</v>
          </cell>
        </row>
        <row r="69">
          <cell r="A69" t="str">
            <v>F-35</v>
          </cell>
          <cell r="B69">
            <v>65990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 t="str">
            <v/>
          </cell>
          <cell r="H69">
            <v>0</v>
          </cell>
          <cell r="I69">
            <v>0</v>
          </cell>
          <cell r="J69">
            <v>0</v>
          </cell>
          <cell r="K69">
            <v>293070.8</v>
          </cell>
          <cell r="L69">
            <v>237.03000422</v>
          </cell>
          <cell r="M69">
            <v>309.91802799999999</v>
          </cell>
          <cell r="N69">
            <v>77.311139999999995</v>
          </cell>
          <cell r="O69">
            <v>1080.5225393199999</v>
          </cell>
          <cell r="P69">
            <v>39.878401459999971</v>
          </cell>
          <cell r="Q69">
            <v>3.0340710199999998</v>
          </cell>
          <cell r="R69">
            <v>1.4E-5</v>
          </cell>
          <cell r="S69">
            <v>6533.4933295499995</v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>
            <v>41.62440479</v>
          </cell>
          <cell r="AC69">
            <v>13.893518929999999</v>
          </cell>
          <cell r="AD69">
            <v>134.33616900000001</v>
          </cell>
          <cell r="AE69">
            <v>8.7790360399999994</v>
          </cell>
          <cell r="AF69">
            <v>2.21290187</v>
          </cell>
          <cell r="AG69">
            <v>8080.3414969399992</v>
          </cell>
          <cell r="AH69">
            <v>0</v>
          </cell>
          <cell r="AI69" t="str">
            <v>None</v>
          </cell>
          <cell r="AJ69">
            <v>3895.3792190300001</v>
          </cell>
          <cell r="AK69">
            <v>1708.2742806199999</v>
          </cell>
          <cell r="AL69">
            <v>0</v>
          </cell>
          <cell r="AM69">
            <v>4508.23323076</v>
          </cell>
          <cell r="AN69">
            <v>5.6534579100000002</v>
          </cell>
          <cell r="AO69" t="str">
            <v>Unclear</v>
          </cell>
          <cell r="AP69">
            <v>65990</v>
          </cell>
          <cell r="AQ69">
            <v>198</v>
          </cell>
          <cell r="AR69" t="str">
            <v>None</v>
          </cell>
          <cell r="AS69" t="str">
            <v>DoD-wide</v>
          </cell>
          <cell r="AT69" t="str">
            <v>Fixed Wing</v>
          </cell>
          <cell r="AU69" t="str">
            <v>Lockheed Martin</v>
          </cell>
          <cell r="AV69">
            <v>0</v>
          </cell>
          <cell r="AW69">
            <v>2002</v>
          </cell>
          <cell r="AX69" t="str">
            <v>DE</v>
          </cell>
          <cell r="AY69">
            <v>218912.23733003708</v>
          </cell>
          <cell r="AZ69">
            <v>233000</v>
          </cell>
          <cell r="BA69">
            <v>9743.2000000000007</v>
          </cell>
          <cell r="BB69">
            <v>96395.055624227447</v>
          </cell>
          <cell r="BC69">
            <v>177100</v>
          </cell>
          <cell r="BD69" t="str">
            <v/>
          </cell>
          <cell r="BE69">
            <v>8548627812.4790945</v>
          </cell>
          <cell r="BF69">
            <v>1.0322949195412763</v>
          </cell>
        </row>
        <row r="70">
          <cell r="A70" t="str">
            <v>F-35 Aircraft</v>
          </cell>
          <cell r="B70">
            <v>54366</v>
          </cell>
          <cell r="C70" t="str">
            <v/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>
            <v>0</v>
          </cell>
          <cell r="K70">
            <v>261528.5</v>
          </cell>
          <cell r="L70">
            <v>204041.18677536995</v>
          </cell>
          <cell r="M70">
            <v>232158.67761350988</v>
          </cell>
          <cell r="N70">
            <v>285001.14913036983</v>
          </cell>
          <cell r="O70">
            <v>269313.55681396055</v>
          </cell>
          <cell r="P70">
            <v>358084.57709169737</v>
          </cell>
          <cell r="Q70">
            <v>377899.75884614955</v>
          </cell>
          <cell r="R70">
            <v>4.2419999999999999E-2</v>
          </cell>
          <cell r="S70">
            <v>299881.25952939951</v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>
            <v>866479.76275145903</v>
          </cell>
          <cell r="AC70">
            <v>212923.54556321035</v>
          </cell>
          <cell r="AD70">
            <v>199196.32976570804</v>
          </cell>
          <cell r="AE70">
            <v>46994.841220860013</v>
          </cell>
          <cell r="AF70">
            <v>8296.3674329900005</v>
          </cell>
          <cell r="AG70">
            <v>691902.30516076973</v>
          </cell>
          <cell r="AH70">
            <v>587.05632546000004</v>
          </cell>
          <cell r="AI70" t="str">
            <v>Unclear</v>
          </cell>
          <cell r="AJ70">
            <v>1685322.8887142679</v>
          </cell>
          <cell r="AK70">
            <v>365687.84264591977</v>
          </cell>
          <cell r="AL70">
            <v>6828.4347161099995</v>
          </cell>
          <cell r="AM70">
            <v>156376.30461445008</v>
          </cell>
          <cell r="AN70">
            <v>41792.934707580011</v>
          </cell>
          <cell r="AO70" t="str">
            <v>Fixed Price</v>
          </cell>
          <cell r="AP70">
            <v>1726498.948691057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2012</v>
          </cell>
          <cell r="AX70" t="str">
            <v>DE</v>
          </cell>
          <cell r="AY70">
            <v>178478.7</v>
          </cell>
          <cell r="AZ70">
            <v>194351.7</v>
          </cell>
          <cell r="BA70">
            <v>8116</v>
          </cell>
          <cell r="BB70">
            <v>89169.4</v>
          </cell>
          <cell r="BC70">
            <v>178478.7</v>
          </cell>
          <cell r="BD70" t="str">
            <v/>
          </cell>
          <cell r="BE70">
            <v>4362636524030.9463</v>
          </cell>
          <cell r="BF70">
            <v>2026380208222.6125</v>
          </cell>
        </row>
        <row r="71">
          <cell r="A71" t="str">
            <v>F-35 Engine</v>
          </cell>
          <cell r="B71">
            <v>11905.3</v>
          </cell>
          <cell r="C71" t="str">
            <v/>
          </cell>
          <cell r="D71" t="str">
            <v/>
          </cell>
          <cell r="E71" t="str">
            <v/>
          </cell>
          <cell r="F71" t="str">
            <v/>
          </cell>
          <cell r="G71" t="str">
            <v/>
          </cell>
          <cell r="H71" t="str">
            <v/>
          </cell>
          <cell r="I71" t="str">
            <v/>
          </cell>
          <cell r="J71">
            <v>0</v>
          </cell>
          <cell r="K71">
            <v>48912.2</v>
          </cell>
          <cell r="L71">
            <v>204041.18677536995</v>
          </cell>
          <cell r="M71">
            <v>232158.67761350988</v>
          </cell>
          <cell r="N71">
            <v>285001.14913036983</v>
          </cell>
          <cell r="O71">
            <v>269313.55681396055</v>
          </cell>
          <cell r="P71">
            <v>358084.57709169737</v>
          </cell>
          <cell r="Q71">
            <v>377899.75884614955</v>
          </cell>
          <cell r="R71">
            <v>4.2419999999999999E-2</v>
          </cell>
          <cell r="S71">
            <v>299881.25952939951</v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866479.76275145903</v>
          </cell>
          <cell r="AC71">
            <v>212923.54556321035</v>
          </cell>
          <cell r="AD71">
            <v>199196.32976570804</v>
          </cell>
          <cell r="AE71">
            <v>46994.841220860013</v>
          </cell>
          <cell r="AF71">
            <v>8296.3674329900005</v>
          </cell>
          <cell r="AG71">
            <v>691902.30516076973</v>
          </cell>
          <cell r="AH71">
            <v>587.05632546000004</v>
          </cell>
          <cell r="AI71" t="str">
            <v>Unclear</v>
          </cell>
          <cell r="AJ71">
            <v>1685322.8887142679</v>
          </cell>
          <cell r="AK71">
            <v>365687.84264591977</v>
          </cell>
          <cell r="AL71">
            <v>6828.4347161099995</v>
          </cell>
          <cell r="AM71">
            <v>156376.30461445008</v>
          </cell>
          <cell r="AN71">
            <v>41792.934707580011</v>
          </cell>
          <cell r="AO71" t="str">
            <v>Fixed Price</v>
          </cell>
          <cell r="AP71">
            <v>1726498.948691057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2012</v>
          </cell>
          <cell r="AX71" t="str">
            <v>DE</v>
          </cell>
          <cell r="AY71">
            <v>35229.5</v>
          </cell>
          <cell r="AZ71">
            <v>38648.300000000003</v>
          </cell>
          <cell r="BA71">
            <v>1471.9</v>
          </cell>
          <cell r="BB71">
            <v>14333.9</v>
          </cell>
          <cell r="BC71">
            <v>35229.5</v>
          </cell>
          <cell r="BD71" t="str">
            <v/>
          </cell>
          <cell r="BE71">
            <v>4362636524030.9463</v>
          </cell>
          <cell r="BF71">
            <v>2026380208222.6125</v>
          </cell>
        </row>
        <row r="72">
          <cell r="A72" t="str">
            <v>FAB-T</v>
          </cell>
          <cell r="B72">
            <v>1682.8</v>
          </cell>
          <cell r="C72" t="str">
            <v/>
          </cell>
          <cell r="D72" t="str">
            <v/>
          </cell>
          <cell r="E72" t="str">
            <v/>
          </cell>
          <cell r="F72">
            <v>0</v>
          </cell>
          <cell r="G72" t="str">
            <v/>
          </cell>
          <cell r="H72">
            <v>0</v>
          </cell>
          <cell r="I72">
            <v>0</v>
          </cell>
          <cell r="J72">
            <v>0</v>
          </cell>
          <cell r="K72">
            <v>2681.2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5.3872999999999997E-2</v>
          </cell>
          <cell r="Q72">
            <v>0</v>
          </cell>
          <cell r="R72">
            <v>5.0000000000000004E-6</v>
          </cell>
          <cell r="S72">
            <v>0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>
            <v>0</v>
          </cell>
          <cell r="AC72">
            <v>5.3872999999999997E-2</v>
          </cell>
          <cell r="AD72">
            <v>5.0000000000000004E-6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Full and Open -Single Bidder</v>
          </cell>
          <cell r="AJ72">
            <v>7.3592000000000005E-2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 t="str">
            <v>Fixed Price</v>
          </cell>
          <cell r="AP72">
            <v>1682.8</v>
          </cell>
          <cell r="AQ72">
            <v>199</v>
          </cell>
          <cell r="AR72" t="str">
            <v>None</v>
          </cell>
          <cell r="AS72" t="str">
            <v>Air Force</v>
          </cell>
          <cell r="AT72">
            <v>0</v>
          </cell>
          <cell r="AU72" t="str">
            <v>Boeing</v>
          </cell>
          <cell r="AV72">
            <v>0</v>
          </cell>
          <cell r="AW72">
            <v>2002</v>
          </cell>
          <cell r="AX72" t="str">
            <v>DE</v>
          </cell>
          <cell r="AY72">
            <v>3266.1310259579727</v>
          </cell>
          <cell r="AZ72">
            <v>3167.4</v>
          </cell>
          <cell r="BA72">
            <v>231.2</v>
          </cell>
          <cell r="BB72">
            <v>668.35599505562425</v>
          </cell>
          <cell r="BC72">
            <v>2642.3</v>
          </cell>
          <cell r="BD72" t="str">
            <v/>
          </cell>
          <cell r="BE72">
            <v>56517.252970476628</v>
          </cell>
          <cell r="BF72">
            <v>1.0489857264649138</v>
          </cell>
        </row>
        <row r="73">
          <cell r="A73" t="str">
            <v>FBCB2</v>
          </cell>
          <cell r="B73">
            <v>3817.6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 t="str">
            <v/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79.564617999999996</v>
          </cell>
          <cell r="M73">
            <v>197.76065800000001</v>
          </cell>
          <cell r="N73">
            <v>506.87855120000006</v>
          </cell>
          <cell r="O73">
            <v>1074.11942742</v>
          </cell>
          <cell r="P73">
            <v>580.33048730999997</v>
          </cell>
          <cell r="Q73">
            <v>174.17083029000003</v>
          </cell>
          <cell r="R73">
            <v>2.0999999999999999E-5</v>
          </cell>
          <cell r="S73">
            <v>106.03047528</v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>
            <v>403.98432120999996</v>
          </cell>
          <cell r="AC73">
            <v>62.065367999999999</v>
          </cell>
          <cell r="AD73">
            <v>173.27359125000001</v>
          </cell>
          <cell r="AE73">
            <v>24.450764899999999</v>
          </cell>
          <cell r="AF73">
            <v>0</v>
          </cell>
          <cell r="AG73">
            <v>2055.0810231400001</v>
          </cell>
          <cell r="AH73">
            <v>0</v>
          </cell>
          <cell r="AI73" t="str">
            <v>None</v>
          </cell>
          <cell r="AJ73">
            <v>2013.8242056599997</v>
          </cell>
          <cell r="AK73">
            <v>462.25035003000005</v>
          </cell>
          <cell r="AL73">
            <v>0</v>
          </cell>
          <cell r="AM73">
            <v>418.99699153999995</v>
          </cell>
          <cell r="AN73">
            <v>3.331833</v>
          </cell>
          <cell r="AO73" t="str">
            <v>Fixed Price</v>
          </cell>
          <cell r="AP73">
            <v>3817.6</v>
          </cell>
          <cell r="AQ73">
            <v>294</v>
          </cell>
          <cell r="AR73" t="str">
            <v>None</v>
          </cell>
          <cell r="AS73" t="str">
            <v>Army</v>
          </cell>
          <cell r="AT73">
            <v>0</v>
          </cell>
          <cell r="AU73" t="str">
            <v>Northrop Grumman</v>
          </cell>
          <cell r="AV73">
            <v>0</v>
          </cell>
          <cell r="AW73">
            <v>2005</v>
          </cell>
          <cell r="AX73" t="str">
            <v>PdE</v>
          </cell>
          <cell r="AY73">
            <v>1806.2192751800617</v>
          </cell>
          <cell r="AZ73">
            <v>1556.7</v>
          </cell>
          <cell r="BA73">
            <v>0</v>
          </cell>
          <cell r="BB73">
            <v>213.67325940322397</v>
          </cell>
          <cell r="BC73">
            <v>1579.9</v>
          </cell>
          <cell r="BD73" t="str">
            <v/>
          </cell>
          <cell r="BE73">
            <v>2931404499.2634964</v>
          </cell>
          <cell r="BF73">
            <v>1.0781760797866877</v>
          </cell>
        </row>
        <row r="74">
          <cell r="A74" t="str">
            <v>FCS</v>
          </cell>
          <cell r="B74">
            <v>6690.7999999999993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3374.6</v>
          </cell>
          <cell r="H74">
            <v>3316.2</v>
          </cell>
          <cell r="I74">
            <v>0</v>
          </cell>
          <cell r="J74">
            <v>0</v>
          </cell>
          <cell r="K74">
            <v>141237.79999999999</v>
          </cell>
          <cell r="L74">
            <v>63.033987000000003</v>
          </cell>
          <cell r="M74">
            <v>373.10301900000002</v>
          </cell>
          <cell r="N74">
            <v>1.50579</v>
          </cell>
          <cell r="O74">
            <v>3023.3258669800002</v>
          </cell>
          <cell r="P74">
            <v>13.101576</v>
          </cell>
          <cell r="Q74">
            <v>9.7273929999999993</v>
          </cell>
          <cell r="R74">
            <v>3.8000000000000002E-5</v>
          </cell>
          <cell r="S74">
            <v>900.37703703</v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>
            <v>3.882408581757838E-3</v>
          </cell>
          <cell r="Y74">
            <v>2.9332950364875459E-3</v>
          </cell>
          <cell r="Z74" t="str">
            <v/>
          </cell>
          <cell r="AA74" t="str">
            <v/>
          </cell>
          <cell r="AB74">
            <v>62.932687799999997</v>
          </cell>
          <cell r="AC74">
            <v>6.1176898900000003</v>
          </cell>
          <cell r="AD74">
            <v>4.4520749999999998</v>
          </cell>
          <cell r="AE74">
            <v>4.6675230000000001</v>
          </cell>
          <cell r="AF74">
            <v>0</v>
          </cell>
          <cell r="AG74">
            <v>4306.0047313199993</v>
          </cell>
          <cell r="AH74">
            <v>0</v>
          </cell>
          <cell r="AI74" t="str">
            <v>None</v>
          </cell>
          <cell r="AJ74">
            <v>18.216976339999995</v>
          </cell>
          <cell r="AK74">
            <v>5011.4939131599995</v>
          </cell>
          <cell r="AL74">
            <v>0</v>
          </cell>
          <cell r="AM74">
            <v>44.930242290000002</v>
          </cell>
          <cell r="AN74">
            <v>798.71745399999998</v>
          </cell>
          <cell r="AO74" t="str">
            <v>Cost (All Other; Including Time and Materials and Labor)</v>
          </cell>
          <cell r="AP74">
            <v>6690.7999999999993</v>
          </cell>
          <cell r="AQ74">
            <v>301</v>
          </cell>
          <cell r="AR74" t="str">
            <v>None</v>
          </cell>
          <cell r="AS74" t="str">
            <v>Army</v>
          </cell>
          <cell r="AT74">
            <v>0</v>
          </cell>
          <cell r="AU74" t="str">
            <v>Boeing</v>
          </cell>
          <cell r="AV74" t="str">
            <v>SAIC</v>
          </cell>
          <cell r="AW74">
            <v>2003</v>
          </cell>
          <cell r="AX74" t="str">
            <v>DE</v>
          </cell>
          <cell r="AY74">
            <v>94200.266376074578</v>
          </cell>
          <cell r="AZ74">
            <v>92200</v>
          </cell>
          <cell r="BA74">
            <v>0</v>
          </cell>
          <cell r="BB74">
            <v>5339.8716551640628</v>
          </cell>
          <cell r="BC74">
            <v>77800</v>
          </cell>
          <cell r="BD74" t="str">
            <v/>
          </cell>
          <cell r="BE74">
            <v>4709603874.0867519</v>
          </cell>
          <cell r="BF74">
            <v>1.0742281475590862</v>
          </cell>
        </row>
        <row r="75">
          <cell r="A75" t="str">
            <v>FMTV</v>
          </cell>
          <cell r="B75">
            <v>15648.1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 t="str">
            <v/>
          </cell>
          <cell r="H75">
            <v>0</v>
          </cell>
          <cell r="I75">
            <v>0</v>
          </cell>
          <cell r="J75">
            <v>0</v>
          </cell>
          <cell r="K75">
            <v>302.2</v>
          </cell>
          <cell r="L75">
            <v>72.293865280000006</v>
          </cell>
          <cell r="M75">
            <v>305.15682319999996</v>
          </cell>
          <cell r="N75">
            <v>101.743984</v>
          </cell>
          <cell r="O75">
            <v>126.65664581</v>
          </cell>
          <cell r="P75">
            <v>72.450591540000005</v>
          </cell>
          <cell r="Q75">
            <v>-1.1028058600000001</v>
          </cell>
          <cell r="R75">
            <v>4.1E-5</v>
          </cell>
          <cell r="S75">
            <v>69.027982169999987</v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92.341900890000005</v>
          </cell>
          <cell r="AC75">
            <v>54.668078729999991</v>
          </cell>
          <cell r="AD75">
            <v>38.053249339999994</v>
          </cell>
          <cell r="AE75">
            <v>7.9692236899999997</v>
          </cell>
          <cell r="AF75">
            <v>4.4637180000000001</v>
          </cell>
          <cell r="AG75">
            <v>548.72850348999998</v>
          </cell>
          <cell r="AH75">
            <v>2.4529999999999999E-3</v>
          </cell>
          <cell r="AI75" t="str">
            <v>None</v>
          </cell>
          <cell r="AJ75">
            <v>922.80318899999986</v>
          </cell>
          <cell r="AK75">
            <v>18.140737000000001</v>
          </cell>
          <cell r="AL75">
            <v>0</v>
          </cell>
          <cell r="AM75">
            <v>2.8717600000000001</v>
          </cell>
          <cell r="AN75">
            <v>5.2898940000000003</v>
          </cell>
          <cell r="AO75" t="str">
            <v>Fixed Price</v>
          </cell>
          <cell r="AP75">
            <v>15648.1</v>
          </cell>
          <cell r="AQ75">
            <v>746</v>
          </cell>
          <cell r="AR75" t="str">
            <v>None</v>
          </cell>
          <cell r="AS75" t="str">
            <v>Army</v>
          </cell>
          <cell r="AT75" t="str">
            <v>Vehicle</v>
          </cell>
          <cell r="AU75" t="str">
            <v>Oshkosh (2011)</v>
          </cell>
          <cell r="AV75">
            <v>0</v>
          </cell>
          <cell r="AW75">
            <v>1996</v>
          </cell>
          <cell r="AX75" t="str">
            <v>PdE</v>
          </cell>
          <cell r="AY75">
            <v>15888.995477593533</v>
          </cell>
          <cell r="AZ75">
            <v>18921.3</v>
          </cell>
          <cell r="BA75">
            <v>438</v>
          </cell>
          <cell r="BB75">
            <v>1119.7752501027819</v>
          </cell>
          <cell r="BC75">
            <v>11594.2</v>
          </cell>
          <cell r="BD75" t="str">
            <v/>
          </cell>
          <cell r="BE75">
            <v>828896882.20925486</v>
          </cell>
          <cell r="BF75">
            <v>1.110783636861469</v>
          </cell>
        </row>
        <row r="76">
          <cell r="A76" t="str">
            <v>GBS</v>
          </cell>
          <cell r="B76">
            <v>833.8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 t="str">
            <v/>
          </cell>
          <cell r="H76">
            <v>0</v>
          </cell>
          <cell r="I76">
            <v>0</v>
          </cell>
          <cell r="J76">
            <v>0</v>
          </cell>
          <cell r="K76">
            <v>88.4</v>
          </cell>
          <cell r="L76">
            <v>4.9468784000000001</v>
          </cell>
          <cell r="M76">
            <v>46.999809999999997</v>
          </cell>
          <cell r="N76">
            <v>41.454321999999998</v>
          </cell>
          <cell r="O76">
            <v>34.043515130000003</v>
          </cell>
          <cell r="P76">
            <v>25.990617740000001</v>
          </cell>
          <cell r="Q76">
            <v>26.533218779999999</v>
          </cell>
          <cell r="R76">
            <v>7.9999999999999996E-6</v>
          </cell>
          <cell r="S76">
            <v>39.33117215</v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>
            <v>90.138399920000012</v>
          </cell>
          <cell r="AC76">
            <v>30.517647719999999</v>
          </cell>
          <cell r="AD76">
            <v>0.20434723000000002</v>
          </cell>
          <cell r="AE76">
            <v>0</v>
          </cell>
          <cell r="AF76">
            <v>0</v>
          </cell>
          <cell r="AG76">
            <v>98.439147329999997</v>
          </cell>
          <cell r="AH76">
            <v>0</v>
          </cell>
          <cell r="AI76" t="str">
            <v>Unclear</v>
          </cell>
          <cell r="AJ76">
            <v>61.165934799999995</v>
          </cell>
          <cell r="AK76">
            <v>155.01485072000003</v>
          </cell>
          <cell r="AL76">
            <v>0</v>
          </cell>
          <cell r="AM76">
            <v>43.312688819999998</v>
          </cell>
          <cell r="AN76">
            <v>0.186</v>
          </cell>
          <cell r="AO76" t="str">
            <v>Cost (All Other; Including Time and Materials and Labor)</v>
          </cell>
          <cell r="AP76">
            <v>833.8</v>
          </cell>
          <cell r="AQ76">
            <v>237</v>
          </cell>
          <cell r="AR76" t="str">
            <v>None</v>
          </cell>
          <cell r="AS76" t="str">
            <v>Air Force</v>
          </cell>
          <cell r="AT76">
            <v>0</v>
          </cell>
          <cell r="AU76" t="str">
            <v>Raytheon</v>
          </cell>
          <cell r="AV76">
            <v>0</v>
          </cell>
          <cell r="AW76">
            <v>1997</v>
          </cell>
          <cell r="AX76" t="str">
            <v>DE</v>
          </cell>
          <cell r="AY76">
            <v>607.45525501278428</v>
          </cell>
          <cell r="AZ76">
            <v>497.1</v>
          </cell>
          <cell r="BA76">
            <v>97.3</v>
          </cell>
          <cell r="BB76">
            <v>-153.54595612972682</v>
          </cell>
          <cell r="BC76">
            <v>451.4</v>
          </cell>
          <cell r="BD76" t="str">
            <v/>
          </cell>
          <cell r="BE76">
            <v>236567628.26744017</v>
          </cell>
          <cell r="BF76">
            <v>1.0787420069107656</v>
          </cell>
          <cell r="BG76" t="str">
            <v>Army</v>
          </cell>
          <cell r="BH76" t="str">
            <v>Jun. 2004</v>
          </cell>
          <cell r="BI76" t="b">
            <v>1</v>
          </cell>
        </row>
        <row r="77">
          <cell r="A77" t="str">
            <v>GCSS Army</v>
          </cell>
          <cell r="B77" t="e">
            <v>#VALUE!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 t="str">
            <v/>
          </cell>
          <cell r="L77">
            <v>10.66339</v>
          </cell>
          <cell r="M77">
            <v>73.077815000000001</v>
          </cell>
          <cell r="N77">
            <v>111.770748</v>
          </cell>
          <cell r="O77">
            <v>77.167119420000006</v>
          </cell>
          <cell r="P77">
            <v>113.41055758999998</v>
          </cell>
          <cell r="Q77">
            <v>82.361130780000011</v>
          </cell>
          <cell r="R77">
            <v>6.0000000000000002E-6</v>
          </cell>
          <cell r="S77">
            <v>3.4977453700000001</v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>
            <v>32.96036806</v>
          </cell>
          <cell r="AC77">
            <v>429.88858873000004</v>
          </cell>
          <cell r="AD77">
            <v>0</v>
          </cell>
          <cell r="AE77">
            <v>3.9727999999999999E-2</v>
          </cell>
          <cell r="AF77">
            <v>0</v>
          </cell>
          <cell r="AG77">
            <v>9.0598273700000007</v>
          </cell>
          <cell r="AH77">
            <v>0</v>
          </cell>
          <cell r="AI77" t="str">
            <v>Full and Open -Single Bidder</v>
          </cell>
          <cell r="AJ77">
            <v>5.7493309999999997</v>
          </cell>
          <cell r="AK77">
            <v>39.15452329</v>
          </cell>
          <cell r="AL77">
            <v>0</v>
          </cell>
          <cell r="AM77">
            <v>437.35768763999999</v>
          </cell>
          <cell r="AN77">
            <v>0.28527200000000003</v>
          </cell>
          <cell r="AO77" t="str">
            <v>Cost Plus Award/Incentive</v>
          </cell>
          <cell r="AP77" t="e">
            <v>#VALUE!</v>
          </cell>
          <cell r="AQ77">
            <v>347</v>
          </cell>
          <cell r="AR77" t="str">
            <v>None</v>
          </cell>
          <cell r="AS77">
            <v>0</v>
          </cell>
          <cell r="AT77">
            <v>0</v>
          </cell>
          <cell r="AU77" t="str">
            <v xml:space="preserve">Northrop Grumman </v>
          </cell>
          <cell r="AV77">
            <v>0</v>
          </cell>
          <cell r="AW77" t="str">
            <v/>
          </cell>
          <cell r="AX77" t="str">
            <v/>
          </cell>
          <cell r="AY77" t="e">
            <v>#VALUE!</v>
          </cell>
          <cell r="AZ77" t="str">
            <v/>
          </cell>
          <cell r="BA77" t="str">
            <v/>
          </cell>
          <cell r="BB77" t="e">
            <v>#VALUE!</v>
          </cell>
          <cell r="BC77" t="str">
            <v/>
          </cell>
          <cell r="BD77" t="str">
            <v/>
          </cell>
          <cell r="BE77">
            <v>510280805.91478628</v>
          </cell>
          <cell r="BF77">
            <v>1.0812213467510432</v>
          </cell>
          <cell r="BG77" t="str">
            <v>Army</v>
          </cell>
          <cell r="BH77" t="str">
            <v>Jun. 2004</v>
          </cell>
          <cell r="BI77" t="b">
            <v>1</v>
          </cell>
        </row>
        <row r="78">
          <cell r="A78" t="str">
            <v>GMLRS</v>
          </cell>
          <cell r="B78">
            <v>2355.3000000000002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 t="str">
            <v/>
          </cell>
          <cell r="H78" t="str">
            <v/>
          </cell>
          <cell r="I78">
            <v>0</v>
          </cell>
          <cell r="J78">
            <v>0</v>
          </cell>
          <cell r="K78">
            <v>3371.9</v>
          </cell>
          <cell r="L78">
            <v>38.554735999999998</v>
          </cell>
          <cell r="M78">
            <v>180.63606100000001</v>
          </cell>
          <cell r="N78">
            <v>0.10570599999999999</v>
          </cell>
          <cell r="O78">
            <v>259.96405616000004</v>
          </cell>
          <cell r="P78">
            <v>9.408467999999999E-2</v>
          </cell>
          <cell r="Q78">
            <v>0</v>
          </cell>
          <cell r="R78">
            <v>9.0000000000000002E-6</v>
          </cell>
          <cell r="S78">
            <v>-8.1902640900000012</v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>
            <v>3.9659149999999999</v>
          </cell>
          <cell r="AC78">
            <v>-2.3706320000000006E-2</v>
          </cell>
          <cell r="AD78">
            <v>0.40661808999999999</v>
          </cell>
          <cell r="AE78">
            <v>1.1570389999999999</v>
          </cell>
          <cell r="AF78">
            <v>23.474879999999999</v>
          </cell>
          <cell r="AG78">
            <v>442.18364298</v>
          </cell>
          <cell r="AH78">
            <v>0</v>
          </cell>
          <cell r="AI78" t="str">
            <v>None</v>
          </cell>
          <cell r="AJ78">
            <v>415.61158889999996</v>
          </cell>
          <cell r="AK78">
            <v>54.874620069999999</v>
          </cell>
          <cell r="AL78">
            <v>0</v>
          </cell>
          <cell r="AM78">
            <v>3.4519359400000003</v>
          </cell>
          <cell r="AN78">
            <v>0</v>
          </cell>
          <cell r="AO78" t="str">
            <v>Fixed Price</v>
          </cell>
          <cell r="AP78">
            <v>2355.3000000000002</v>
          </cell>
          <cell r="AQ78">
            <v>260</v>
          </cell>
          <cell r="AR78" t="str">
            <v>None</v>
          </cell>
          <cell r="AS78" t="str">
            <v>Army</v>
          </cell>
          <cell r="AT78" t="str">
            <v>Munitions</v>
          </cell>
          <cell r="AU78" t="str">
            <v>Lockheed Martin</v>
          </cell>
          <cell r="AV78">
            <v>0</v>
          </cell>
          <cell r="AW78">
            <v>2003</v>
          </cell>
          <cell r="AX78" t="str">
            <v>PdE</v>
          </cell>
          <cell r="AY78">
            <v>11841.869475723453</v>
          </cell>
          <cell r="AZ78">
            <v>11848.9</v>
          </cell>
          <cell r="BA78">
            <v>377.8</v>
          </cell>
          <cell r="BB78">
            <v>928.92602009928555</v>
          </cell>
          <cell r="BC78">
            <v>9780.2000000000007</v>
          </cell>
          <cell r="BD78" t="str">
            <v/>
          </cell>
          <cell r="BE78">
            <v>533415376.30479354</v>
          </cell>
          <cell r="BF78">
            <v>1.1321215886454099</v>
          </cell>
        </row>
        <row r="79">
          <cell r="A79" t="str">
            <v>GPS IIIA</v>
          </cell>
          <cell r="B79">
            <v>1777</v>
          </cell>
          <cell r="C79" t="str">
            <v/>
          </cell>
          <cell r="D79" t="str">
            <v/>
          </cell>
          <cell r="E79" t="str">
            <v/>
          </cell>
          <cell r="F79" t="str">
            <v/>
          </cell>
          <cell r="G79" t="str">
            <v/>
          </cell>
          <cell r="H79">
            <v>0</v>
          </cell>
          <cell r="I79">
            <v>0</v>
          </cell>
          <cell r="J79">
            <v>0</v>
          </cell>
          <cell r="K79">
            <v>665.7</v>
          </cell>
          <cell r="L79">
            <v>0</v>
          </cell>
          <cell r="M79">
            <v>0</v>
          </cell>
          <cell r="N79">
            <v>0</v>
          </cell>
          <cell r="O79">
            <v>74.488557999999998</v>
          </cell>
          <cell r="P79">
            <v>19.567912</v>
          </cell>
          <cell r="Q79">
            <v>1.0275166499999999</v>
          </cell>
          <cell r="R79">
            <v>9.9999999999999995E-7</v>
          </cell>
          <cell r="S79">
            <v>3.734524</v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>
            <v>9.7062030000000004</v>
          </cell>
          <cell r="AC79">
            <v>84.420702000000006</v>
          </cell>
          <cell r="AD79">
            <v>0</v>
          </cell>
          <cell r="AE79">
            <v>0</v>
          </cell>
          <cell r="AF79">
            <v>0</v>
          </cell>
          <cell r="AG79">
            <v>4.6916066500000007</v>
          </cell>
          <cell r="AH79">
            <v>0</v>
          </cell>
          <cell r="AI79" t="str">
            <v>Full and Open -Single Bidder</v>
          </cell>
          <cell r="AJ79">
            <v>105.05073485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 t="str">
            <v>Fixed Price</v>
          </cell>
          <cell r="AP79">
            <v>1777</v>
          </cell>
          <cell r="AQ79">
            <v>292</v>
          </cell>
          <cell r="AR79" t="str">
            <v>None</v>
          </cell>
          <cell r="AS79" t="str">
            <v>Air Force</v>
          </cell>
          <cell r="AT79">
            <v>0</v>
          </cell>
          <cell r="AU79" t="str">
            <v>Lockheed Martin</v>
          </cell>
          <cell r="AV79">
            <v>0</v>
          </cell>
          <cell r="AW79">
            <v>2010</v>
          </cell>
          <cell r="AX79" t="str">
            <v>PdE</v>
          </cell>
          <cell r="AY79">
            <v>4256.5498818452688</v>
          </cell>
          <cell r="AZ79">
            <v>4269.8</v>
          </cell>
          <cell r="BA79">
            <v>965.4</v>
          </cell>
          <cell r="BB79">
            <v>-136.75125860474674</v>
          </cell>
          <cell r="BC79">
            <v>4142.8999999999996</v>
          </cell>
          <cell r="BD79" t="str">
            <v/>
          </cell>
          <cell r="BE79">
            <v>105308501.91549066</v>
          </cell>
          <cell r="BF79">
            <v>1.0656758552332501</v>
          </cell>
        </row>
        <row r="80">
          <cell r="A80" t="str">
            <v>H-1 Upgrades</v>
          </cell>
          <cell r="B80">
            <v>5691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 t="str">
            <v/>
          </cell>
          <cell r="H80">
            <v>0</v>
          </cell>
          <cell r="I80">
            <v>0</v>
          </cell>
          <cell r="J80">
            <v>0</v>
          </cell>
          <cell r="K80">
            <v>5476.8</v>
          </cell>
          <cell r="L80">
            <v>225.911224</v>
          </cell>
          <cell r="M80">
            <v>249.37993800000001</v>
          </cell>
          <cell r="N80">
            <v>48.222425219999998</v>
          </cell>
          <cell r="O80">
            <v>394.13660306999998</v>
          </cell>
          <cell r="P80">
            <v>101.21089683</v>
          </cell>
          <cell r="Q80">
            <v>84.134098409999993</v>
          </cell>
          <cell r="R80">
            <v>7.0200000000000004E-4</v>
          </cell>
          <cell r="S80">
            <v>825.26910912999995</v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>
            <v>89.816502110000002</v>
          </cell>
          <cell r="AC80">
            <v>66.207750869999998</v>
          </cell>
          <cell r="AD80">
            <v>25.5463916</v>
          </cell>
          <cell r="AE80">
            <v>964.44913014999997</v>
          </cell>
          <cell r="AF80">
            <v>2.8686E-2</v>
          </cell>
          <cell r="AG80">
            <v>782.21653593000008</v>
          </cell>
          <cell r="AH80">
            <v>0</v>
          </cell>
          <cell r="AI80" t="str">
            <v>Partial -Single Bidder</v>
          </cell>
          <cell r="AJ80">
            <v>2386.9334601400005</v>
          </cell>
          <cell r="AK80">
            <v>186.07410974000001</v>
          </cell>
          <cell r="AL80">
            <v>4.1749117099999999</v>
          </cell>
          <cell r="AM80">
            <v>42.171701579999997</v>
          </cell>
          <cell r="AN80">
            <v>39.444096289999997</v>
          </cell>
          <cell r="AO80" t="str">
            <v>Fixed Price</v>
          </cell>
          <cell r="AP80">
            <v>5691</v>
          </cell>
          <cell r="AQ80">
            <v>101</v>
          </cell>
          <cell r="AR80" t="str">
            <v>None</v>
          </cell>
          <cell r="AS80" t="str">
            <v>Navy</v>
          </cell>
          <cell r="AT80" t="str">
            <v>Helicopter</v>
          </cell>
          <cell r="AU80" t="str">
            <v>Bell Helicopter (Textron)</v>
          </cell>
          <cell r="AV80">
            <v>0</v>
          </cell>
          <cell r="AW80">
            <v>2008</v>
          </cell>
          <cell r="AX80" t="str">
            <v>PdE</v>
          </cell>
          <cell r="AY80">
            <v>11752.229098919543</v>
          </cell>
          <cell r="AZ80">
            <v>12186.8</v>
          </cell>
          <cell r="BA80">
            <v>822.3</v>
          </cell>
          <cell r="BB80">
            <v>721.38885975034088</v>
          </cell>
          <cell r="BC80">
            <v>11203.4</v>
          </cell>
          <cell r="BD80" t="str">
            <v/>
          </cell>
          <cell r="BE80">
            <v>2058450018.4712548</v>
          </cell>
          <cell r="BF80">
            <v>1.067514071995681</v>
          </cell>
          <cell r="BG80" t="str">
            <v>Army</v>
          </cell>
          <cell r="BH80" t="str">
            <v>Jun. 2004</v>
          </cell>
          <cell r="BI80" t="b">
            <v>1</v>
          </cell>
        </row>
        <row r="81">
          <cell r="A81" t="str">
            <v>HC/MC-130 RECAP</v>
          </cell>
          <cell r="B81">
            <v>3046.9</v>
          </cell>
          <cell r="C81" t="str">
            <v/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>
            <v>0</v>
          </cell>
          <cell r="J81">
            <v>0</v>
          </cell>
          <cell r="K81">
            <v>8997.7999999999993</v>
          </cell>
          <cell r="L81">
            <v>408082.3735507399</v>
          </cell>
          <cell r="M81">
            <v>464317.35522701975</v>
          </cell>
          <cell r="N81">
            <v>570002.29826073966</v>
          </cell>
          <cell r="O81">
            <v>538627.11362792109</v>
          </cell>
          <cell r="P81">
            <v>716169.15418339474</v>
          </cell>
          <cell r="Q81">
            <v>755799.51769229909</v>
          </cell>
          <cell r="R81">
            <v>8.4839999999999999E-2</v>
          </cell>
          <cell r="S81">
            <v>599762.51905879902</v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>
            <v>1732959.5255029181</v>
          </cell>
          <cell r="AC81">
            <v>425847.09112642071</v>
          </cell>
          <cell r="AD81">
            <v>398392.65953141608</v>
          </cell>
          <cell r="AE81">
            <v>93989.682441720026</v>
          </cell>
          <cell r="AF81">
            <v>16592.734865980001</v>
          </cell>
          <cell r="AG81">
            <v>1383804.6103215395</v>
          </cell>
          <cell r="AH81">
            <v>1174.1126509200001</v>
          </cell>
          <cell r="AI81" t="str">
            <v>Unclear</v>
          </cell>
          <cell r="AJ81">
            <v>3370645.7774285357</v>
          </cell>
          <cell r="AK81">
            <v>731375.68529183953</v>
          </cell>
          <cell r="AL81">
            <v>13656.869432219999</v>
          </cell>
          <cell r="AM81">
            <v>312752.60922890017</v>
          </cell>
          <cell r="AN81">
            <v>83585.869415160021</v>
          </cell>
          <cell r="AO81" t="str">
            <v>Fixed Price</v>
          </cell>
          <cell r="AP81">
            <v>3452997.8973821141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2009</v>
          </cell>
          <cell r="AX81" t="str">
            <v>PdE</v>
          </cell>
          <cell r="AY81">
            <v>8362.4223602484471</v>
          </cell>
          <cell r="AZ81">
            <v>8745.2999999999993</v>
          </cell>
          <cell r="BA81">
            <v>1222.0999999999999</v>
          </cell>
          <cell r="BB81">
            <v>-567.80538302277432</v>
          </cell>
          <cell r="BC81">
            <v>8078.1</v>
          </cell>
          <cell r="BD81" t="str">
            <v/>
          </cell>
          <cell r="BE81">
            <v>4362636524030.9463</v>
          </cell>
          <cell r="BF81">
            <v>2026380208222.6125</v>
          </cell>
        </row>
        <row r="82">
          <cell r="A82" t="str">
            <v>HIMARS</v>
          </cell>
          <cell r="B82">
            <v>1940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 t="str">
            <v/>
          </cell>
          <cell r="H82">
            <v>0</v>
          </cell>
          <cell r="I82">
            <v>0</v>
          </cell>
          <cell r="J82">
            <v>0</v>
          </cell>
          <cell r="K82" t="str">
            <v>-</v>
          </cell>
          <cell r="L82">
            <v>0</v>
          </cell>
          <cell r="M82">
            <v>2.662512</v>
          </cell>
          <cell r="N82">
            <v>1.2875300000000001</v>
          </cell>
          <cell r="O82">
            <v>201.18597796999998</v>
          </cell>
          <cell r="P82">
            <v>0</v>
          </cell>
          <cell r="Q82">
            <v>0</v>
          </cell>
          <cell r="R82">
            <v>3.9999999999999998E-6</v>
          </cell>
          <cell r="S82">
            <v>46.294503110000001</v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>
            <v>0.24</v>
          </cell>
          <cell r="AC82">
            <v>3.9405760000000001</v>
          </cell>
          <cell r="AD82">
            <v>0</v>
          </cell>
          <cell r="AE82">
            <v>0</v>
          </cell>
          <cell r="AF82">
            <v>0</v>
          </cell>
          <cell r="AG82">
            <v>247.24995107999999</v>
          </cell>
          <cell r="AH82">
            <v>0</v>
          </cell>
          <cell r="AI82" t="str">
            <v>None</v>
          </cell>
          <cell r="AJ82">
            <v>540.2377481100001</v>
          </cell>
          <cell r="AK82">
            <v>31.009044790000001</v>
          </cell>
          <cell r="AL82">
            <v>0</v>
          </cell>
          <cell r="AM82">
            <v>0</v>
          </cell>
          <cell r="AN82">
            <v>0</v>
          </cell>
          <cell r="AO82" t="str">
            <v>Fixed Price</v>
          </cell>
          <cell r="AP82">
            <v>1940</v>
          </cell>
          <cell r="AQ82">
            <v>367</v>
          </cell>
          <cell r="AR82" t="str">
            <v>None</v>
          </cell>
          <cell r="AS82" t="str">
            <v>Army</v>
          </cell>
          <cell r="AT82">
            <v>0</v>
          </cell>
          <cell r="AU82" t="str">
            <v>Lockheed Martin</v>
          </cell>
          <cell r="AV82">
            <v>0</v>
          </cell>
          <cell r="AW82">
            <v>2003</v>
          </cell>
          <cell r="AX82" t="str">
            <v>PdE</v>
          </cell>
          <cell r="AY82">
            <v>4494.0065383218298</v>
          </cell>
          <cell r="AZ82">
            <v>4388.3999999999996</v>
          </cell>
          <cell r="BA82">
            <v>38.700000000000003</v>
          </cell>
          <cell r="BB82">
            <v>-210.07385882068044</v>
          </cell>
          <cell r="BC82">
            <v>3711.6</v>
          </cell>
          <cell r="BD82" t="str">
            <v/>
          </cell>
          <cell r="BE82">
            <v>267292570.12561256</v>
          </cell>
          <cell r="BF82">
            <v>1.0630871805020143</v>
          </cell>
        </row>
        <row r="83">
          <cell r="A83" t="str">
            <v>HLR</v>
          </cell>
          <cell r="B83" t="e">
            <v>#VALUE!</v>
          </cell>
          <cell r="C83" t="str">
            <v/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>
            <v>408082.3735507399</v>
          </cell>
          <cell r="M83">
            <v>464317.35522701975</v>
          </cell>
          <cell r="N83">
            <v>570002.29826073966</v>
          </cell>
          <cell r="O83">
            <v>538627.11362792109</v>
          </cell>
          <cell r="P83">
            <v>716169.15418339474</v>
          </cell>
          <cell r="Q83">
            <v>755799.51769229909</v>
          </cell>
          <cell r="R83">
            <v>8.4839999999999999E-2</v>
          </cell>
          <cell r="S83">
            <v>599762.51905879902</v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>
            <v>1732959.5255029181</v>
          </cell>
          <cell r="AC83">
            <v>425847.09112642071</v>
          </cell>
          <cell r="AD83">
            <v>398392.65953141608</v>
          </cell>
          <cell r="AE83">
            <v>93989.682441720026</v>
          </cell>
          <cell r="AF83">
            <v>16592.734865980001</v>
          </cell>
          <cell r="AG83">
            <v>1383804.6103215395</v>
          </cell>
          <cell r="AH83">
            <v>1174.1126509200001</v>
          </cell>
          <cell r="AI83" t="str">
            <v>Unclear</v>
          </cell>
          <cell r="AJ83">
            <v>3370645.7774285357</v>
          </cell>
          <cell r="AK83">
            <v>731375.68529183953</v>
          </cell>
          <cell r="AL83">
            <v>13656.869432219999</v>
          </cell>
          <cell r="AM83">
            <v>312752.60922890017</v>
          </cell>
          <cell r="AN83">
            <v>83585.869415160021</v>
          </cell>
          <cell r="AO83" t="str">
            <v>Fixed Price</v>
          </cell>
          <cell r="AP83" t="e">
            <v>#VALUE!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 t="str">
            <v>Sikorsky Aircraft Corporation (UTC)</v>
          </cell>
          <cell r="AV83">
            <v>0</v>
          </cell>
          <cell r="AW83" t="str">
            <v/>
          </cell>
          <cell r="AX83" t="str">
            <v/>
          </cell>
          <cell r="AY83" t="e">
            <v>#VALUE!</v>
          </cell>
          <cell r="AZ83" t="str">
            <v/>
          </cell>
          <cell r="BA83" t="str">
            <v/>
          </cell>
          <cell r="BB83" t="e">
            <v>#VALUE!</v>
          </cell>
          <cell r="BC83" t="str">
            <v/>
          </cell>
          <cell r="BD83" t="str">
            <v/>
          </cell>
          <cell r="BE83">
            <v>4362636524030.9463</v>
          </cell>
          <cell r="BF83">
            <v>2026380208222.6125</v>
          </cell>
        </row>
        <row r="84">
          <cell r="A84" t="str">
            <v>HPCM</v>
          </cell>
          <cell r="B84" t="e">
            <v>#VALUE!</v>
          </cell>
          <cell r="C84" t="str">
            <v/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  <cell r="H84" t="str">
            <v/>
          </cell>
          <cell r="I84" t="str">
            <v/>
          </cell>
          <cell r="J84" t="str">
            <v/>
          </cell>
          <cell r="K84" t="str">
            <v/>
          </cell>
          <cell r="L84">
            <v>76.700522000000007</v>
          </cell>
          <cell r="M84">
            <v>227.84746434000002</v>
          </cell>
          <cell r="N84">
            <v>101.7598144599999</v>
          </cell>
          <cell r="O84">
            <v>135.97065642000001</v>
          </cell>
          <cell r="P84">
            <v>116.2157909700001</v>
          </cell>
          <cell r="Q84">
            <v>153.88069722000009</v>
          </cell>
          <cell r="R84">
            <v>9.0000000000000002E-6</v>
          </cell>
          <cell r="S84">
            <v>47.062995219999877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>
            <v>805.5915837099999</v>
          </cell>
          <cell r="AC84">
            <v>43.862873499999999</v>
          </cell>
          <cell r="AD84">
            <v>0.14100193999999999</v>
          </cell>
          <cell r="AE84">
            <v>1.3446E-2</v>
          </cell>
          <cell r="AF84">
            <v>0</v>
          </cell>
          <cell r="AG84">
            <v>9.8290444800000003</v>
          </cell>
          <cell r="AH84">
            <v>0</v>
          </cell>
          <cell r="AI84" t="str">
            <v>Full and Open -Multiple Bidders</v>
          </cell>
          <cell r="AJ84">
            <v>955.78131853999992</v>
          </cell>
          <cell r="AK84">
            <v>2.38682595</v>
          </cell>
          <cell r="AL84">
            <v>0</v>
          </cell>
          <cell r="AM84">
            <v>39.266859909999994</v>
          </cell>
          <cell r="AN84">
            <v>-2.7599999999999999E-4</v>
          </cell>
          <cell r="AO84" t="str">
            <v>Fixed Price</v>
          </cell>
          <cell r="AP84" t="e">
            <v>#VALUE!</v>
          </cell>
          <cell r="AQ84">
            <v>352</v>
          </cell>
          <cell r="AR84" t="str">
            <v>None</v>
          </cell>
          <cell r="AS84">
            <v>0</v>
          </cell>
          <cell r="AT84" t="str">
            <v>Electronic</v>
          </cell>
          <cell r="AU84" t="str">
            <v>Various</v>
          </cell>
          <cell r="AV84">
            <v>0</v>
          </cell>
          <cell r="AW84" t="str">
            <v/>
          </cell>
          <cell r="AX84" t="str">
            <v/>
          </cell>
          <cell r="AY84" t="e">
            <v>#VALUE!</v>
          </cell>
          <cell r="AZ84" t="str">
            <v/>
          </cell>
          <cell r="BA84" t="str">
            <v/>
          </cell>
          <cell r="BB84" t="e">
            <v>#VALUE!</v>
          </cell>
          <cell r="BC84" t="str">
            <v/>
          </cell>
          <cell r="BD84" t="str">
            <v/>
          </cell>
          <cell r="BE84">
            <v>939270328.94067609</v>
          </cell>
          <cell r="BF84">
            <v>1.0928890553937547</v>
          </cell>
        </row>
        <row r="85">
          <cell r="A85" t="str">
            <v>IAMD</v>
          </cell>
          <cell r="B85">
            <v>634.1</v>
          </cell>
          <cell r="C85" t="str">
            <v/>
          </cell>
          <cell r="D85" t="str">
            <v/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>
            <v>0</v>
          </cell>
          <cell r="J85">
            <v>0</v>
          </cell>
          <cell r="K85">
            <v>5512.7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Missing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 t="str">
            <v>Missing</v>
          </cell>
          <cell r="AP85">
            <v>634.1</v>
          </cell>
          <cell r="AQ85" t="str">
            <v>None</v>
          </cell>
          <cell r="AR85" t="str">
            <v>None</v>
          </cell>
          <cell r="AS85" t="str">
            <v>Army</v>
          </cell>
          <cell r="AT85">
            <v>0</v>
          </cell>
          <cell r="AU85" t="str">
            <v>Northrop Grumman, Raytheon, DMD</v>
          </cell>
          <cell r="AV85">
            <v>0</v>
          </cell>
          <cell r="AW85">
            <v>2009</v>
          </cell>
          <cell r="AX85" t="str">
            <v>DE</v>
          </cell>
          <cell r="AY85">
            <v>5027.5362318840589</v>
          </cell>
          <cell r="AZ85">
            <v>5791.6</v>
          </cell>
          <cell r="BA85">
            <v>270.2</v>
          </cell>
          <cell r="BB85">
            <v>-210.97308488612839</v>
          </cell>
          <cell r="BC85">
            <v>4856.6000000000004</v>
          </cell>
          <cell r="BD85" t="str">
            <v/>
          </cell>
          <cell r="BE85">
            <v>0</v>
          </cell>
          <cell r="BF85" t="e">
            <v>#DIV/0!</v>
          </cell>
        </row>
        <row r="86">
          <cell r="A86" t="str">
            <v>IDECM</v>
          </cell>
          <cell r="B86" t="e">
            <v>#VALUE!</v>
          </cell>
          <cell r="C86" t="str">
            <v/>
          </cell>
          <cell r="D86" t="str">
            <v/>
          </cell>
          <cell r="E86" t="str">
            <v/>
          </cell>
          <cell r="F86" t="str">
            <v/>
          </cell>
          <cell r="G86" t="str">
            <v/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>
            <v>46.699289</v>
          </cell>
          <cell r="M86">
            <v>44.613750000000003</v>
          </cell>
          <cell r="N86">
            <v>51.813119</v>
          </cell>
          <cell r="O86">
            <v>158.53329546000001</v>
          </cell>
          <cell r="P86">
            <v>88.966815420000017</v>
          </cell>
          <cell r="Q86">
            <v>13.808553170000001</v>
          </cell>
          <cell r="R86">
            <v>5.8999999999999998E-5</v>
          </cell>
          <cell r="S86">
            <v>52.099986829999999</v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>
            <v>104.98528450999999</v>
          </cell>
          <cell r="AC86">
            <v>36.509366999999997</v>
          </cell>
          <cell r="AD86">
            <v>8.7516037800000017</v>
          </cell>
          <cell r="AE86">
            <v>23.777899490000003</v>
          </cell>
          <cell r="AF86">
            <v>8.9461499999999999E-3</v>
          </cell>
          <cell r="AG86">
            <v>282.50176695000005</v>
          </cell>
          <cell r="AH86">
            <v>0</v>
          </cell>
          <cell r="AI86" t="str">
            <v>None</v>
          </cell>
          <cell r="AJ86">
            <v>371.34198444000003</v>
          </cell>
          <cell r="AK86">
            <v>50.116343610000001</v>
          </cell>
          <cell r="AL86">
            <v>0</v>
          </cell>
          <cell r="AM86">
            <v>78.512366079999993</v>
          </cell>
          <cell r="AN86">
            <v>0</v>
          </cell>
          <cell r="AO86" t="str">
            <v>Fixed Price</v>
          </cell>
          <cell r="AP86" t="e">
            <v>#VALUE!</v>
          </cell>
          <cell r="AQ86">
            <v>419</v>
          </cell>
          <cell r="AR86">
            <v>103</v>
          </cell>
          <cell r="AS86" t="str">
            <v>Navy</v>
          </cell>
          <cell r="AT86">
            <v>0</v>
          </cell>
          <cell r="AU86" t="str">
            <v>BAE</v>
          </cell>
          <cell r="AV86">
            <v>0</v>
          </cell>
          <cell r="AW86" t="str">
            <v/>
          </cell>
          <cell r="AX86" t="str">
            <v/>
          </cell>
          <cell r="AY86" t="e">
            <v>#VALUE!</v>
          </cell>
          <cell r="AZ86" t="str">
            <v/>
          </cell>
          <cell r="BA86" t="str">
            <v/>
          </cell>
          <cell r="BB86" t="e">
            <v>#VALUE!</v>
          </cell>
          <cell r="BC86" t="str">
            <v/>
          </cell>
          <cell r="BD86" t="str">
            <v/>
          </cell>
          <cell r="BE86">
            <v>494434849.68702084</v>
          </cell>
          <cell r="BF86" t="e">
            <v>#DIV/0!</v>
          </cell>
        </row>
        <row r="87">
          <cell r="A87" t="str">
            <v>IDECM Split</v>
          </cell>
          <cell r="B87">
            <v>126.7</v>
          </cell>
          <cell r="C87" t="str">
            <v/>
          </cell>
          <cell r="D87" t="str">
            <v/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>
            <v>0</v>
          </cell>
          <cell r="J87">
            <v>0</v>
          </cell>
          <cell r="K87">
            <v>580.1</v>
          </cell>
          <cell r="L87">
            <v>408082.3735507399</v>
          </cell>
          <cell r="M87">
            <v>464317.35522701975</v>
          </cell>
          <cell r="N87">
            <v>570002.29826073966</v>
          </cell>
          <cell r="O87">
            <v>538627.11362792109</v>
          </cell>
          <cell r="P87">
            <v>716169.15418339474</v>
          </cell>
          <cell r="Q87">
            <v>755799.51769229909</v>
          </cell>
          <cell r="R87">
            <v>8.4839999999999999E-2</v>
          </cell>
          <cell r="S87">
            <v>599762.51905879902</v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>
            <v>1732959.5255029181</v>
          </cell>
          <cell r="AC87">
            <v>425847.09112642071</v>
          </cell>
          <cell r="AD87">
            <v>398392.65953141608</v>
          </cell>
          <cell r="AE87">
            <v>93989.682441720026</v>
          </cell>
          <cell r="AF87">
            <v>16592.734865980001</v>
          </cell>
          <cell r="AG87">
            <v>1383804.6103215395</v>
          </cell>
          <cell r="AH87">
            <v>1174.1126509200001</v>
          </cell>
          <cell r="AI87" t="str">
            <v>Unclear</v>
          </cell>
          <cell r="AJ87">
            <v>3370645.7774285357</v>
          </cell>
          <cell r="AK87">
            <v>731375.68529183953</v>
          </cell>
          <cell r="AL87">
            <v>13656.869432219999</v>
          </cell>
          <cell r="AM87">
            <v>312752.60922890017</v>
          </cell>
          <cell r="AN87">
            <v>83585.869415160021</v>
          </cell>
          <cell r="AO87" t="str">
            <v>Fixed Price</v>
          </cell>
          <cell r="AP87">
            <v>3452997.8973821141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2008</v>
          </cell>
          <cell r="AX87" t="str">
            <v>PdE</v>
          </cell>
          <cell r="AY87">
            <v>1480.0167838036296</v>
          </cell>
          <cell r="AZ87">
            <v>1535.2</v>
          </cell>
          <cell r="BA87">
            <v>106.2</v>
          </cell>
          <cell r="BB87">
            <v>-43.428091891324868</v>
          </cell>
          <cell r="BC87">
            <v>1410.9</v>
          </cell>
          <cell r="BD87" t="str">
            <v/>
          </cell>
          <cell r="BE87">
            <v>4362636524030.9463</v>
          </cell>
          <cell r="BF87">
            <v>2026380208222.6125</v>
          </cell>
        </row>
        <row r="88">
          <cell r="A88" t="str">
            <v>IDECM Split</v>
          </cell>
          <cell r="B88">
            <v>126.7</v>
          </cell>
          <cell r="C88" t="str">
            <v/>
          </cell>
          <cell r="D88" t="str">
            <v/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>
            <v>0</v>
          </cell>
          <cell r="J88">
            <v>0</v>
          </cell>
          <cell r="K88">
            <v>580.1</v>
          </cell>
          <cell r="L88">
            <v>204041.18677536995</v>
          </cell>
          <cell r="M88">
            <v>232158.67761350988</v>
          </cell>
          <cell r="N88">
            <v>285001.14913036983</v>
          </cell>
          <cell r="O88">
            <v>269313.55681396055</v>
          </cell>
          <cell r="P88">
            <v>358084.57709169737</v>
          </cell>
          <cell r="Q88">
            <v>377899.75884614955</v>
          </cell>
          <cell r="R88">
            <v>4.2419999999999999E-2</v>
          </cell>
          <cell r="S88">
            <v>299881.25952939951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>
            <v>866479.76275145903</v>
          </cell>
          <cell r="AC88">
            <v>212923.54556321035</v>
          </cell>
          <cell r="AD88">
            <v>199196.32976570804</v>
          </cell>
          <cell r="AE88">
            <v>46994.841220860013</v>
          </cell>
          <cell r="AF88">
            <v>8296.3674329900005</v>
          </cell>
          <cell r="AG88">
            <v>691902.30516076973</v>
          </cell>
          <cell r="AH88">
            <v>587.05632546000004</v>
          </cell>
          <cell r="AI88" t="str">
            <v>Unclear</v>
          </cell>
          <cell r="AJ88">
            <v>1685322.8887142679</v>
          </cell>
          <cell r="AK88">
            <v>365687.84264591977</v>
          </cell>
          <cell r="AL88">
            <v>6828.4347161099995</v>
          </cell>
          <cell r="AM88">
            <v>156376.30461445008</v>
          </cell>
          <cell r="AN88">
            <v>41792.934707580011</v>
          </cell>
          <cell r="AO88" t="str">
            <v>Fixed Price</v>
          </cell>
          <cell r="AP88">
            <v>1726498.948691057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2008</v>
          </cell>
          <cell r="AX88" t="str">
            <v>PdE</v>
          </cell>
          <cell r="AY88">
            <v>1480.0167838036296</v>
          </cell>
          <cell r="AZ88">
            <v>1535.2</v>
          </cell>
          <cell r="BA88">
            <v>106.2</v>
          </cell>
          <cell r="BB88">
            <v>-43.428091891324868</v>
          </cell>
          <cell r="BC88">
            <v>1410.9</v>
          </cell>
          <cell r="BD88" t="str">
            <v/>
          </cell>
          <cell r="BE88">
            <v>4362636524030.9463</v>
          </cell>
          <cell r="BF88">
            <v>2026380208222.6125</v>
          </cell>
        </row>
        <row r="89">
          <cell r="A89" t="str">
            <v>JASSM</v>
          </cell>
          <cell r="B89">
            <v>2112.9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 t="str">
            <v/>
          </cell>
          <cell r="H89">
            <v>0</v>
          </cell>
          <cell r="I89">
            <v>82</v>
          </cell>
          <cell r="J89">
            <v>235.8</v>
          </cell>
          <cell r="K89">
            <v>5362.6</v>
          </cell>
          <cell r="L89">
            <v>113.81647599999999</v>
          </cell>
          <cell r="M89">
            <v>156.060855</v>
          </cell>
          <cell r="N89">
            <v>316.79928200000001</v>
          </cell>
          <cell r="O89">
            <v>325.74862346999998</v>
          </cell>
          <cell r="P89">
            <v>175.08208852000001</v>
          </cell>
          <cell r="Q89">
            <v>44.888992339999994</v>
          </cell>
          <cell r="R89">
            <v>3.9999999999999998E-6</v>
          </cell>
          <cell r="S89">
            <v>264.31148517000003</v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>
            <v>4.8780487804878047E-8</v>
          </cell>
          <cell r="AA89">
            <v>1.1209138472010178</v>
          </cell>
          <cell r="AB89">
            <v>217.04585366000001</v>
          </cell>
          <cell r="AC89">
            <v>44.081238299999995</v>
          </cell>
          <cell r="AD89">
            <v>3.9492880000000008E-2</v>
          </cell>
          <cell r="AE89">
            <v>256.06123056000001</v>
          </cell>
          <cell r="AF89">
            <v>0</v>
          </cell>
          <cell r="AG89">
            <v>879.47999109999989</v>
          </cell>
          <cell r="AH89">
            <v>0</v>
          </cell>
          <cell r="AI89" t="str">
            <v>None</v>
          </cell>
          <cell r="AJ89">
            <v>1229.4621188799999</v>
          </cell>
          <cell r="AK89">
            <v>237.67579461000003</v>
          </cell>
          <cell r="AL89">
            <v>0</v>
          </cell>
          <cell r="AM89">
            <v>16.28878387</v>
          </cell>
          <cell r="AN89">
            <v>5.6029000000000002E-2</v>
          </cell>
          <cell r="AO89" t="str">
            <v>Fixed Price</v>
          </cell>
          <cell r="AP89">
            <v>2112.9</v>
          </cell>
          <cell r="AQ89">
            <v>555</v>
          </cell>
          <cell r="AR89" t="str">
            <v>None</v>
          </cell>
          <cell r="AS89" t="str">
            <v>Air Force</v>
          </cell>
          <cell r="AT89">
            <v>0</v>
          </cell>
          <cell r="AU89" t="str">
            <v>Lockheed Martin</v>
          </cell>
          <cell r="AV89">
            <v>0</v>
          </cell>
          <cell r="AW89">
            <v>1995</v>
          </cell>
          <cell r="AX89" t="str">
            <v>PdE</v>
          </cell>
          <cell r="AY89">
            <v>5610.2807654700382</v>
          </cell>
          <cell r="AZ89">
            <v>4981.1000000000004</v>
          </cell>
          <cell r="BA89">
            <v>0</v>
          </cell>
          <cell r="BB89">
            <v>1937.2817432602321</v>
          </cell>
          <cell r="BC89">
            <v>4016.4</v>
          </cell>
          <cell r="BD89" t="str">
            <v/>
          </cell>
          <cell r="BE89">
            <v>1510655900.9205837</v>
          </cell>
          <cell r="BF89">
            <v>1.0815833446983627</v>
          </cell>
        </row>
        <row r="90">
          <cell r="A90" t="str">
            <v>JASSM Split</v>
          </cell>
          <cell r="B90">
            <v>2093.9</v>
          </cell>
          <cell r="C90" t="str">
            <v/>
          </cell>
          <cell r="D90" t="str">
            <v/>
          </cell>
          <cell r="E90" t="str">
            <v/>
          </cell>
          <cell r="F90" t="str">
            <v/>
          </cell>
          <cell r="G90" t="str">
            <v/>
          </cell>
          <cell r="H90" t="str">
            <v/>
          </cell>
          <cell r="I90">
            <v>0</v>
          </cell>
          <cell r="J90">
            <v>0</v>
          </cell>
          <cell r="K90">
            <v>1135.4000000000001</v>
          </cell>
          <cell r="L90">
            <v>204041.18677536995</v>
          </cell>
          <cell r="M90">
            <v>232158.67761350988</v>
          </cell>
          <cell r="N90">
            <v>285001.14913036983</v>
          </cell>
          <cell r="O90">
            <v>269313.55681396055</v>
          </cell>
          <cell r="P90">
            <v>358084.57709169737</v>
          </cell>
          <cell r="Q90">
            <v>377899.75884614955</v>
          </cell>
          <cell r="R90">
            <v>4.2419999999999999E-2</v>
          </cell>
          <cell r="S90">
            <v>299881.25952939951</v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>
            <v>866479.76275145903</v>
          </cell>
          <cell r="AC90">
            <v>212923.54556321035</v>
          </cell>
          <cell r="AD90">
            <v>199196.32976570804</v>
          </cell>
          <cell r="AE90">
            <v>46994.841220860013</v>
          </cell>
          <cell r="AF90">
            <v>8296.3674329900005</v>
          </cell>
          <cell r="AG90">
            <v>691902.30516076973</v>
          </cell>
          <cell r="AH90">
            <v>587.05632546000004</v>
          </cell>
          <cell r="AI90" t="str">
            <v>Unclear</v>
          </cell>
          <cell r="AJ90">
            <v>1685322.8887142679</v>
          </cell>
          <cell r="AK90">
            <v>365687.84264591977</v>
          </cell>
          <cell r="AL90">
            <v>6828.4347161099995</v>
          </cell>
          <cell r="AM90">
            <v>156376.30461445008</v>
          </cell>
          <cell r="AN90">
            <v>41792.934707580011</v>
          </cell>
          <cell r="AO90" t="str">
            <v>Fixed Price</v>
          </cell>
          <cell r="AP90">
            <v>1726498.948691057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2010</v>
          </cell>
          <cell r="AX90" t="str">
            <v>PdE</v>
          </cell>
          <cell r="AY90">
            <v>2969.7934860782907</v>
          </cell>
          <cell r="AZ90">
            <v>2679.7</v>
          </cell>
          <cell r="BA90">
            <v>167.2</v>
          </cell>
          <cell r="BB90">
            <v>340.49111270933935</v>
          </cell>
          <cell r="BC90">
            <v>2890.5</v>
          </cell>
          <cell r="BD90" t="str">
            <v/>
          </cell>
          <cell r="BE90">
            <v>4362636524030.9463</v>
          </cell>
          <cell r="BF90">
            <v>2026380208222.6125</v>
          </cell>
        </row>
        <row r="91">
          <cell r="A91" t="str">
            <v>JASSM Split</v>
          </cell>
          <cell r="B91">
            <v>2093.9</v>
          </cell>
          <cell r="C91" t="str">
            <v/>
          </cell>
          <cell r="D91" t="str">
            <v/>
          </cell>
          <cell r="E91" t="str">
            <v/>
          </cell>
          <cell r="F91" t="str">
            <v/>
          </cell>
          <cell r="G91" t="str">
            <v/>
          </cell>
          <cell r="H91" t="str">
            <v/>
          </cell>
          <cell r="I91">
            <v>0</v>
          </cell>
          <cell r="J91">
            <v>0</v>
          </cell>
          <cell r="K91">
            <v>1135.4000000000001</v>
          </cell>
          <cell r="L91">
            <v>408082.3735507399</v>
          </cell>
          <cell r="M91">
            <v>464317.35522701975</v>
          </cell>
          <cell r="N91">
            <v>570002.29826073966</v>
          </cell>
          <cell r="O91">
            <v>538627.11362792109</v>
          </cell>
          <cell r="P91">
            <v>716169.15418339474</v>
          </cell>
          <cell r="Q91">
            <v>755799.51769229909</v>
          </cell>
          <cell r="R91">
            <v>8.4839999999999999E-2</v>
          </cell>
          <cell r="S91">
            <v>599762.51905879902</v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>
            <v>1732959.5255029181</v>
          </cell>
          <cell r="AC91">
            <v>425847.09112642071</v>
          </cell>
          <cell r="AD91">
            <v>398392.65953141608</v>
          </cell>
          <cell r="AE91">
            <v>93989.682441720026</v>
          </cell>
          <cell r="AF91">
            <v>16592.734865980001</v>
          </cell>
          <cell r="AG91">
            <v>1383804.6103215395</v>
          </cell>
          <cell r="AH91">
            <v>1174.1126509200001</v>
          </cell>
          <cell r="AI91" t="str">
            <v>Unclear</v>
          </cell>
          <cell r="AJ91">
            <v>3370645.7774285357</v>
          </cell>
          <cell r="AK91">
            <v>731375.68529183953</v>
          </cell>
          <cell r="AL91">
            <v>13656.869432219999</v>
          </cell>
          <cell r="AM91">
            <v>312752.60922890017</v>
          </cell>
          <cell r="AN91">
            <v>83585.869415160021</v>
          </cell>
          <cell r="AO91" t="str">
            <v>Fixed Price</v>
          </cell>
          <cell r="AP91">
            <v>3452997.8973821141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2010</v>
          </cell>
          <cell r="AX91" t="str">
            <v>PdE</v>
          </cell>
          <cell r="AY91">
            <v>2969.7934860782907</v>
          </cell>
          <cell r="AZ91">
            <v>2679.7</v>
          </cell>
          <cell r="BA91">
            <v>167.2</v>
          </cell>
          <cell r="BB91">
            <v>340.49111270933935</v>
          </cell>
          <cell r="BC91">
            <v>2890.5</v>
          </cell>
          <cell r="BD91" t="str">
            <v/>
          </cell>
          <cell r="BE91">
            <v>4362636524030.9463</v>
          </cell>
          <cell r="BF91">
            <v>2026380208222.6125</v>
          </cell>
        </row>
        <row r="92">
          <cell r="A92" t="str">
            <v>JAVELIN</v>
          </cell>
          <cell r="B92">
            <v>426.1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166.8</v>
          </cell>
          <cell r="H92">
            <v>259.3</v>
          </cell>
          <cell r="I92">
            <v>0</v>
          </cell>
          <cell r="J92">
            <v>0</v>
          </cell>
          <cell r="K92">
            <v>141</v>
          </cell>
          <cell r="L92">
            <v>204041.18677536995</v>
          </cell>
          <cell r="M92">
            <v>232158.67761350988</v>
          </cell>
          <cell r="N92">
            <v>285001.14913036983</v>
          </cell>
          <cell r="O92">
            <v>269313.55681396055</v>
          </cell>
          <cell r="P92">
            <v>358084.57709169737</v>
          </cell>
          <cell r="Q92">
            <v>377899.75884614955</v>
          </cell>
          <cell r="R92">
            <v>4.2419999999999999E-2</v>
          </cell>
          <cell r="S92">
            <v>299881.25952939951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>
            <v>2146.7900305257635</v>
          </cell>
          <cell r="Y92">
            <v>1457.3843380106036</v>
          </cell>
          <cell r="Z92" t="str">
            <v/>
          </cell>
          <cell r="AA92" t="str">
            <v/>
          </cell>
          <cell r="AB92">
            <v>866479.76275145903</v>
          </cell>
          <cell r="AC92">
            <v>212923.54556321035</v>
          </cell>
          <cell r="AD92">
            <v>199196.32976570804</v>
          </cell>
          <cell r="AE92">
            <v>46994.841220860013</v>
          </cell>
          <cell r="AF92">
            <v>8296.3674329900005</v>
          </cell>
          <cell r="AG92">
            <v>691902.30516076973</v>
          </cell>
          <cell r="AH92">
            <v>587.05632546000004</v>
          </cell>
          <cell r="AI92" t="str">
            <v>Unclear</v>
          </cell>
          <cell r="AJ92">
            <v>1685322.8887142679</v>
          </cell>
          <cell r="AK92">
            <v>365687.84264591977</v>
          </cell>
          <cell r="AL92">
            <v>6828.4347161099995</v>
          </cell>
          <cell r="AM92">
            <v>156376.30461445008</v>
          </cell>
          <cell r="AN92">
            <v>41792.934707580011</v>
          </cell>
          <cell r="AO92" t="str">
            <v>Fixed Price</v>
          </cell>
          <cell r="AP92">
            <v>1726498.948691057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 t="str">
            <v>Lockheed Martin &amp; Raytheon Javelin JV</v>
          </cell>
          <cell r="AV92">
            <v>0</v>
          </cell>
          <cell r="AW92">
            <v>1997</v>
          </cell>
          <cell r="AX92" t="str">
            <v>PdE</v>
          </cell>
          <cell r="AY92">
            <v>5101.7359709325801</v>
          </cell>
          <cell r="AZ92">
            <v>3926</v>
          </cell>
          <cell r="BA92">
            <v>0</v>
          </cell>
          <cell r="BB92">
            <v>547.16727223792225</v>
          </cell>
          <cell r="BC92">
            <v>3791.1</v>
          </cell>
          <cell r="BD92" t="str">
            <v/>
          </cell>
          <cell r="BE92">
            <v>4362636524030.9463</v>
          </cell>
          <cell r="BF92">
            <v>2026380208222.6125</v>
          </cell>
        </row>
        <row r="93">
          <cell r="A93" t="str">
            <v>JCA</v>
          </cell>
          <cell r="B93">
            <v>1253.9000000000001</v>
          </cell>
          <cell r="C93" t="str">
            <v/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>
            <v>0</v>
          </cell>
          <cell r="I93">
            <v>0</v>
          </cell>
          <cell r="J93">
            <v>0</v>
          </cell>
          <cell r="K93">
            <v>220.3</v>
          </cell>
          <cell r="L93">
            <v>0</v>
          </cell>
          <cell r="M93">
            <v>0</v>
          </cell>
          <cell r="N93">
            <v>0</v>
          </cell>
          <cell r="O93">
            <v>121.457966</v>
          </cell>
          <cell r="P93">
            <v>41.280070959999996</v>
          </cell>
          <cell r="Q93">
            <v>-0.64367606000000022</v>
          </cell>
          <cell r="R93">
            <v>3.9999999999999998E-6</v>
          </cell>
          <cell r="S93">
            <v>-5.3295910000000002E-2</v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>
            <v>160.43075744000001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1.6103115500000003</v>
          </cell>
          <cell r="AH93">
            <v>0</v>
          </cell>
          <cell r="AI93" t="str">
            <v>Full and Open -Multiple Bidders</v>
          </cell>
          <cell r="AJ93">
            <v>405.81313491000003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 t="str">
            <v>Fixed Price</v>
          </cell>
          <cell r="AP93">
            <v>1253.9000000000001</v>
          </cell>
          <cell r="AQ93">
            <v>183</v>
          </cell>
          <cell r="AR93" t="str">
            <v>None</v>
          </cell>
          <cell r="AS93" t="str">
            <v>Army</v>
          </cell>
          <cell r="AT93" t="str">
            <v>Fixed Wing</v>
          </cell>
          <cell r="AU93" t="str">
            <v xml:space="preserve">L-3 Communications </v>
          </cell>
          <cell r="AV93">
            <v>0</v>
          </cell>
          <cell r="AW93">
            <v>2007</v>
          </cell>
          <cell r="AX93" t="str">
            <v>PdE</v>
          </cell>
          <cell r="AY93">
            <v>3900.8477304431808</v>
          </cell>
          <cell r="AZ93">
            <v>4087.8</v>
          </cell>
          <cell r="BA93">
            <v>603.5</v>
          </cell>
          <cell r="BB93">
            <v>-353.04217190685699</v>
          </cell>
          <cell r="BC93">
            <v>3635.2</v>
          </cell>
          <cell r="BD93" t="str">
            <v/>
          </cell>
          <cell r="BE93">
            <v>173635982.22012162</v>
          </cell>
          <cell r="BF93">
            <v>1.0715553982850925</v>
          </cell>
        </row>
        <row r="94">
          <cell r="A94" t="str">
            <v>JCM</v>
          </cell>
          <cell r="B94">
            <v>293.3</v>
          </cell>
          <cell r="C94">
            <v>0</v>
          </cell>
          <cell r="D94">
            <v>0</v>
          </cell>
          <cell r="E94" t="str">
            <v>-</v>
          </cell>
          <cell r="F94" t="str">
            <v>-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 t="str">
            <v>-</v>
          </cell>
          <cell r="L94">
            <v>128.84253699999999</v>
          </cell>
          <cell r="M94">
            <v>293.44406700000002</v>
          </cell>
          <cell r="N94">
            <v>76.709421000000006</v>
          </cell>
          <cell r="O94">
            <v>158.88413836000001</v>
          </cell>
          <cell r="P94">
            <v>82.555892800000009</v>
          </cell>
          <cell r="Q94">
            <v>36.533211449999996</v>
          </cell>
          <cell r="R94">
            <v>1.4E-5</v>
          </cell>
          <cell r="S94">
            <v>21.388994080000003</v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>
            <v>201.81822766000002</v>
          </cell>
          <cell r="AC94">
            <v>1.5913016899999999</v>
          </cell>
          <cell r="AD94">
            <v>0.60647200000000001</v>
          </cell>
          <cell r="AE94">
            <v>0.21939900000000001</v>
          </cell>
          <cell r="AF94">
            <v>0.22173000000000001</v>
          </cell>
          <cell r="AG94">
            <v>593.90114534000008</v>
          </cell>
          <cell r="AH94">
            <v>0</v>
          </cell>
          <cell r="AI94" t="str">
            <v>None</v>
          </cell>
          <cell r="AJ94">
            <v>645.73566521000009</v>
          </cell>
          <cell r="AK94">
            <v>178.06919740000001</v>
          </cell>
          <cell r="AL94">
            <v>0</v>
          </cell>
          <cell r="AM94">
            <v>34.358942049999996</v>
          </cell>
          <cell r="AN94">
            <v>5.9593E-2</v>
          </cell>
          <cell r="AO94" t="str">
            <v>Fixed Price</v>
          </cell>
          <cell r="AP94">
            <v>776.96928161000005</v>
          </cell>
          <cell r="AQ94">
            <v>370</v>
          </cell>
          <cell r="AR94" t="str">
            <v>None</v>
          </cell>
          <cell r="AS94" t="str">
            <v>Army</v>
          </cell>
          <cell r="AT94">
            <v>0</v>
          </cell>
          <cell r="AU94" t="str">
            <v>Lockheed Martin</v>
          </cell>
          <cell r="AV94">
            <v>0</v>
          </cell>
          <cell r="AW94">
            <v>2004</v>
          </cell>
          <cell r="AX94" t="str">
            <v>DE</v>
          </cell>
          <cell r="AY94">
            <v>7993.1531106126786</v>
          </cell>
          <cell r="AZ94">
            <v>8141.3</v>
          </cell>
          <cell r="BA94">
            <v>0</v>
          </cell>
          <cell r="BB94" t="e">
            <v>#VALUE!</v>
          </cell>
          <cell r="BC94">
            <v>6771</v>
          </cell>
          <cell r="BD94" t="str">
            <v/>
          </cell>
          <cell r="BE94">
            <v>896614975.82522595</v>
          </cell>
          <cell r="BF94">
            <v>1.1230734409940264</v>
          </cell>
          <cell r="BG94" t="str">
            <v>Army</v>
          </cell>
          <cell r="BH94" t="str">
            <v>Jun. 2004</v>
          </cell>
          <cell r="BI94" t="b">
            <v>1</v>
          </cell>
        </row>
        <row r="95">
          <cell r="A95" t="str">
            <v>JDAM</v>
          </cell>
          <cell r="B95">
            <v>5446.6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 t="str">
            <v/>
          </cell>
          <cell r="H95">
            <v>0</v>
          </cell>
          <cell r="I95">
            <v>0</v>
          </cell>
          <cell r="J95">
            <v>0</v>
          </cell>
          <cell r="K95">
            <v>474.4</v>
          </cell>
          <cell r="L95">
            <v>99.397183999999996</v>
          </cell>
          <cell r="M95">
            <v>875.02842299999998</v>
          </cell>
          <cell r="N95">
            <v>104.68937200000001</v>
          </cell>
          <cell r="O95">
            <v>430.53873189000001</v>
          </cell>
          <cell r="P95">
            <v>172.76397624999996</v>
          </cell>
          <cell r="Q95">
            <v>140.13669121000004</v>
          </cell>
          <cell r="R95">
            <v>6.0000000000000002E-6</v>
          </cell>
          <cell r="S95">
            <v>254.47958580000002</v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>
            <v>2.9960879999999999</v>
          </cell>
          <cell r="AC95">
            <v>464.60700394999998</v>
          </cell>
          <cell r="AD95">
            <v>0.38066100000000003</v>
          </cell>
          <cell r="AE95">
            <v>10.721051429999999</v>
          </cell>
          <cell r="AF95">
            <v>645.52550632000009</v>
          </cell>
          <cell r="AG95">
            <v>952.80365945000005</v>
          </cell>
          <cell r="AH95">
            <v>0</v>
          </cell>
          <cell r="AI95" t="str">
            <v>Unclear</v>
          </cell>
          <cell r="AJ95">
            <v>2225.6325760499994</v>
          </cell>
          <cell r="AK95">
            <v>158.2112578</v>
          </cell>
          <cell r="AL95">
            <v>0</v>
          </cell>
          <cell r="AM95">
            <v>76.952488750000001</v>
          </cell>
          <cell r="AN95">
            <v>0.102285</v>
          </cell>
          <cell r="AO95" t="str">
            <v>Fixed Price</v>
          </cell>
          <cell r="AP95">
            <v>5446.6</v>
          </cell>
          <cell r="AQ95">
            <v>503</v>
          </cell>
          <cell r="AR95" t="str">
            <v>None</v>
          </cell>
          <cell r="AS95" t="str">
            <v>Air Force</v>
          </cell>
          <cell r="AT95" t="str">
            <v>Munitions</v>
          </cell>
          <cell r="AU95" t="str">
            <v>Boeing</v>
          </cell>
          <cell r="AV95">
            <v>0</v>
          </cell>
          <cell r="AW95">
            <v>1995</v>
          </cell>
          <cell r="AX95" t="str">
            <v>PdE</v>
          </cell>
          <cell r="AY95">
            <v>3213.1582623271411</v>
          </cell>
          <cell r="AZ95">
            <v>2606.6999999999998</v>
          </cell>
          <cell r="BA95">
            <v>127.2</v>
          </cell>
          <cell r="BB95">
            <v>1205.335940773851</v>
          </cell>
          <cell r="BC95">
            <v>2300.3000000000002</v>
          </cell>
          <cell r="BD95" t="str">
            <v/>
          </cell>
          <cell r="BE95">
            <v>2283157001.8884358</v>
          </cell>
          <cell r="BF95">
            <v>1.0992391240108363</v>
          </cell>
        </row>
        <row r="96">
          <cell r="A96" t="str">
            <v>JDAM JPATS</v>
          </cell>
          <cell r="B96" t="e">
            <v>#VALUE!</v>
          </cell>
          <cell r="C96" t="str">
            <v/>
          </cell>
          <cell r="D96" t="str">
            <v/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 t="str">
            <v/>
          </cell>
          <cell r="K96" t="str">
            <v/>
          </cell>
          <cell r="L96">
            <v>204041.18677536995</v>
          </cell>
          <cell r="M96">
            <v>232158.67761350988</v>
          </cell>
          <cell r="N96">
            <v>285001.14913036983</v>
          </cell>
          <cell r="O96">
            <v>269313.55681396055</v>
          </cell>
          <cell r="P96">
            <v>358084.57709169737</v>
          </cell>
          <cell r="Q96">
            <v>377899.75884614955</v>
          </cell>
          <cell r="R96">
            <v>4.2419999999999999E-2</v>
          </cell>
          <cell r="S96">
            <v>299881.25952939951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>
            <v>866479.76275145903</v>
          </cell>
          <cell r="AC96">
            <v>212923.54556321035</v>
          </cell>
          <cell r="AD96">
            <v>199196.32976570804</v>
          </cell>
          <cell r="AE96">
            <v>46994.841220860013</v>
          </cell>
          <cell r="AF96">
            <v>8296.3674329900005</v>
          </cell>
          <cell r="AG96">
            <v>691902.30516076973</v>
          </cell>
          <cell r="AH96">
            <v>587.05632546000004</v>
          </cell>
          <cell r="AI96" t="str">
            <v>Unclear</v>
          </cell>
          <cell r="AJ96">
            <v>1685322.8887142679</v>
          </cell>
          <cell r="AK96">
            <v>365687.84264591977</v>
          </cell>
          <cell r="AL96">
            <v>6828.4347161099995</v>
          </cell>
          <cell r="AM96">
            <v>156376.30461445008</v>
          </cell>
          <cell r="AN96">
            <v>41792.934707580011</v>
          </cell>
          <cell r="AO96" t="str">
            <v>Fixed Price</v>
          </cell>
          <cell r="AP96" t="e">
            <v>#VALUE!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 t="str">
            <v/>
          </cell>
          <cell r="AX96" t="str">
            <v/>
          </cell>
          <cell r="AY96" t="e">
            <v>#VALUE!</v>
          </cell>
          <cell r="AZ96" t="str">
            <v/>
          </cell>
          <cell r="BA96" t="str">
            <v/>
          </cell>
          <cell r="BB96" t="e">
            <v>#VALUE!</v>
          </cell>
          <cell r="BC96" t="str">
            <v/>
          </cell>
          <cell r="BD96" t="str">
            <v/>
          </cell>
          <cell r="BE96">
            <v>4362636524030.9463</v>
          </cell>
          <cell r="BF96">
            <v>2026380208222.6125</v>
          </cell>
        </row>
        <row r="97">
          <cell r="A97" t="str">
            <v>JHSV</v>
          </cell>
          <cell r="B97">
            <v>1450</v>
          </cell>
          <cell r="C97" t="str">
            <v/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>
            <v>0</v>
          </cell>
          <cell r="J97">
            <v>0</v>
          </cell>
          <cell r="K97">
            <v>126.5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Missing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 t="str">
            <v>Missing</v>
          </cell>
          <cell r="AP97">
            <v>1450</v>
          </cell>
          <cell r="AQ97">
            <v>247</v>
          </cell>
          <cell r="AR97" t="str">
            <v>None</v>
          </cell>
          <cell r="AS97" t="str">
            <v>Navy</v>
          </cell>
          <cell r="AT97">
            <v>0</v>
          </cell>
          <cell r="AU97" t="str">
            <v>Austal</v>
          </cell>
          <cell r="AV97">
            <v>0</v>
          </cell>
          <cell r="AW97">
            <v>2008</v>
          </cell>
          <cell r="AX97" t="str">
            <v>DE</v>
          </cell>
          <cell r="AY97">
            <v>3629.4975348788416</v>
          </cell>
          <cell r="AZ97">
            <v>3892.3</v>
          </cell>
          <cell r="BA97">
            <v>385.3</v>
          </cell>
          <cell r="BB97">
            <v>-40.805622574215882</v>
          </cell>
          <cell r="BC97">
            <v>3460</v>
          </cell>
          <cell r="BD97" t="str">
            <v/>
          </cell>
          <cell r="BE97">
            <v>0</v>
          </cell>
          <cell r="BF97" t="e">
            <v>#DIV/0!</v>
          </cell>
        </row>
        <row r="98">
          <cell r="A98" t="str">
            <v>JLENS</v>
          </cell>
          <cell r="B98">
            <v>1884.1</v>
          </cell>
          <cell r="C98" t="str">
            <v/>
          </cell>
          <cell r="D98">
            <v>0</v>
          </cell>
          <cell r="E98">
            <v>0</v>
          </cell>
          <cell r="F98">
            <v>0</v>
          </cell>
          <cell r="G98" t="str">
            <v/>
          </cell>
          <cell r="H98">
            <v>0</v>
          </cell>
          <cell r="I98">
            <v>0</v>
          </cell>
          <cell r="J98">
            <v>0</v>
          </cell>
          <cell r="K98">
            <v>176.7</v>
          </cell>
          <cell r="L98">
            <v>34.995179999999998</v>
          </cell>
          <cell r="M98">
            <v>83.776161000000002</v>
          </cell>
          <cell r="N98">
            <v>0.97364399999999995</v>
          </cell>
          <cell r="O98">
            <v>11.676577</v>
          </cell>
          <cell r="P98">
            <v>3.4697480000000001</v>
          </cell>
          <cell r="Q98">
            <v>0.42599999999999999</v>
          </cell>
          <cell r="R98">
            <v>9.5000000000000005E-5</v>
          </cell>
          <cell r="S98">
            <v>8.3413737799999996</v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>
            <v>2.4886659999999998</v>
          </cell>
          <cell r="AC98">
            <v>15.194108</v>
          </cell>
          <cell r="AD98">
            <v>7.1000000000000005E-5</v>
          </cell>
          <cell r="AE98">
            <v>0</v>
          </cell>
          <cell r="AF98">
            <v>0</v>
          </cell>
          <cell r="AG98">
            <v>125.97593378000001</v>
          </cell>
          <cell r="AH98">
            <v>0</v>
          </cell>
          <cell r="AI98" t="str">
            <v>None</v>
          </cell>
          <cell r="AJ98">
            <v>30.546367</v>
          </cell>
          <cell r="AK98">
            <v>117.74492375</v>
          </cell>
          <cell r="AL98">
            <v>0</v>
          </cell>
          <cell r="AM98">
            <v>0.96677500000000005</v>
          </cell>
          <cell r="AN98">
            <v>3.5617869999999998</v>
          </cell>
          <cell r="AO98" t="str">
            <v>Cost (All Other; Including Time and Materials and Labor)</v>
          </cell>
          <cell r="AP98">
            <v>1884.1</v>
          </cell>
          <cell r="AQ98">
            <v>372</v>
          </cell>
          <cell r="AR98" t="str">
            <v>None</v>
          </cell>
          <cell r="AS98" t="str">
            <v>Army</v>
          </cell>
          <cell r="AT98" t="str">
            <v>Electronic</v>
          </cell>
          <cell r="AU98" t="str">
            <v>Raytheon</v>
          </cell>
          <cell r="AV98">
            <v>0</v>
          </cell>
          <cell r="AW98">
            <v>2005</v>
          </cell>
          <cell r="AX98" t="str">
            <v>DE</v>
          </cell>
          <cell r="AY98">
            <v>6688.0073167943292</v>
          </cell>
          <cell r="AZ98">
            <v>7151</v>
          </cell>
          <cell r="BA98">
            <v>369.3</v>
          </cell>
          <cell r="BB98">
            <v>-18.291985823710984</v>
          </cell>
          <cell r="BC98">
            <v>5850</v>
          </cell>
          <cell r="BD98" t="str">
            <v/>
          </cell>
          <cell r="BE98">
            <v>166533631.19331101</v>
          </cell>
          <cell r="BF98">
            <v>1.1592304529355753</v>
          </cell>
        </row>
        <row r="99">
          <cell r="A99" t="str">
            <v>Joint MRAP</v>
          </cell>
          <cell r="B99">
            <v>35532.699999999997</v>
          </cell>
          <cell r="C99" t="str">
            <v/>
          </cell>
          <cell r="D99" t="str">
            <v/>
          </cell>
          <cell r="E99" t="str">
            <v/>
          </cell>
          <cell r="F99" t="str">
            <v/>
          </cell>
          <cell r="G99" t="str">
            <v/>
          </cell>
          <cell r="H99">
            <v>0</v>
          </cell>
          <cell r="I99">
            <v>0</v>
          </cell>
          <cell r="J99">
            <v>0</v>
          </cell>
          <cell r="K99">
            <v>3498.3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Missing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 t="str">
            <v>Missing</v>
          </cell>
          <cell r="AP99">
            <v>35532.699999999997</v>
          </cell>
          <cell r="AQ99" t="str">
            <v>None</v>
          </cell>
          <cell r="AR99" t="str">
            <v>None</v>
          </cell>
          <cell r="AS99" t="str">
            <v>Navy</v>
          </cell>
          <cell r="AT99" t="str">
            <v>Vehicle</v>
          </cell>
          <cell r="AU99" t="str">
            <v>Oshkosh, BAE, Force Protection Industries, General Dynamics, NAVISTAR Defense</v>
          </cell>
          <cell r="AV99">
            <v>0</v>
          </cell>
          <cell r="AW99">
            <v>2008</v>
          </cell>
          <cell r="AX99" t="str">
            <v>PdE</v>
          </cell>
          <cell r="AY99">
            <v>23091.8913248715</v>
          </cell>
          <cell r="AZ99">
            <v>22415</v>
          </cell>
          <cell r="BA99">
            <v>932.1</v>
          </cell>
          <cell r="BB99">
            <v>-543.27074373229834</v>
          </cell>
          <cell r="BC99">
            <v>22013.5</v>
          </cell>
          <cell r="BD99" t="str">
            <v/>
          </cell>
          <cell r="BE99">
            <v>0</v>
          </cell>
          <cell r="BF99" t="e">
            <v>#DIV/0!</v>
          </cell>
        </row>
        <row r="100">
          <cell r="A100" t="str">
            <v>JPALS</v>
          </cell>
          <cell r="B100">
            <v>549.5</v>
          </cell>
          <cell r="C100" t="str">
            <v/>
          </cell>
          <cell r="D100" t="str">
            <v/>
          </cell>
          <cell r="E100" t="str">
            <v/>
          </cell>
          <cell r="F100" t="str">
            <v/>
          </cell>
          <cell r="G100" t="str">
            <v/>
          </cell>
          <cell r="H100" t="str">
            <v/>
          </cell>
          <cell r="I100">
            <v>0</v>
          </cell>
          <cell r="J100">
            <v>0</v>
          </cell>
          <cell r="K100">
            <v>295.60000000000002</v>
          </cell>
          <cell r="L100">
            <v>5.487635</v>
          </cell>
          <cell r="M100">
            <v>0.51400000000000001</v>
          </cell>
          <cell r="N100">
            <v>5.5E-2</v>
          </cell>
          <cell r="O100">
            <v>14.278312220000002</v>
          </cell>
          <cell r="P100">
            <v>6.5595971799999999</v>
          </cell>
          <cell r="Q100">
            <v>17.560058290000004</v>
          </cell>
          <cell r="R100">
            <v>3.0000000000000001E-6</v>
          </cell>
          <cell r="S100">
            <v>6.743383950000001</v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>
            <v>0.81972468999999992</v>
          </cell>
          <cell r="AC100">
            <v>50.357404950000003</v>
          </cell>
          <cell r="AD100">
            <v>0</v>
          </cell>
          <cell r="AE100">
            <v>0</v>
          </cell>
          <cell r="AF100">
            <v>0</v>
          </cell>
          <cell r="AG100">
            <v>2.086E-2</v>
          </cell>
          <cell r="AH100">
            <v>0</v>
          </cell>
          <cell r="AI100" t="str">
            <v>Full and Open -Single Bidder</v>
          </cell>
          <cell r="AJ100">
            <v>14.347312220000003</v>
          </cell>
          <cell r="AK100">
            <v>47.095038050000007</v>
          </cell>
          <cell r="AL100">
            <v>0</v>
          </cell>
          <cell r="AM100">
            <v>11.00422148</v>
          </cell>
          <cell r="AN100">
            <v>0.29972168999999999</v>
          </cell>
          <cell r="AO100" t="str">
            <v>Cost (All Other; Including Time and Materials and Labor)</v>
          </cell>
          <cell r="AP100">
            <v>549.5</v>
          </cell>
          <cell r="AQ100">
            <v>238</v>
          </cell>
          <cell r="AR100" t="str">
            <v>None</v>
          </cell>
          <cell r="AS100" t="str">
            <v>Navy</v>
          </cell>
          <cell r="AT100">
            <v>0</v>
          </cell>
          <cell r="AU100" t="str">
            <v>Raytheon</v>
          </cell>
          <cell r="AV100">
            <v>0</v>
          </cell>
          <cell r="AW100">
            <v>2008</v>
          </cell>
          <cell r="AX100" t="str">
            <v>DE</v>
          </cell>
          <cell r="AY100">
            <v>1010.3849784957516</v>
          </cell>
          <cell r="AZ100">
            <v>1031.9000000000001</v>
          </cell>
          <cell r="BA100">
            <v>72.5</v>
          </cell>
          <cell r="BB100">
            <v>-62.939263610615754</v>
          </cell>
          <cell r="BC100">
            <v>963.2</v>
          </cell>
          <cell r="BD100" t="str">
            <v/>
          </cell>
          <cell r="BE100">
            <v>54351253.445016339</v>
          </cell>
          <cell r="BF100">
            <v>1.0615896019978244</v>
          </cell>
        </row>
        <row r="101">
          <cell r="A101" t="str">
            <v>JPATS</v>
          </cell>
          <cell r="B101">
            <v>4373.3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 t="str">
            <v/>
          </cell>
          <cell r="H101">
            <v>0</v>
          </cell>
          <cell r="I101">
            <v>0</v>
          </cell>
          <cell r="J101">
            <v>0</v>
          </cell>
          <cell r="K101">
            <v>370.6</v>
          </cell>
          <cell r="L101">
            <v>29.838338</v>
          </cell>
          <cell r="M101">
            <v>4.7563060000000004</v>
          </cell>
          <cell r="N101">
            <v>86.024617000000006</v>
          </cell>
          <cell r="O101">
            <v>476.96485700000005</v>
          </cell>
          <cell r="P101">
            <v>1002.25801502</v>
          </cell>
          <cell r="Q101">
            <v>587.06232337000006</v>
          </cell>
          <cell r="R101">
            <v>1.0000000000000001E-5</v>
          </cell>
          <cell r="S101">
            <v>470.00447441999995</v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>
            <v>175.74156456999998</v>
          </cell>
          <cell r="AC101">
            <v>498.02562988</v>
          </cell>
          <cell r="AD101">
            <v>0.46781600000000001</v>
          </cell>
          <cell r="AE101">
            <v>316.460306</v>
          </cell>
          <cell r="AF101">
            <v>0.43237199999999998</v>
          </cell>
          <cell r="AG101">
            <v>1665.7812523600001</v>
          </cell>
          <cell r="AH101">
            <v>0</v>
          </cell>
          <cell r="AI101" t="str">
            <v>None</v>
          </cell>
          <cell r="AJ101">
            <v>2813.2216166799999</v>
          </cell>
          <cell r="AK101">
            <v>121.50907364</v>
          </cell>
          <cell r="AL101">
            <v>-8.0360899999999992E-3</v>
          </cell>
          <cell r="AM101">
            <v>22.867450219999998</v>
          </cell>
          <cell r="AN101">
            <v>-5.3416059999999994E-2</v>
          </cell>
          <cell r="AO101" t="str">
            <v>Fixed Price</v>
          </cell>
          <cell r="AP101">
            <v>4373.3</v>
          </cell>
          <cell r="AQ101">
            <v>560</v>
          </cell>
          <cell r="AR101" t="str">
            <v>None</v>
          </cell>
          <cell r="AS101" t="str">
            <v>Air Force</v>
          </cell>
          <cell r="AT101">
            <v>0</v>
          </cell>
          <cell r="AU101" t="str">
            <v>Hawker Beechcraft (Raytheon)</v>
          </cell>
          <cell r="AV101">
            <v>0</v>
          </cell>
          <cell r="AW101">
            <v>2002</v>
          </cell>
          <cell r="AX101" t="str">
            <v>PdE</v>
          </cell>
          <cell r="AY101">
            <v>5598.2694684796043</v>
          </cell>
          <cell r="AZ101">
            <v>5041.1000000000004</v>
          </cell>
          <cell r="BA101">
            <v>286.39999999999998</v>
          </cell>
          <cell r="BB101">
            <v>24.72187886279357</v>
          </cell>
          <cell r="BC101">
            <v>4529</v>
          </cell>
          <cell r="BD101" t="str">
            <v/>
          </cell>
          <cell r="BE101">
            <v>2783226339.6973467</v>
          </cell>
          <cell r="BF101">
            <v>1.0475429913863878</v>
          </cell>
        </row>
        <row r="102">
          <cell r="A102" t="str">
            <v>JSIMS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0.86121700000000001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3.0000000000000001E-6</v>
          </cell>
          <cell r="S102">
            <v>0.31433729000000005</v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>
            <v>0</v>
          </cell>
          <cell r="AC102">
            <v>0</v>
          </cell>
          <cell r="AD102">
            <v>1.17555729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Partial -Multiple Bidders</v>
          </cell>
          <cell r="AJ102">
            <v>0.86121700000000001</v>
          </cell>
          <cell r="AK102">
            <v>0.76433729000000006</v>
          </cell>
          <cell r="AL102">
            <v>0</v>
          </cell>
          <cell r="AM102">
            <v>0</v>
          </cell>
          <cell r="AN102">
            <v>0</v>
          </cell>
          <cell r="AO102" t="str">
            <v>Fixed Price</v>
          </cell>
          <cell r="AP102">
            <v>0.86121999999999999</v>
          </cell>
          <cell r="AQ102">
            <v>339</v>
          </cell>
          <cell r="AR102" t="str">
            <v>None</v>
          </cell>
          <cell r="AS102" t="str">
            <v>DoD-wide</v>
          </cell>
          <cell r="AT102">
            <v>0</v>
          </cell>
          <cell r="AU102" t="str">
            <v>TRW Systems (Northrop Grumman)</v>
          </cell>
          <cell r="AV102">
            <v>0</v>
          </cell>
          <cell r="AW102">
            <v>2001</v>
          </cell>
          <cell r="AX102" t="str">
            <v>DE</v>
          </cell>
          <cell r="AY102">
            <v>1610.2525442894835</v>
          </cell>
          <cell r="AZ102">
            <v>1316.7</v>
          </cell>
          <cell r="BA102">
            <v>0</v>
          </cell>
          <cell r="BB102">
            <v>-441.13582108305064</v>
          </cell>
          <cell r="BC102">
            <v>1281.5999999999999</v>
          </cell>
          <cell r="BD102" t="str">
            <v/>
          </cell>
          <cell r="BE102">
            <v>1303292.1828317544</v>
          </cell>
          <cell r="BF102">
            <v>1.1086590112777528</v>
          </cell>
        </row>
        <row r="103">
          <cell r="A103" t="str">
            <v>JSOW</v>
          </cell>
          <cell r="B103">
            <v>313.70000000000005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156.4</v>
          </cell>
          <cell r="H103">
            <v>157.30000000000001</v>
          </cell>
          <cell r="I103">
            <v>0</v>
          </cell>
          <cell r="J103">
            <v>0</v>
          </cell>
          <cell r="K103">
            <v>1847.3</v>
          </cell>
          <cell r="L103">
            <v>11.858254000000001</v>
          </cell>
          <cell r="M103">
            <v>27.442116510000002</v>
          </cell>
          <cell r="N103">
            <v>44.625298289999996</v>
          </cell>
          <cell r="O103">
            <v>212.42483530999999</v>
          </cell>
          <cell r="P103">
            <v>117.25237285999999</v>
          </cell>
          <cell r="Q103">
            <v>94.292528479999987</v>
          </cell>
          <cell r="R103">
            <v>6.9999999999999999E-6</v>
          </cell>
          <cell r="S103">
            <v>169.09686465999999</v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>
            <v>0.74969547864450126</v>
          </cell>
          <cell r="Y103">
            <v>0.59944391913540995</v>
          </cell>
          <cell r="Z103" t="str">
            <v/>
          </cell>
          <cell r="AA103" t="str">
            <v/>
          </cell>
          <cell r="AB103">
            <v>1.7110650000000001</v>
          </cell>
          <cell r="AC103">
            <v>0.13048899999999999</v>
          </cell>
          <cell r="AD103">
            <v>3.0570430000000002</v>
          </cell>
          <cell r="AE103">
            <v>1.0893542400000003</v>
          </cell>
          <cell r="AF103">
            <v>0</v>
          </cell>
          <cell r="AG103">
            <v>671.00432586999989</v>
          </cell>
          <cell r="AH103">
            <v>0</v>
          </cell>
          <cell r="AI103" t="str">
            <v>None</v>
          </cell>
          <cell r="AJ103">
            <v>445.72985552999995</v>
          </cell>
          <cell r="AK103">
            <v>344.82152401999997</v>
          </cell>
          <cell r="AL103">
            <v>9.7123139999999992</v>
          </cell>
          <cell r="AM103">
            <v>33.825161519999995</v>
          </cell>
          <cell r="AN103">
            <v>1.6539170000000001</v>
          </cell>
          <cell r="AO103" t="str">
            <v>Fixed Price</v>
          </cell>
          <cell r="AP103">
            <v>507.89541244999992</v>
          </cell>
          <cell r="AQ103">
            <v>766</v>
          </cell>
          <cell r="AR103" t="str">
            <v>None</v>
          </cell>
          <cell r="AS103" t="str">
            <v>Navy</v>
          </cell>
          <cell r="AT103">
            <v>0</v>
          </cell>
          <cell r="AU103" t="str">
            <v>Raytheon</v>
          </cell>
          <cell r="AV103">
            <v>0</v>
          </cell>
          <cell r="AW103">
            <v>1990</v>
          </cell>
          <cell r="AX103" t="str">
            <v>PdE</v>
          </cell>
          <cell r="AY103">
            <v>8790.3916283494527</v>
          </cell>
          <cell r="AZ103">
            <v>7873.5</v>
          </cell>
          <cell r="BA103">
            <v>0</v>
          </cell>
          <cell r="BB103">
            <v>-529.09465673061675</v>
          </cell>
          <cell r="BC103">
            <v>5544.1</v>
          </cell>
          <cell r="BD103" t="str">
            <v/>
          </cell>
          <cell r="BE103">
            <v>714922451.80303526</v>
          </cell>
          <cell r="BF103">
            <v>1.0560274850622444</v>
          </cell>
        </row>
        <row r="104">
          <cell r="A104" t="str">
            <v>JSOW Split</v>
          </cell>
          <cell r="B104">
            <v>1659.9</v>
          </cell>
          <cell r="C104" t="str">
            <v/>
          </cell>
          <cell r="D104" t="str">
            <v/>
          </cell>
          <cell r="E104" t="str">
            <v/>
          </cell>
          <cell r="F104">
            <v>0</v>
          </cell>
          <cell r="G104" t="str">
            <v/>
          </cell>
          <cell r="H104" t="str">
            <v/>
          </cell>
          <cell r="I104">
            <v>0</v>
          </cell>
          <cell r="J104">
            <v>0</v>
          </cell>
          <cell r="K104">
            <v>213.4</v>
          </cell>
          <cell r="L104">
            <v>408082.3735507399</v>
          </cell>
          <cell r="M104">
            <v>464317.35522701975</v>
          </cell>
          <cell r="N104">
            <v>570002.29826073966</v>
          </cell>
          <cell r="O104">
            <v>538627.11362792109</v>
          </cell>
          <cell r="P104">
            <v>716169.15418339474</v>
          </cell>
          <cell r="Q104">
            <v>755799.51769229909</v>
          </cell>
          <cell r="R104">
            <v>8.4839999999999999E-2</v>
          </cell>
          <cell r="S104">
            <v>599762.51905879902</v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>
            <v>1732959.5255029181</v>
          </cell>
          <cell r="AC104">
            <v>425847.09112642071</v>
          </cell>
          <cell r="AD104">
            <v>398392.65953141608</v>
          </cell>
          <cell r="AE104">
            <v>93989.682441720026</v>
          </cell>
          <cell r="AF104">
            <v>16592.734865980001</v>
          </cell>
          <cell r="AG104">
            <v>1383804.6103215395</v>
          </cell>
          <cell r="AH104">
            <v>1174.1126509200001</v>
          </cell>
          <cell r="AI104" t="str">
            <v>Unclear</v>
          </cell>
          <cell r="AJ104">
            <v>3370645.7774285357</v>
          </cell>
          <cell r="AK104">
            <v>731375.68529183953</v>
          </cell>
          <cell r="AL104">
            <v>13656.869432219999</v>
          </cell>
          <cell r="AM104">
            <v>312752.60922890017</v>
          </cell>
          <cell r="AN104">
            <v>83585.869415160021</v>
          </cell>
          <cell r="AO104" t="str">
            <v>Fixed Price</v>
          </cell>
          <cell r="AP104">
            <v>3452997.8973821141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1990</v>
          </cell>
          <cell r="AX104" t="str">
            <v>PdE</v>
          </cell>
          <cell r="AY104">
            <v>5654.5108609481531</v>
          </cell>
          <cell r="AZ104">
            <v>4898.7</v>
          </cell>
          <cell r="BA104" t="str">
            <v/>
          </cell>
          <cell r="BB104">
            <v>-151.26050420168067</v>
          </cell>
          <cell r="BC104">
            <v>3566.3</v>
          </cell>
          <cell r="BD104" t="str">
            <v/>
          </cell>
          <cell r="BE104">
            <v>2181318262015.4731</v>
          </cell>
          <cell r="BF104">
            <v>1.0764605048778473</v>
          </cell>
        </row>
        <row r="105">
          <cell r="A105" t="str">
            <v>JSOW Split</v>
          </cell>
          <cell r="B105">
            <v>1659.9</v>
          </cell>
          <cell r="C105" t="str">
            <v/>
          </cell>
          <cell r="D105" t="str">
            <v/>
          </cell>
          <cell r="E105" t="str">
            <v/>
          </cell>
          <cell r="F105">
            <v>0</v>
          </cell>
          <cell r="G105" t="str">
            <v/>
          </cell>
          <cell r="H105" t="str">
            <v/>
          </cell>
          <cell r="I105">
            <v>0</v>
          </cell>
          <cell r="J105">
            <v>0</v>
          </cell>
          <cell r="K105">
            <v>213.4</v>
          </cell>
          <cell r="L105">
            <v>204041.18677536995</v>
          </cell>
          <cell r="M105">
            <v>232158.67761350988</v>
          </cell>
          <cell r="N105">
            <v>285001.14913036983</v>
          </cell>
          <cell r="O105">
            <v>269313.55681396055</v>
          </cell>
          <cell r="P105">
            <v>358084.57709169737</v>
          </cell>
          <cell r="Q105">
            <v>377899.75884614955</v>
          </cell>
          <cell r="R105">
            <v>4.2419999999999999E-2</v>
          </cell>
          <cell r="S105">
            <v>299881.25952939951</v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>
            <v>866479.76275145903</v>
          </cell>
          <cell r="AC105">
            <v>212923.54556321035</v>
          </cell>
          <cell r="AD105">
            <v>199196.32976570804</v>
          </cell>
          <cell r="AE105">
            <v>46994.841220860013</v>
          </cell>
          <cell r="AF105">
            <v>8296.3674329900005</v>
          </cell>
          <cell r="AG105">
            <v>691902.30516076973</v>
          </cell>
          <cell r="AH105">
            <v>587.05632546000004</v>
          </cell>
          <cell r="AI105" t="str">
            <v>Unclear</v>
          </cell>
          <cell r="AJ105">
            <v>1685322.8887142679</v>
          </cell>
          <cell r="AK105">
            <v>365687.84264591977</v>
          </cell>
          <cell r="AL105">
            <v>6828.4347161099995</v>
          </cell>
          <cell r="AM105">
            <v>156376.30461445008</v>
          </cell>
          <cell r="AN105">
            <v>41792.934707580011</v>
          </cell>
          <cell r="AO105" t="str">
            <v>Fixed Price</v>
          </cell>
          <cell r="AP105">
            <v>1726498.948691057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1990</v>
          </cell>
          <cell r="AX105" t="str">
            <v>PdE</v>
          </cell>
          <cell r="AY105">
            <v>5654.5108609481531</v>
          </cell>
          <cell r="AZ105">
            <v>4898.7</v>
          </cell>
          <cell r="BA105" t="str">
            <v/>
          </cell>
          <cell r="BB105">
            <v>-151.26050420168067</v>
          </cell>
          <cell r="BC105">
            <v>3566.3</v>
          </cell>
          <cell r="BD105" t="str">
            <v/>
          </cell>
          <cell r="BE105">
            <v>2181318262015.4731</v>
          </cell>
          <cell r="BF105">
            <v>1.0764605048778473</v>
          </cell>
        </row>
        <row r="106">
          <cell r="A106" t="str">
            <v>JTRS GMR</v>
          </cell>
          <cell r="B106">
            <v>1582.7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 t="str">
            <v/>
          </cell>
          <cell r="H106">
            <v>0</v>
          </cell>
          <cell r="I106">
            <v>0</v>
          </cell>
          <cell r="J106">
            <v>0</v>
          </cell>
          <cell r="K106" t="str">
            <v>-</v>
          </cell>
          <cell r="L106">
            <v>19.018656</v>
          </cell>
          <cell r="M106">
            <v>104.471785</v>
          </cell>
          <cell r="N106">
            <v>11.283801</v>
          </cell>
          <cell r="O106">
            <v>391.26059193999998</v>
          </cell>
          <cell r="P106">
            <v>337.17098099999998</v>
          </cell>
          <cell r="Q106">
            <v>-0.29008200000000001</v>
          </cell>
          <cell r="R106">
            <v>2.8E-5</v>
          </cell>
          <cell r="S106">
            <v>181.40623338999995</v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>
            <v>383.71715301</v>
          </cell>
          <cell r="AC106">
            <v>0.113438</v>
          </cell>
          <cell r="AD106">
            <v>2.9513105400000001</v>
          </cell>
          <cell r="AE106">
            <v>5.4792240000000003</v>
          </cell>
          <cell r="AF106">
            <v>9.8463999999999996E-2</v>
          </cell>
          <cell r="AG106">
            <v>651.96240477999993</v>
          </cell>
          <cell r="AH106">
            <v>0</v>
          </cell>
          <cell r="AI106" t="str">
            <v>None</v>
          </cell>
          <cell r="AJ106">
            <v>985.63393141999995</v>
          </cell>
          <cell r="AK106">
            <v>14.369688140000001</v>
          </cell>
          <cell r="AL106">
            <v>-5.6999999999999998E-4</v>
          </cell>
          <cell r="AM106">
            <v>315.99992894999997</v>
          </cell>
          <cell r="AN106">
            <v>13.487814999999999</v>
          </cell>
          <cell r="AO106" t="str">
            <v>Fixed Price</v>
          </cell>
          <cell r="AP106">
            <v>1582.7</v>
          </cell>
          <cell r="AQ106">
            <v>360</v>
          </cell>
          <cell r="AR106" t="str">
            <v>None</v>
          </cell>
          <cell r="AS106" t="str">
            <v>DoD-wide</v>
          </cell>
          <cell r="AT106">
            <v>0</v>
          </cell>
          <cell r="AU106" t="str">
            <v>Boeing</v>
          </cell>
          <cell r="AV106">
            <v>0</v>
          </cell>
          <cell r="AW106">
            <v>2002</v>
          </cell>
          <cell r="AX106" t="str">
            <v>DE</v>
          </cell>
          <cell r="AY106">
            <v>17845.735475896166</v>
          </cell>
          <cell r="AZ106">
            <v>19112.900000000001</v>
          </cell>
          <cell r="BA106">
            <v>69.7</v>
          </cell>
          <cell r="BB106">
            <v>708.89987639060564</v>
          </cell>
          <cell r="BC106">
            <v>14437.2</v>
          </cell>
          <cell r="BD106" t="str">
            <v/>
          </cell>
          <cell r="BE106">
            <v>1111828007.3336887</v>
          </cell>
          <cell r="BF106">
            <v>1.0646409951817575</v>
          </cell>
        </row>
        <row r="107">
          <cell r="A107" t="str">
            <v>JTRS HMS</v>
          </cell>
          <cell r="B107">
            <v>951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 t="str">
            <v/>
          </cell>
          <cell r="H107">
            <v>0</v>
          </cell>
          <cell r="I107">
            <v>0</v>
          </cell>
          <cell r="J107">
            <v>0</v>
          </cell>
          <cell r="K107">
            <v>7079.5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Missing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 t="str">
            <v>Missing</v>
          </cell>
          <cell r="AP107">
            <v>951</v>
          </cell>
          <cell r="AQ107">
            <v>385</v>
          </cell>
          <cell r="AR107" t="str">
            <v>None</v>
          </cell>
          <cell r="AS107" t="str">
            <v>DoD-wide</v>
          </cell>
          <cell r="AT107" t="str">
            <v>Electronic</v>
          </cell>
          <cell r="AU107" t="str">
            <v>General Dynamics</v>
          </cell>
          <cell r="AV107">
            <v>0</v>
          </cell>
          <cell r="AW107">
            <v>2011</v>
          </cell>
          <cell r="AX107" t="str">
            <v>DE/PdE</v>
          </cell>
          <cell r="AY107">
            <v>10026.563925783232</v>
          </cell>
          <cell r="AZ107">
            <v>10717</v>
          </cell>
          <cell r="BA107">
            <v>586.6</v>
          </cell>
          <cell r="BB107">
            <v>-4209.3683463449252</v>
          </cell>
          <cell r="BC107">
            <v>9889.2000000000007</v>
          </cell>
          <cell r="BD107" t="str">
            <v/>
          </cell>
          <cell r="BE107">
            <v>0</v>
          </cell>
          <cell r="BF107" t="e">
            <v>#DIV/0!</v>
          </cell>
        </row>
        <row r="108">
          <cell r="A108" t="str">
            <v>JTRS NED</v>
          </cell>
          <cell r="B108">
            <v>1618.7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 t="str">
            <v/>
          </cell>
          <cell r="H108">
            <v>0</v>
          </cell>
          <cell r="I108">
            <v>0</v>
          </cell>
          <cell r="J108">
            <v>0</v>
          </cell>
          <cell r="K108">
            <v>220.8</v>
          </cell>
          <cell r="L108">
            <v>88.199299999999994</v>
          </cell>
          <cell r="M108">
            <v>101.102149</v>
          </cell>
          <cell r="N108">
            <v>77.373023000000003</v>
          </cell>
          <cell r="O108">
            <v>86.773575400000013</v>
          </cell>
          <cell r="P108">
            <v>96.015804200000005</v>
          </cell>
          <cell r="Q108">
            <v>74.992698140000002</v>
          </cell>
          <cell r="R108">
            <v>2.5999999999999998E-5</v>
          </cell>
          <cell r="S108">
            <v>100.22212792000001</v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>
            <v>409.16465735000003</v>
          </cell>
          <cell r="AC108">
            <v>185.63268463</v>
          </cell>
          <cell r="AD108">
            <v>2.4366413100000002</v>
          </cell>
          <cell r="AE108">
            <v>8.0313956700000002</v>
          </cell>
          <cell r="AF108">
            <v>0</v>
          </cell>
          <cell r="AG108">
            <v>19.4133247</v>
          </cell>
          <cell r="AH108">
            <v>0</v>
          </cell>
          <cell r="AI108" t="str">
            <v>Full and Open -Multiple Bidders</v>
          </cell>
          <cell r="AJ108">
            <v>81.675273790000006</v>
          </cell>
          <cell r="AK108">
            <v>452.33630105999998</v>
          </cell>
          <cell r="AL108">
            <v>7.3306689</v>
          </cell>
          <cell r="AM108">
            <v>88.718855610000006</v>
          </cell>
          <cell r="AN108">
            <v>80.226545200000004</v>
          </cell>
          <cell r="AO108" t="str">
            <v>Cost (All Other; Including Time and Materials and Labor)</v>
          </cell>
          <cell r="AP108">
            <v>1618.7</v>
          </cell>
          <cell r="AQ108">
            <v>284</v>
          </cell>
          <cell r="AR108" t="str">
            <v>None</v>
          </cell>
          <cell r="AS108" t="str">
            <v>DoD-wide</v>
          </cell>
          <cell r="AT108" t="str">
            <v>Electronic</v>
          </cell>
          <cell r="AU108" t="str">
            <v>Multiple</v>
          </cell>
          <cell r="AV108">
            <v>0</v>
          </cell>
          <cell r="AW108">
            <v>2002</v>
          </cell>
          <cell r="AX108" t="str">
            <v>DE</v>
          </cell>
          <cell r="AY108">
            <v>1004.8207663782447</v>
          </cell>
          <cell r="AZ108">
            <v>914.4</v>
          </cell>
          <cell r="BA108">
            <v>94</v>
          </cell>
          <cell r="BB108">
            <v>313.34981458590852</v>
          </cell>
          <cell r="BC108">
            <v>812.9</v>
          </cell>
          <cell r="BD108" t="str">
            <v/>
          </cell>
          <cell r="BE108">
            <v>679069431.83104813</v>
          </cell>
          <cell r="BF108">
            <v>1.0870699254710818</v>
          </cell>
        </row>
        <row r="109">
          <cell r="A109" t="str">
            <v>KC-130J</v>
          </cell>
          <cell r="B109">
            <v>3565.3</v>
          </cell>
          <cell r="C109" t="str">
            <v/>
          </cell>
          <cell r="D109" t="str">
            <v/>
          </cell>
          <cell r="E109" t="str">
            <v/>
          </cell>
          <cell r="F109" t="str">
            <v/>
          </cell>
          <cell r="G109" t="str">
            <v/>
          </cell>
          <cell r="H109" t="str">
            <v/>
          </cell>
          <cell r="I109" t="str">
            <v/>
          </cell>
          <cell r="J109">
            <v>0</v>
          </cell>
          <cell r="K109">
            <v>6850.3</v>
          </cell>
          <cell r="L109">
            <v>204041.18677536995</v>
          </cell>
          <cell r="M109">
            <v>232158.67761350988</v>
          </cell>
          <cell r="N109">
            <v>285001.14913036983</v>
          </cell>
          <cell r="O109">
            <v>269313.55681396055</v>
          </cell>
          <cell r="P109">
            <v>358084.57709169737</v>
          </cell>
          <cell r="Q109">
            <v>377899.75884614955</v>
          </cell>
          <cell r="R109">
            <v>4.2419999999999999E-2</v>
          </cell>
          <cell r="S109">
            <v>299881.25952939951</v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>
            <v>866479.76275145903</v>
          </cell>
          <cell r="AC109">
            <v>212923.54556321035</v>
          </cell>
          <cell r="AD109">
            <v>199196.32976570804</v>
          </cell>
          <cell r="AE109">
            <v>46994.841220860013</v>
          </cell>
          <cell r="AF109">
            <v>8296.3674329900005</v>
          </cell>
          <cell r="AG109">
            <v>691902.30516076973</v>
          </cell>
          <cell r="AH109">
            <v>587.05632546000004</v>
          </cell>
          <cell r="AI109" t="str">
            <v>Unclear</v>
          </cell>
          <cell r="AJ109">
            <v>1685322.8887142679</v>
          </cell>
          <cell r="AK109">
            <v>365687.84264591977</v>
          </cell>
          <cell r="AL109">
            <v>6828.4347161099995</v>
          </cell>
          <cell r="AM109">
            <v>156376.30461445008</v>
          </cell>
          <cell r="AN109">
            <v>41792.934707580011</v>
          </cell>
          <cell r="AO109" t="str">
            <v>Fixed Price</v>
          </cell>
          <cell r="AP109">
            <v>1726498.948691057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2010</v>
          </cell>
          <cell r="AX109" t="str">
            <v>PdE</v>
          </cell>
          <cell r="AY109">
            <v>9487.2084660433575</v>
          </cell>
          <cell r="AZ109">
            <v>9881.7999999999993</v>
          </cell>
          <cell r="BA109">
            <v>87.3</v>
          </cell>
          <cell r="BB109">
            <v>-411.79492448371525</v>
          </cell>
          <cell r="BC109">
            <v>9233.9</v>
          </cell>
          <cell r="BD109" t="str">
            <v/>
          </cell>
          <cell r="BE109">
            <v>2181318262015.4731</v>
          </cell>
          <cell r="BF109">
            <v>1.0764605048778473</v>
          </cell>
        </row>
        <row r="110">
          <cell r="A110" t="str">
            <v>KC-45A</v>
          </cell>
          <cell r="B110" t="e">
            <v>#VALUE!</v>
          </cell>
          <cell r="C110" t="str">
            <v/>
          </cell>
          <cell r="D110" t="str">
            <v/>
          </cell>
          <cell r="E110" t="str">
            <v/>
          </cell>
          <cell r="F110" t="str">
            <v/>
          </cell>
          <cell r="G110" t="str">
            <v/>
          </cell>
          <cell r="H110" t="str">
            <v/>
          </cell>
          <cell r="I110" t="str">
            <v/>
          </cell>
          <cell r="J110" t="str">
            <v/>
          </cell>
          <cell r="K110" t="str">
            <v/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Missing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 t="str">
            <v>Missing</v>
          </cell>
          <cell r="AP110" t="e">
            <v>#VALUE!</v>
          </cell>
          <cell r="AQ110">
            <v>387</v>
          </cell>
          <cell r="AR110" t="str">
            <v>None</v>
          </cell>
          <cell r="AS110">
            <v>0</v>
          </cell>
          <cell r="AT110" t="str">
            <v>Fixed Wing</v>
          </cell>
          <cell r="AU110" t="str">
            <v>EADS</v>
          </cell>
          <cell r="AV110">
            <v>0</v>
          </cell>
          <cell r="AW110" t="str">
            <v/>
          </cell>
          <cell r="AX110" t="str">
            <v/>
          </cell>
          <cell r="AY110" t="e">
            <v>#VALUE!</v>
          </cell>
          <cell r="AZ110" t="str">
            <v/>
          </cell>
          <cell r="BA110" t="str">
            <v/>
          </cell>
          <cell r="BB110" t="e">
            <v>#VALUE!</v>
          </cell>
          <cell r="BC110" t="str">
            <v/>
          </cell>
          <cell r="BD110" t="str">
            <v/>
          </cell>
          <cell r="BE110">
            <v>0</v>
          </cell>
          <cell r="BF110" t="e">
            <v>#DIV/0!</v>
          </cell>
        </row>
        <row r="111">
          <cell r="A111" t="str">
            <v>KC-46A</v>
          </cell>
          <cell r="B111">
            <v>967.9</v>
          </cell>
          <cell r="C111" t="str">
            <v/>
          </cell>
          <cell r="D111" t="str">
            <v/>
          </cell>
          <cell r="E111" t="str">
            <v/>
          </cell>
          <cell r="F111" t="str">
            <v/>
          </cell>
          <cell r="G111" t="str">
            <v/>
          </cell>
          <cell r="H111" t="str">
            <v/>
          </cell>
          <cell r="I111" t="str">
            <v/>
          </cell>
          <cell r="J111">
            <v>0</v>
          </cell>
          <cell r="K111">
            <v>48316.4</v>
          </cell>
          <cell r="L111">
            <v>204041.18677536995</v>
          </cell>
          <cell r="M111">
            <v>232158.67761350988</v>
          </cell>
          <cell r="N111">
            <v>285001.14913036983</v>
          </cell>
          <cell r="O111">
            <v>269313.55681396055</v>
          </cell>
          <cell r="P111">
            <v>358084.57709169737</v>
          </cell>
          <cell r="Q111">
            <v>377899.75884614955</v>
          </cell>
          <cell r="R111">
            <v>4.2419999999999999E-2</v>
          </cell>
          <cell r="S111">
            <v>299881.25952939951</v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>
            <v>866479.76275145903</v>
          </cell>
          <cell r="AC111">
            <v>212923.54556321035</v>
          </cell>
          <cell r="AD111">
            <v>199196.32976570804</v>
          </cell>
          <cell r="AE111">
            <v>46994.841220860013</v>
          </cell>
          <cell r="AF111">
            <v>8296.3674329900005</v>
          </cell>
          <cell r="AG111">
            <v>691902.30516076973</v>
          </cell>
          <cell r="AH111">
            <v>587.05632546000004</v>
          </cell>
          <cell r="AI111" t="str">
            <v>Unclear</v>
          </cell>
          <cell r="AJ111">
            <v>1685322.8887142679</v>
          </cell>
          <cell r="AK111">
            <v>365687.84264591977</v>
          </cell>
          <cell r="AL111">
            <v>6828.4347161099995</v>
          </cell>
          <cell r="AM111">
            <v>156376.30461445008</v>
          </cell>
          <cell r="AN111">
            <v>41792.934707580011</v>
          </cell>
          <cell r="AO111" t="str">
            <v>Fixed Price</v>
          </cell>
          <cell r="AP111">
            <v>1726498.948691057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2011</v>
          </cell>
          <cell r="AX111" t="str">
            <v>DE</v>
          </cell>
          <cell r="AY111">
            <v>44122.680725945451</v>
          </cell>
          <cell r="AZ111">
            <v>51700.2</v>
          </cell>
          <cell r="BA111">
            <v>877.1</v>
          </cell>
          <cell r="BB111">
            <v>-142.85714285714286</v>
          </cell>
          <cell r="BC111">
            <v>43518.2</v>
          </cell>
          <cell r="BD111" t="str">
            <v/>
          </cell>
          <cell r="BE111">
            <v>2181318262015.4731</v>
          </cell>
          <cell r="BF111">
            <v>1.0764605048778473</v>
          </cell>
        </row>
        <row r="112">
          <cell r="A112" t="str">
            <v>LAIRCM</v>
          </cell>
          <cell r="B112">
            <v>405.7</v>
          </cell>
          <cell r="C112" t="str">
            <v/>
          </cell>
          <cell r="D112" t="str">
            <v/>
          </cell>
          <cell r="E112" t="str">
            <v/>
          </cell>
          <cell r="F112" t="str">
            <v/>
          </cell>
          <cell r="G112" t="str">
            <v/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0.156498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1.9999999999999999E-6</v>
          </cell>
          <cell r="S112">
            <v>0</v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>
            <v>0.1565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Full and Open -Multiple Bidders</v>
          </cell>
          <cell r="AJ112">
            <v>0</v>
          </cell>
          <cell r="AK112">
            <v>0</v>
          </cell>
          <cell r="AL112">
            <v>0</v>
          </cell>
          <cell r="AM112">
            <v>0.144867</v>
          </cell>
          <cell r="AN112">
            <v>0</v>
          </cell>
          <cell r="AO112" t="str">
            <v>Cost Plus Award/Incentive</v>
          </cell>
          <cell r="AP112">
            <v>405.7</v>
          </cell>
          <cell r="AQ112">
            <v>357</v>
          </cell>
          <cell r="AR112" t="str">
            <v>None</v>
          </cell>
          <cell r="AS112" t="str">
            <v>Air Force</v>
          </cell>
          <cell r="AT112" t="str">
            <v>Electronic</v>
          </cell>
          <cell r="AU112" t="str">
            <v>Northrop Grumman</v>
          </cell>
          <cell r="AV112">
            <v>0</v>
          </cell>
          <cell r="AW112">
            <v>2008</v>
          </cell>
          <cell r="AX112" t="str">
            <v>PdE</v>
          </cell>
          <cell r="AY112">
            <v>402.39169201720341</v>
          </cell>
          <cell r="AZ112">
            <v>366</v>
          </cell>
          <cell r="BA112">
            <v>7.5</v>
          </cell>
          <cell r="BB112">
            <v>55.70124829539494</v>
          </cell>
          <cell r="BC112">
            <v>383.6</v>
          </cell>
          <cell r="BD112" t="str">
            <v/>
          </cell>
          <cell r="BE112">
            <v>178918.25470483775</v>
          </cell>
          <cell r="BF112">
            <v>1.1432476338967268</v>
          </cell>
        </row>
        <row r="113">
          <cell r="A113" t="str">
            <v>LAND WARRIOR</v>
          </cell>
          <cell r="B113">
            <v>671.4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 t="str">
            <v>-</v>
          </cell>
          <cell r="H113" t="str">
            <v>-</v>
          </cell>
          <cell r="I113">
            <v>0</v>
          </cell>
          <cell r="J113">
            <v>0</v>
          </cell>
          <cell r="K113" t="str">
            <v>-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Missing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 t="str">
            <v>Missing</v>
          </cell>
          <cell r="AP113">
            <v>671.4</v>
          </cell>
          <cell r="AQ113" t="str">
            <v>None</v>
          </cell>
          <cell r="AR113" t="str">
            <v>None</v>
          </cell>
          <cell r="AS113" t="str">
            <v>Army</v>
          </cell>
          <cell r="AT113">
            <v>0</v>
          </cell>
          <cell r="AU113" t="str">
            <v>General Dynamics</v>
          </cell>
          <cell r="AV113">
            <v>0</v>
          </cell>
          <cell r="AW113">
            <v>2003</v>
          </cell>
          <cell r="AX113" t="str">
            <v xml:space="preserve">DE </v>
          </cell>
          <cell r="AY113">
            <v>2968.2770311175686</v>
          </cell>
          <cell r="AZ113">
            <v>2844.4</v>
          </cell>
          <cell r="BA113">
            <v>0</v>
          </cell>
          <cell r="BB113">
            <v>-4621.6248940549694</v>
          </cell>
          <cell r="BC113">
            <v>2451.5</v>
          </cell>
          <cell r="BD113" t="str">
            <v/>
          </cell>
          <cell r="BE113">
            <v>0</v>
          </cell>
          <cell r="BF113" t="e">
            <v>#DIV/0!</v>
          </cell>
        </row>
        <row r="114">
          <cell r="A114" t="str">
            <v>LCS</v>
          </cell>
          <cell r="B114">
            <v>6079.8</v>
          </cell>
          <cell r="C114">
            <v>0</v>
          </cell>
          <cell r="D114" t="str">
            <v/>
          </cell>
          <cell r="E114" t="str">
            <v/>
          </cell>
          <cell r="F114">
            <v>0</v>
          </cell>
          <cell r="G114" t="str">
            <v/>
          </cell>
          <cell r="H114">
            <v>0</v>
          </cell>
          <cell r="I114">
            <v>0</v>
          </cell>
          <cell r="J114">
            <v>0</v>
          </cell>
          <cell r="K114">
            <v>27207.9</v>
          </cell>
          <cell r="L114">
            <v>2.5913840000000001</v>
          </cell>
          <cell r="M114">
            <v>21.023720999999998</v>
          </cell>
          <cell r="N114">
            <v>71.701580000000007</v>
          </cell>
          <cell r="O114">
            <v>91.380902759999984</v>
          </cell>
          <cell r="P114">
            <v>124.59863397999999</v>
          </cell>
          <cell r="Q114">
            <v>89.561048650000004</v>
          </cell>
          <cell r="R114">
            <v>3.3000000000000003E-5</v>
          </cell>
          <cell r="S114">
            <v>1886.3218767799999</v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>
            <v>317.19031515</v>
          </cell>
          <cell r="AC114">
            <v>113.34753974000002</v>
          </cell>
          <cell r="AD114">
            <v>1732.6252082799999</v>
          </cell>
          <cell r="AE114">
            <v>6.3639999999999999E-3</v>
          </cell>
          <cell r="AF114">
            <v>0</v>
          </cell>
          <cell r="AG114">
            <v>124.009753</v>
          </cell>
          <cell r="AH114">
            <v>0</v>
          </cell>
          <cell r="AI114" t="str">
            <v>Partial -Multiple Bidders</v>
          </cell>
          <cell r="AJ114">
            <v>1983.35047375</v>
          </cell>
          <cell r="AK114">
            <v>326.79137976999999</v>
          </cell>
          <cell r="AL114">
            <v>42.088410000000003</v>
          </cell>
          <cell r="AM114">
            <v>21.676735880000003</v>
          </cell>
          <cell r="AN114">
            <v>62.587573999999996</v>
          </cell>
          <cell r="AO114" t="str">
            <v>Fixed Price</v>
          </cell>
          <cell r="AP114">
            <v>6079.8</v>
          </cell>
          <cell r="AQ114">
            <v>374</v>
          </cell>
          <cell r="AR114" t="str">
            <v>None</v>
          </cell>
          <cell r="AS114" t="str">
            <v>Navy</v>
          </cell>
          <cell r="AT114" t="str">
            <v>Ship / Sub</v>
          </cell>
          <cell r="AU114" t="str">
            <v xml:space="preserve">Lockheed Martin, Austal </v>
          </cell>
          <cell r="AV114">
            <v>0</v>
          </cell>
          <cell r="AW114">
            <v>2010</v>
          </cell>
          <cell r="AX114" t="str">
            <v>DE</v>
          </cell>
          <cell r="AY114">
            <v>32889.140039042431</v>
          </cell>
          <cell r="AZ114">
            <v>37438.800000000003</v>
          </cell>
          <cell r="BA114">
            <v>1970.1</v>
          </cell>
          <cell r="BB114">
            <v>-1367.615329292099</v>
          </cell>
          <cell r="BC114">
            <v>32011</v>
          </cell>
          <cell r="BD114" t="str">
            <v/>
          </cell>
          <cell r="BE114">
            <v>2340346932.7682667</v>
          </cell>
          <cell r="BF114">
            <v>1.0232459936061129</v>
          </cell>
        </row>
        <row r="115">
          <cell r="A115" t="str">
            <v>LCS (RDT&amp;E)</v>
          </cell>
          <cell r="B115">
            <v>256.8</v>
          </cell>
          <cell r="C115" t="str">
            <v/>
          </cell>
          <cell r="D115">
            <v>0</v>
          </cell>
          <cell r="E115">
            <v>0</v>
          </cell>
          <cell r="F115">
            <v>0</v>
          </cell>
          <cell r="G115">
            <v>160.4</v>
          </cell>
          <cell r="H115">
            <v>96.4</v>
          </cell>
          <cell r="I115">
            <v>0</v>
          </cell>
          <cell r="J115">
            <v>0</v>
          </cell>
          <cell r="K115">
            <v>122.5</v>
          </cell>
          <cell r="L115">
            <v>204041.18677536995</v>
          </cell>
          <cell r="M115">
            <v>232158.67761350988</v>
          </cell>
          <cell r="N115">
            <v>285001.14913036983</v>
          </cell>
          <cell r="O115">
            <v>269313.55681396055</v>
          </cell>
          <cell r="P115">
            <v>358084.57709169737</v>
          </cell>
          <cell r="Q115">
            <v>377899.75884614955</v>
          </cell>
          <cell r="R115">
            <v>4.2419999999999999E-2</v>
          </cell>
          <cell r="S115">
            <v>299881.25952939951</v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>
            <v>2232.4474881028514</v>
          </cell>
          <cell r="Y115">
            <v>3920.1219797318417</v>
          </cell>
          <cell r="Z115" t="str">
            <v/>
          </cell>
          <cell r="AA115" t="str">
            <v/>
          </cell>
          <cell r="AB115">
            <v>866479.76275145903</v>
          </cell>
          <cell r="AC115">
            <v>212923.54556321035</v>
          </cell>
          <cell r="AD115">
            <v>199196.32976570804</v>
          </cell>
          <cell r="AE115">
            <v>46994.841220860013</v>
          </cell>
          <cell r="AF115">
            <v>8296.3674329900005</v>
          </cell>
          <cell r="AG115">
            <v>691902.30516076973</v>
          </cell>
          <cell r="AH115">
            <v>587.05632546000004</v>
          </cell>
          <cell r="AI115" t="str">
            <v>Unclear</v>
          </cell>
          <cell r="AJ115">
            <v>1685322.8887142679</v>
          </cell>
          <cell r="AK115">
            <v>365687.84264591977</v>
          </cell>
          <cell r="AL115">
            <v>6828.4347161099995</v>
          </cell>
          <cell r="AM115">
            <v>156376.30461445008</v>
          </cell>
          <cell r="AN115">
            <v>41792.934707580011</v>
          </cell>
          <cell r="AO115" t="str">
            <v>Fixed Price</v>
          </cell>
          <cell r="AP115">
            <v>1726498.948691057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2004</v>
          </cell>
          <cell r="AX115" t="str">
            <v>PE</v>
          </cell>
          <cell r="AY115">
            <v>1384.3702042261837</v>
          </cell>
          <cell r="AZ115">
            <v>1211.7</v>
          </cell>
          <cell r="BA115">
            <v>0</v>
          </cell>
          <cell r="BB115">
            <v>576.31920670522959</v>
          </cell>
          <cell r="BC115">
            <v>1172.7</v>
          </cell>
          <cell r="BD115" t="str">
            <v/>
          </cell>
          <cell r="BE115">
            <v>2181318262015.4731</v>
          </cell>
          <cell r="BF115">
            <v>1.0764605048778473</v>
          </cell>
        </row>
        <row r="116">
          <cell r="A116" t="str">
            <v>LHA Replacement</v>
          </cell>
          <cell r="B116">
            <v>4522</v>
          </cell>
          <cell r="C116" t="str">
            <v/>
          </cell>
          <cell r="D116" t="str">
            <v/>
          </cell>
          <cell r="E116">
            <v>0</v>
          </cell>
          <cell r="F116">
            <v>0</v>
          </cell>
          <cell r="G116" t="str">
            <v/>
          </cell>
          <cell r="H116" t="str">
            <v/>
          </cell>
          <cell r="I116">
            <v>0</v>
          </cell>
          <cell r="J116">
            <v>0</v>
          </cell>
          <cell r="K116">
            <v>4632.8</v>
          </cell>
          <cell r="L116">
            <v>0.47328300000000001</v>
          </cell>
          <cell r="M116">
            <v>73.763360000000006</v>
          </cell>
          <cell r="N116">
            <v>1.797914</v>
          </cell>
          <cell r="O116">
            <v>795.76522599999998</v>
          </cell>
          <cell r="P116">
            <v>6.1514139799999983</v>
          </cell>
          <cell r="Q116">
            <v>1.88858444</v>
          </cell>
          <cell r="R116">
            <v>5.0000000000000004E-6</v>
          </cell>
          <cell r="S116">
            <v>164.856054</v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>
            <v>4.5776909999999997</v>
          </cell>
          <cell r="AC116">
            <v>1.5582E-2</v>
          </cell>
          <cell r="AD116">
            <v>15.011864419999998</v>
          </cell>
          <cell r="AE116">
            <v>0</v>
          </cell>
          <cell r="AF116">
            <v>0</v>
          </cell>
          <cell r="AG116">
            <v>1025.0907030000001</v>
          </cell>
          <cell r="AH116">
            <v>0</v>
          </cell>
          <cell r="AI116" t="str">
            <v>None</v>
          </cell>
          <cell r="AJ116">
            <v>17.722500579999998</v>
          </cell>
          <cell r="AK116">
            <v>343.99225100000001</v>
          </cell>
          <cell r="AL116">
            <v>0</v>
          </cell>
          <cell r="AM116">
            <v>0</v>
          </cell>
          <cell r="AN116">
            <v>782.30811700000004</v>
          </cell>
          <cell r="AO116" t="str">
            <v>Unclear Type</v>
          </cell>
          <cell r="AP116">
            <v>4522</v>
          </cell>
          <cell r="AQ116">
            <v>333</v>
          </cell>
          <cell r="AR116" t="str">
            <v>None</v>
          </cell>
          <cell r="AS116" t="str">
            <v>Navy</v>
          </cell>
          <cell r="AT116" t="str">
            <v>Ship / Sub</v>
          </cell>
          <cell r="AU116" t="str">
            <v>Northrop Grumman</v>
          </cell>
          <cell r="AV116">
            <v>0</v>
          </cell>
          <cell r="AW116">
            <v>2006</v>
          </cell>
          <cell r="AX116" t="str">
            <v>DE</v>
          </cell>
          <cell r="AY116">
            <v>3180.5018238089979</v>
          </cell>
          <cell r="AZ116">
            <v>3093.5</v>
          </cell>
          <cell r="BA116">
            <v>2051.6</v>
          </cell>
          <cell r="BB116">
            <v>-325.74334033381234</v>
          </cell>
          <cell r="BC116">
            <v>2877.4</v>
          </cell>
          <cell r="BD116" t="str">
            <v/>
          </cell>
          <cell r="BE116">
            <v>1116346654.3614671</v>
          </cell>
          <cell r="BF116">
            <v>1.0685853347637158</v>
          </cell>
        </row>
        <row r="117">
          <cell r="A117" t="str">
            <v>LHD 1</v>
          </cell>
          <cell r="B117">
            <v>264.39999999999998</v>
          </cell>
          <cell r="C117">
            <v>0</v>
          </cell>
          <cell r="D117">
            <v>0</v>
          </cell>
          <cell r="E117">
            <v>222.6</v>
          </cell>
          <cell r="F117">
            <v>41.8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2</v>
          </cell>
          <cell r="L117">
            <v>408082.3735507399</v>
          </cell>
          <cell r="M117">
            <v>464317.35522701975</v>
          </cell>
          <cell r="N117">
            <v>570002.29826073966</v>
          </cell>
          <cell r="O117">
            <v>538627.11362792109</v>
          </cell>
          <cell r="P117">
            <v>716169.15418339474</v>
          </cell>
          <cell r="Q117">
            <v>755799.51769229909</v>
          </cell>
          <cell r="R117">
            <v>8.4839999999999999E-2</v>
          </cell>
          <cell r="S117">
            <v>599762.51905879902</v>
          </cell>
          <cell r="T117" t="str">
            <v/>
          </cell>
          <cell r="U117" t="str">
            <v/>
          </cell>
          <cell r="V117">
            <v>2560.6572248910138</v>
          </cell>
          <cell r="W117">
            <v>12885.816115500505</v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>
            <v>1732959.5255029181</v>
          </cell>
          <cell r="AC117">
            <v>425847.09112642071</v>
          </cell>
          <cell r="AD117">
            <v>398392.65953141608</v>
          </cell>
          <cell r="AE117">
            <v>93989.682441720026</v>
          </cell>
          <cell r="AF117">
            <v>16592.734865980001</v>
          </cell>
          <cell r="AG117">
            <v>1383804.6103215395</v>
          </cell>
          <cell r="AH117">
            <v>1174.1126509200001</v>
          </cell>
          <cell r="AI117" t="str">
            <v>Unclear</v>
          </cell>
          <cell r="AJ117">
            <v>3370645.7774285357</v>
          </cell>
          <cell r="AK117">
            <v>731375.68529183953</v>
          </cell>
          <cell r="AL117">
            <v>13656.869432219999</v>
          </cell>
          <cell r="AM117">
            <v>312752.60922890017</v>
          </cell>
          <cell r="AN117">
            <v>83585.869415160021</v>
          </cell>
          <cell r="AO117" t="str">
            <v>Fixed Price</v>
          </cell>
          <cell r="AP117">
            <v>3452997.8973821141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 t="str">
            <v>Huntington Ingalls Industries (HII)</v>
          </cell>
          <cell r="AV117">
            <v>0</v>
          </cell>
          <cell r="AW117">
            <v>1982</v>
          </cell>
          <cell r="AX117" t="str">
            <v>DE</v>
          </cell>
          <cell r="AY117">
            <v>6066.2114628595082</v>
          </cell>
          <cell r="AZ117">
            <v>4451</v>
          </cell>
          <cell r="BA117">
            <v>0</v>
          </cell>
          <cell r="BB117">
            <v>440.72004965859713</v>
          </cell>
          <cell r="BC117">
            <v>2931.8</v>
          </cell>
          <cell r="BD117" t="str">
            <v/>
          </cell>
          <cell r="BE117">
            <v>2181318262015.4731</v>
          </cell>
          <cell r="BF117">
            <v>1.0764605048778473</v>
          </cell>
        </row>
        <row r="118">
          <cell r="A118" t="str">
            <v>LONGBOW APACHE</v>
          </cell>
          <cell r="B118">
            <v>13149.9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 t="str">
            <v/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13.582231</v>
          </cell>
          <cell r="M118">
            <v>5.8041070000000001</v>
          </cell>
          <cell r="N118">
            <v>0.21790200000000001</v>
          </cell>
          <cell r="O118">
            <v>4.8769E-2</v>
          </cell>
          <cell r="P118">
            <v>0</v>
          </cell>
          <cell r="Q118">
            <v>0</v>
          </cell>
          <cell r="R118">
            <v>9.9999999999999995E-7</v>
          </cell>
          <cell r="S118">
            <v>0</v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>
            <v>0.85150199999999998</v>
          </cell>
          <cell r="AC118">
            <v>0.12615999999999999</v>
          </cell>
          <cell r="AD118">
            <v>0.36315399999999998</v>
          </cell>
          <cell r="AE118">
            <v>0</v>
          </cell>
          <cell r="AF118">
            <v>0</v>
          </cell>
          <cell r="AG118">
            <v>18.312194000000002</v>
          </cell>
          <cell r="AH118">
            <v>0</v>
          </cell>
          <cell r="AI118" t="str">
            <v>None</v>
          </cell>
          <cell r="AJ118">
            <v>5.2124242800000005</v>
          </cell>
          <cell r="AK118">
            <v>7.0554639999999997</v>
          </cell>
          <cell r="AL118">
            <v>0</v>
          </cell>
          <cell r="AM118">
            <v>7.393726</v>
          </cell>
          <cell r="AN118">
            <v>0</v>
          </cell>
          <cell r="AO118" t="str">
            <v>Unclear</v>
          </cell>
          <cell r="AP118">
            <v>13149.9</v>
          </cell>
          <cell r="AQ118">
            <v>831</v>
          </cell>
          <cell r="AR118" t="str">
            <v>None</v>
          </cell>
          <cell r="AS118" t="str">
            <v>Army</v>
          </cell>
          <cell r="AT118" t="str">
            <v>Helicopter</v>
          </cell>
          <cell r="AU118" t="str">
            <v>Boeing</v>
          </cell>
          <cell r="AV118" t="str">
            <v>Lockheed Martin</v>
          </cell>
          <cell r="AW118">
            <v>1996</v>
          </cell>
          <cell r="AX118" t="str">
            <v>PdE</v>
          </cell>
          <cell r="AY118">
            <v>7798.5473482252983</v>
          </cell>
          <cell r="AZ118">
            <v>7027.8</v>
          </cell>
          <cell r="BA118">
            <v>0</v>
          </cell>
          <cell r="BB118">
            <v>2334.9321639029736</v>
          </cell>
          <cell r="BC118">
            <v>5690.6</v>
          </cell>
          <cell r="BD118" t="str">
            <v/>
          </cell>
          <cell r="BE118">
            <v>22962528.456304733</v>
          </cell>
          <cell r="BF118">
            <v>1.168397535863704</v>
          </cell>
        </row>
        <row r="119">
          <cell r="A119" t="str">
            <v>LONGBOW HELLFIRE</v>
          </cell>
          <cell r="B119">
            <v>2.5</v>
          </cell>
          <cell r="C119">
            <v>0</v>
          </cell>
          <cell r="D119">
            <v>0</v>
          </cell>
          <cell r="E119">
            <v>2.5</v>
          </cell>
          <cell r="F119" t="str">
            <v>-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str">
            <v>-</v>
          </cell>
          <cell r="L119">
            <v>204041.18677536995</v>
          </cell>
          <cell r="M119">
            <v>232158.67761350988</v>
          </cell>
          <cell r="N119">
            <v>285001.14913036983</v>
          </cell>
          <cell r="O119">
            <v>269313.55681396055</v>
          </cell>
          <cell r="P119">
            <v>358084.57709169737</v>
          </cell>
          <cell r="Q119">
            <v>377899.75884614955</v>
          </cell>
          <cell r="R119">
            <v>4.2419999999999999E-2</v>
          </cell>
          <cell r="S119">
            <v>299881.25952939951</v>
          </cell>
          <cell r="T119" t="str">
            <v/>
          </cell>
          <cell r="U119" t="str">
            <v/>
          </cell>
          <cell r="V119">
            <v>114000.45965214793</v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>
            <v>866479.76275145903</v>
          </cell>
          <cell r="AC119">
            <v>212923.54556321035</v>
          </cell>
          <cell r="AD119">
            <v>199196.32976570804</v>
          </cell>
          <cell r="AE119">
            <v>46994.841220860013</v>
          </cell>
          <cell r="AF119">
            <v>8296.3674329900005</v>
          </cell>
          <cell r="AG119">
            <v>691902.30516076973</v>
          </cell>
          <cell r="AH119">
            <v>587.05632546000004</v>
          </cell>
          <cell r="AI119" t="str">
            <v>Unclear</v>
          </cell>
          <cell r="AJ119">
            <v>1685322.8887142679</v>
          </cell>
          <cell r="AK119">
            <v>365687.84264591977</v>
          </cell>
          <cell r="AL119">
            <v>6828.4347161099995</v>
          </cell>
          <cell r="AM119">
            <v>156376.30461445008</v>
          </cell>
          <cell r="AN119">
            <v>41792.934707580011</v>
          </cell>
          <cell r="AO119" t="str">
            <v>Fixed Price</v>
          </cell>
          <cell r="AP119">
            <v>1726498.948691057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 t="str">
            <v>Lockheed Martin and Northrop Grumman (JV)</v>
          </cell>
          <cell r="AV119">
            <v>0</v>
          </cell>
          <cell r="AW119">
            <v>1996</v>
          </cell>
          <cell r="AX119" t="str">
            <v>PdE</v>
          </cell>
          <cell r="AY119">
            <v>3223.2424283952309</v>
          </cell>
          <cell r="AZ119">
            <v>2635.6</v>
          </cell>
          <cell r="BA119">
            <v>0</v>
          </cell>
          <cell r="BB119">
            <v>43.305468000548174</v>
          </cell>
          <cell r="BC119">
            <v>2352</v>
          </cell>
          <cell r="BD119" t="str">
            <v/>
          </cell>
          <cell r="BE119">
            <v>2181318262015.4731</v>
          </cell>
          <cell r="BF119">
            <v>1.0764605048778473</v>
          </cell>
        </row>
        <row r="120">
          <cell r="A120" t="str">
            <v>LPD 17</v>
          </cell>
          <cell r="B120">
            <v>16404.599999999999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 t="str">
            <v/>
          </cell>
          <cell r="H120">
            <v>0</v>
          </cell>
          <cell r="I120">
            <v>0</v>
          </cell>
          <cell r="J120">
            <v>0</v>
          </cell>
          <cell r="K120">
            <v>291.5</v>
          </cell>
          <cell r="L120">
            <v>78.662273999999996</v>
          </cell>
          <cell r="M120">
            <v>70.754249000000002</v>
          </cell>
          <cell r="N120">
            <v>118.840372</v>
          </cell>
          <cell r="O120">
            <v>1395.0763989100001</v>
          </cell>
          <cell r="P120">
            <v>144.91795654000001</v>
          </cell>
          <cell r="Q120">
            <v>124.59434440000001</v>
          </cell>
          <cell r="R120">
            <v>3.6000000000000001E-5</v>
          </cell>
          <cell r="S120">
            <v>1816.18924758</v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>
            <v>801.06970486</v>
          </cell>
          <cell r="AC120">
            <v>74.039991659999998</v>
          </cell>
          <cell r="AD120">
            <v>0.19599900000000001</v>
          </cell>
          <cell r="AE120">
            <v>1.0406E-2</v>
          </cell>
          <cell r="AF120">
            <v>0</v>
          </cell>
          <cell r="AG120">
            <v>2873.7187769099996</v>
          </cell>
          <cell r="AH120">
            <v>0</v>
          </cell>
          <cell r="AI120" t="str">
            <v>None</v>
          </cell>
          <cell r="AJ120">
            <v>2493.8963609700004</v>
          </cell>
          <cell r="AK120">
            <v>392.78093976999997</v>
          </cell>
          <cell r="AL120">
            <v>0</v>
          </cell>
          <cell r="AM120">
            <v>112.25942987000001</v>
          </cell>
          <cell r="AN120">
            <v>1080.6301679100002</v>
          </cell>
          <cell r="AO120" t="str">
            <v>Fixed Price</v>
          </cell>
          <cell r="AP120">
            <v>16404.599999999999</v>
          </cell>
          <cell r="AQ120">
            <v>542</v>
          </cell>
          <cell r="AR120" t="str">
            <v>None</v>
          </cell>
          <cell r="AS120" t="str">
            <v>Navy</v>
          </cell>
          <cell r="AT120" t="str">
            <v>Ship / Sub</v>
          </cell>
          <cell r="AU120" t="str">
            <v>Huntington Ingalls Industries (HII)</v>
          </cell>
          <cell r="AV120">
            <v>0</v>
          </cell>
          <cell r="AW120">
            <v>1996</v>
          </cell>
          <cell r="AX120" t="str">
            <v>DE</v>
          </cell>
          <cell r="AY120">
            <v>12358.640537207071</v>
          </cell>
          <cell r="AZ120">
            <v>10761.8</v>
          </cell>
          <cell r="BA120">
            <v>1982.7</v>
          </cell>
          <cell r="BB120">
            <v>6344.2510620803059</v>
          </cell>
          <cell r="BC120">
            <v>9018.1</v>
          </cell>
          <cell r="BD120" t="str">
            <v/>
          </cell>
          <cell r="BE120">
            <v>3926832121.7276115</v>
          </cell>
          <cell r="BF120">
            <v>1.0474248037329725</v>
          </cell>
        </row>
        <row r="121">
          <cell r="A121" t="str">
            <v>LUH</v>
          </cell>
          <cell r="B121">
            <v>1290.2</v>
          </cell>
          <cell r="C121" t="str">
            <v/>
          </cell>
          <cell r="D121" t="str">
            <v/>
          </cell>
          <cell r="E121">
            <v>0</v>
          </cell>
          <cell r="F121">
            <v>0</v>
          </cell>
          <cell r="G121" t="str">
            <v/>
          </cell>
          <cell r="H121">
            <v>0</v>
          </cell>
          <cell r="I121">
            <v>0</v>
          </cell>
          <cell r="J121">
            <v>0</v>
          </cell>
          <cell r="K121">
            <v>276</v>
          </cell>
          <cell r="L121">
            <v>0</v>
          </cell>
          <cell r="M121">
            <v>0</v>
          </cell>
          <cell r="N121">
            <v>0</v>
          </cell>
          <cell r="O121">
            <v>177.09339688999998</v>
          </cell>
          <cell r="P121">
            <v>0</v>
          </cell>
          <cell r="Q121">
            <v>0</v>
          </cell>
          <cell r="R121">
            <v>6.0000000000000002E-6</v>
          </cell>
          <cell r="S121">
            <v>434.55685132999992</v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>
            <v>611.65025421999997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Full and Open -Multiple Bidders</v>
          </cell>
          <cell r="AJ121">
            <v>1025.57040115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 t="str">
            <v>Fixed Price</v>
          </cell>
          <cell r="AP121">
            <v>1290.2</v>
          </cell>
          <cell r="AQ121">
            <v>182</v>
          </cell>
          <cell r="AR121" t="str">
            <v>None</v>
          </cell>
          <cell r="AS121" t="str">
            <v>Army</v>
          </cell>
          <cell r="AT121">
            <v>0</v>
          </cell>
          <cell r="AU121" t="str">
            <v>EADS</v>
          </cell>
          <cell r="AV121">
            <v>0</v>
          </cell>
          <cell r="AW121">
            <v>2006</v>
          </cell>
          <cell r="AX121" t="str">
            <v>PdE</v>
          </cell>
          <cell r="AY121">
            <v>1810.8765336575661</v>
          </cell>
          <cell r="AZ121">
            <v>1883</v>
          </cell>
          <cell r="BA121">
            <v>237</v>
          </cell>
          <cell r="BB121">
            <v>-89.974577207914237</v>
          </cell>
          <cell r="BC121">
            <v>1638.3</v>
          </cell>
          <cell r="BD121" t="str">
            <v/>
          </cell>
          <cell r="BE121">
            <v>630627745.5949775</v>
          </cell>
          <cell r="BF121">
            <v>1.0310267039767333</v>
          </cell>
        </row>
        <row r="122">
          <cell r="A122" t="str">
            <v>M1A2 ABRAMS UPGRADE</v>
          </cell>
          <cell r="B122">
            <v>492.40000000000003</v>
          </cell>
          <cell r="C122">
            <v>188.8</v>
          </cell>
          <cell r="D122">
            <v>303.60000000000002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5.4</v>
          </cell>
          <cell r="L122">
            <v>408082.3735507399</v>
          </cell>
          <cell r="M122">
            <v>464317.35522701975</v>
          </cell>
          <cell r="N122">
            <v>570002.29826073966</v>
          </cell>
          <cell r="O122">
            <v>538627.11362792109</v>
          </cell>
          <cell r="P122">
            <v>716169.15418339474</v>
          </cell>
          <cell r="Q122">
            <v>755799.51769229909</v>
          </cell>
          <cell r="R122">
            <v>8.4839999999999999E-2</v>
          </cell>
          <cell r="S122">
            <v>599762.51905879902</v>
          </cell>
          <cell r="T122">
            <v>2161.4532497390883</v>
          </cell>
          <cell r="U122">
            <v>1529.37205278992</v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>
            <v>1732959.5255029181</v>
          </cell>
          <cell r="AC122">
            <v>425847.09112642071</v>
          </cell>
          <cell r="AD122">
            <v>398392.65953141608</v>
          </cell>
          <cell r="AE122">
            <v>93989.682441720026</v>
          </cell>
          <cell r="AF122">
            <v>16592.734865980001</v>
          </cell>
          <cell r="AG122">
            <v>1383804.6103215395</v>
          </cell>
          <cell r="AH122">
            <v>1174.1126509200001</v>
          </cell>
          <cell r="AI122" t="str">
            <v>Unclear</v>
          </cell>
          <cell r="AJ122">
            <v>3370645.7774285357</v>
          </cell>
          <cell r="AK122">
            <v>731375.68529183953</v>
          </cell>
          <cell r="AL122">
            <v>13656.869432219999</v>
          </cell>
          <cell r="AM122">
            <v>312752.60922890017</v>
          </cell>
          <cell r="AN122">
            <v>83585.869415160021</v>
          </cell>
          <cell r="AO122" t="str">
            <v>Fixed Price</v>
          </cell>
          <cell r="AP122">
            <v>3452997.8973821141</v>
          </cell>
          <cell r="AQ122">
            <v>0</v>
          </cell>
          <cell r="AR122">
            <v>0</v>
          </cell>
          <cell r="AS122" t="str">
            <v>Army</v>
          </cell>
          <cell r="AT122">
            <v>0</v>
          </cell>
          <cell r="AU122" t="str">
            <v>General Dynamics</v>
          </cell>
          <cell r="AV122">
            <v>0</v>
          </cell>
          <cell r="AW122">
            <v>1995</v>
          </cell>
          <cell r="AX122" t="str">
            <v>PdE</v>
          </cell>
          <cell r="AY122">
            <v>9766.587512222377</v>
          </cell>
          <cell r="AZ122">
            <v>7961.9</v>
          </cell>
          <cell r="BA122">
            <v>0</v>
          </cell>
          <cell r="BB122">
            <v>1886.017600223495</v>
          </cell>
          <cell r="BC122">
            <v>6991.9</v>
          </cell>
          <cell r="BD122" t="str">
            <v/>
          </cell>
          <cell r="BE122">
            <v>2181318262015.4731</v>
          </cell>
          <cell r="BF122">
            <v>1.0764605048778473</v>
          </cell>
        </row>
        <row r="123">
          <cell r="A123" t="str">
            <v>MCS</v>
          </cell>
          <cell r="B123">
            <v>152</v>
          </cell>
          <cell r="C123">
            <v>0</v>
          </cell>
          <cell r="D123">
            <v>0</v>
          </cell>
          <cell r="E123">
            <v>96.3</v>
          </cell>
          <cell r="F123">
            <v>55.7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161.19999999999999</v>
          </cell>
          <cell r="L123">
            <v>204041.18677536995</v>
          </cell>
          <cell r="M123">
            <v>232158.67761350988</v>
          </cell>
          <cell r="N123">
            <v>285001.14913036983</v>
          </cell>
          <cell r="O123">
            <v>269313.55681396055</v>
          </cell>
          <cell r="P123">
            <v>358084.57709169737</v>
          </cell>
          <cell r="Q123">
            <v>377899.75884614955</v>
          </cell>
          <cell r="R123">
            <v>4.2419999999999999E-2</v>
          </cell>
          <cell r="S123">
            <v>299881.25952939951</v>
          </cell>
          <cell r="T123" t="str">
            <v/>
          </cell>
          <cell r="U123" t="str">
            <v/>
          </cell>
          <cell r="V123">
            <v>2959.5134904503616</v>
          </cell>
          <cell r="W123">
            <v>4835.0728332847493</v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>
            <v>866479.76275145903</v>
          </cell>
          <cell r="AC123">
            <v>212923.54556321035</v>
          </cell>
          <cell r="AD123">
            <v>199196.32976570804</v>
          </cell>
          <cell r="AE123">
            <v>46994.841220860013</v>
          </cell>
          <cell r="AF123">
            <v>8296.3674329900005</v>
          </cell>
          <cell r="AG123">
            <v>691902.30516076973</v>
          </cell>
          <cell r="AH123">
            <v>587.05632546000004</v>
          </cell>
          <cell r="AI123" t="str">
            <v>Unclear</v>
          </cell>
          <cell r="AJ123">
            <v>1685322.8887142679</v>
          </cell>
          <cell r="AK123">
            <v>365687.84264591977</v>
          </cell>
          <cell r="AL123">
            <v>6828.4347161099995</v>
          </cell>
          <cell r="AM123">
            <v>156376.30461445008</v>
          </cell>
          <cell r="AN123">
            <v>41792.934707580011</v>
          </cell>
          <cell r="AO123" t="str">
            <v>Fixed Price</v>
          </cell>
          <cell r="AP123">
            <v>1726498.948691057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1980</v>
          </cell>
          <cell r="AX123" t="str">
            <v>DE</v>
          </cell>
          <cell r="AY123">
            <v>259.65508865678891</v>
          </cell>
          <cell r="AZ123">
            <v>232.1</v>
          </cell>
          <cell r="BA123">
            <v>0</v>
          </cell>
          <cell r="BB123">
            <v>-2202.5746903084769</v>
          </cell>
          <cell r="BC123">
            <v>106.9</v>
          </cell>
          <cell r="BD123" t="str">
            <v/>
          </cell>
          <cell r="BE123">
            <v>2181318262015.4731</v>
          </cell>
          <cell r="BF123">
            <v>1.0764605048778473</v>
          </cell>
        </row>
        <row r="124">
          <cell r="A124" t="str">
            <v>MH-60R</v>
          </cell>
          <cell r="B124">
            <v>8723.1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 t="str">
            <v/>
          </cell>
          <cell r="H124">
            <v>0</v>
          </cell>
          <cell r="I124">
            <v>0</v>
          </cell>
          <cell r="J124">
            <v>0</v>
          </cell>
          <cell r="K124">
            <v>3654</v>
          </cell>
          <cell r="L124">
            <v>469.511368</v>
          </cell>
          <cell r="M124">
            <v>597.12762115999999</v>
          </cell>
          <cell r="N124">
            <v>356.66631108000007</v>
          </cell>
          <cell r="O124">
            <v>644.04294044000005</v>
          </cell>
          <cell r="P124">
            <v>61.227544180000002</v>
          </cell>
          <cell r="Q124">
            <v>29.80176522</v>
          </cell>
          <cell r="R124">
            <v>5.1999999999999997E-5</v>
          </cell>
          <cell r="S124">
            <v>495.59555332999992</v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>
            <v>116.55494192</v>
          </cell>
          <cell r="AC124">
            <v>25.860227189999996</v>
          </cell>
          <cell r="AD124">
            <v>27.359956109999999</v>
          </cell>
          <cell r="AE124">
            <v>28.487537070000002</v>
          </cell>
          <cell r="AF124">
            <v>0.24854499999999999</v>
          </cell>
          <cell r="AG124">
            <v>2455.4619481199998</v>
          </cell>
          <cell r="AH124">
            <v>0</v>
          </cell>
          <cell r="AI124" t="str">
            <v>None</v>
          </cell>
          <cell r="AJ124">
            <v>2466.6611163100001</v>
          </cell>
          <cell r="AK124">
            <v>484.95892266000004</v>
          </cell>
          <cell r="AL124">
            <v>0.27483066000000006</v>
          </cell>
          <cell r="AM124">
            <v>143.94192631999999</v>
          </cell>
          <cell r="AN124">
            <v>1.6813450000000001</v>
          </cell>
          <cell r="AO124" t="str">
            <v>Fixed Price</v>
          </cell>
          <cell r="AP124">
            <v>8723.1</v>
          </cell>
          <cell r="AQ124">
            <v>191</v>
          </cell>
          <cell r="AR124" t="str">
            <v>None</v>
          </cell>
          <cell r="AS124" t="str">
            <v>Navy</v>
          </cell>
          <cell r="AT124" t="str">
            <v>Helicopter</v>
          </cell>
          <cell r="AU124" t="str">
            <v>Sikorsky Aircraft Corporation (UTC)</v>
          </cell>
          <cell r="AV124" t="str">
            <v>Lockheed Martin - Avionics</v>
          </cell>
          <cell r="AW124">
            <v>2006</v>
          </cell>
          <cell r="AX124" t="str">
            <v>PdE</v>
          </cell>
          <cell r="AY124">
            <v>11746.435282414061</v>
          </cell>
          <cell r="AZ124">
            <v>11424.7</v>
          </cell>
          <cell r="BA124">
            <v>1030.2</v>
          </cell>
          <cell r="BB124">
            <v>1421.1340775947829</v>
          </cell>
          <cell r="BC124">
            <v>10627</v>
          </cell>
          <cell r="BD124" t="str">
            <v/>
          </cell>
          <cell r="BE124">
            <v>2922795088.8355193</v>
          </cell>
          <cell r="BF124">
            <v>1.101290373972901</v>
          </cell>
        </row>
        <row r="125">
          <cell r="A125" t="str">
            <v>MH-60S</v>
          </cell>
          <cell r="B125">
            <v>6148.7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 t="str">
            <v/>
          </cell>
          <cell r="H125">
            <v>0</v>
          </cell>
          <cell r="I125">
            <v>0</v>
          </cell>
          <cell r="J125">
            <v>0</v>
          </cell>
          <cell r="K125">
            <v>826.8</v>
          </cell>
          <cell r="L125">
            <v>196.36851999999999</v>
          </cell>
          <cell r="M125">
            <v>466.82611400000002</v>
          </cell>
          <cell r="N125">
            <v>216.34926288999998</v>
          </cell>
          <cell r="O125">
            <v>235.73656837999999</v>
          </cell>
          <cell r="P125">
            <v>35.794296500000002</v>
          </cell>
          <cell r="Q125">
            <v>45.243726150000001</v>
          </cell>
          <cell r="R125">
            <v>2.4000000000000001E-5</v>
          </cell>
          <cell r="S125">
            <v>199.35504780000002</v>
          </cell>
          <cell r="T125" t="str">
            <v/>
          </cell>
          <cell r="U125" t="str">
            <v/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/>
          </cell>
          <cell r="AA125" t="str">
            <v/>
          </cell>
          <cell r="AB125">
            <v>60.366317989999999</v>
          </cell>
          <cell r="AC125">
            <v>94.38609683</v>
          </cell>
          <cell r="AD125">
            <v>188.84194732</v>
          </cell>
          <cell r="AE125">
            <v>212.081695</v>
          </cell>
          <cell r="AF125">
            <v>2.3653360000000001</v>
          </cell>
          <cell r="AG125">
            <v>837.63216657999988</v>
          </cell>
          <cell r="AH125">
            <v>0</v>
          </cell>
          <cell r="AI125" t="str">
            <v>None</v>
          </cell>
          <cell r="AJ125">
            <v>966.64211008000007</v>
          </cell>
          <cell r="AK125">
            <v>339.12931657999997</v>
          </cell>
          <cell r="AL125">
            <v>40.866818000000002</v>
          </cell>
          <cell r="AM125">
            <v>135.40622179000002</v>
          </cell>
          <cell r="AN125">
            <v>45.057070600000003</v>
          </cell>
          <cell r="AO125" t="str">
            <v>Fixed Price</v>
          </cell>
          <cell r="AP125">
            <v>6148.7</v>
          </cell>
          <cell r="AQ125">
            <v>282</v>
          </cell>
          <cell r="AR125" t="str">
            <v>None</v>
          </cell>
          <cell r="AS125" t="str">
            <v>Navy</v>
          </cell>
          <cell r="AT125" t="str">
            <v>Helicopter</v>
          </cell>
          <cell r="AU125" t="str">
            <v>Sikorsky Aircraft Corporation (UTC)</v>
          </cell>
          <cell r="AV125">
            <v>0</v>
          </cell>
          <cell r="AW125">
            <v>1998</v>
          </cell>
          <cell r="AX125" t="str">
            <v>PdE</v>
          </cell>
          <cell r="AY125">
            <v>7003.4551495016622</v>
          </cell>
          <cell r="AZ125">
            <v>6093.8</v>
          </cell>
          <cell r="BA125">
            <v>506.1</v>
          </cell>
          <cell r="BB125">
            <v>620.9966777408639</v>
          </cell>
          <cell r="BC125">
            <v>5270.1</v>
          </cell>
          <cell r="BD125" t="str">
            <v/>
          </cell>
          <cell r="BE125">
            <v>1549665469.6395135</v>
          </cell>
          <cell r="BF125">
            <v>1.1103351918126234</v>
          </cell>
        </row>
        <row r="126">
          <cell r="A126" t="str">
            <v>MIDS JTRS</v>
          </cell>
          <cell r="B126">
            <v>2435</v>
          </cell>
          <cell r="C126" t="str">
            <v/>
          </cell>
          <cell r="D126" t="str">
            <v/>
          </cell>
          <cell r="E126" t="str">
            <v/>
          </cell>
          <cell r="F126">
            <v>0</v>
          </cell>
          <cell r="G126" t="str">
            <v/>
          </cell>
          <cell r="H126">
            <v>0</v>
          </cell>
          <cell r="I126">
            <v>0</v>
          </cell>
          <cell r="J126">
            <v>0</v>
          </cell>
          <cell r="K126">
            <v>323.8</v>
          </cell>
          <cell r="L126">
            <v>216.62720100000001</v>
          </cell>
          <cell r="M126">
            <v>310.756237</v>
          </cell>
          <cell r="N126">
            <v>674.91574000000003</v>
          </cell>
          <cell r="O126">
            <v>964.28743501000008</v>
          </cell>
          <cell r="P126">
            <v>464.40171127000008</v>
          </cell>
          <cell r="Q126">
            <v>172.49897673000001</v>
          </cell>
          <cell r="R126">
            <v>3.1999999999999999E-5</v>
          </cell>
          <cell r="S126">
            <v>146.04203863000001</v>
          </cell>
          <cell r="T126" t="str">
            <v/>
          </cell>
          <cell r="U126" t="str">
            <v/>
          </cell>
          <cell r="V126" t="str">
            <v/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>
            <v>171.15330764999999</v>
          </cell>
          <cell r="AC126">
            <v>123.68079985000001</v>
          </cell>
          <cell r="AD126">
            <v>0.28960799999999998</v>
          </cell>
          <cell r="AE126">
            <v>0.245112</v>
          </cell>
          <cell r="AF126">
            <v>0</v>
          </cell>
          <cell r="AG126">
            <v>2654.1605441400002</v>
          </cell>
          <cell r="AH126">
            <v>0</v>
          </cell>
          <cell r="AI126" t="str">
            <v>None</v>
          </cell>
          <cell r="AJ126">
            <v>1909.57943069</v>
          </cell>
          <cell r="AK126">
            <v>1073.61699264</v>
          </cell>
          <cell r="AL126">
            <v>0</v>
          </cell>
          <cell r="AM126">
            <v>74.690195430000003</v>
          </cell>
          <cell r="AN126">
            <v>19.274670309999998</v>
          </cell>
          <cell r="AO126" t="str">
            <v>Fixed Price</v>
          </cell>
          <cell r="AP126">
            <v>2803.4873330100004</v>
          </cell>
          <cell r="AQ126">
            <v>554</v>
          </cell>
          <cell r="AR126" t="str">
            <v>None</v>
          </cell>
          <cell r="AS126" t="str">
            <v>DoD-wide</v>
          </cell>
          <cell r="AT126" t="str">
            <v>Electronic</v>
          </cell>
          <cell r="AU126" t="str">
            <v>BAE/Rockwell Collins JV</v>
          </cell>
          <cell r="AV126" t="str">
            <v>ViaSat/Data Link Solutions</v>
          </cell>
          <cell r="AW126">
            <v>2003</v>
          </cell>
          <cell r="AX126" t="str">
            <v>PdE</v>
          </cell>
          <cell r="AY126">
            <v>2209.468458651168</v>
          </cell>
          <cell r="AZ126">
            <v>1818.9</v>
          </cell>
          <cell r="BA126">
            <v>103.7</v>
          </cell>
          <cell r="BB126">
            <v>-284.4169996367599</v>
          </cell>
          <cell r="BC126">
            <v>1824.8</v>
          </cell>
          <cell r="BD126" t="str">
            <v/>
          </cell>
          <cell r="BE126">
            <v>3213045688.0902734</v>
          </cell>
          <cell r="BF126">
            <v>1.0893418180486714</v>
          </cell>
        </row>
        <row r="127">
          <cell r="A127" t="str">
            <v>MIDS-LVT</v>
          </cell>
          <cell r="B127">
            <v>188.7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120.1</v>
          </cell>
          <cell r="H127">
            <v>68.599999999999994</v>
          </cell>
          <cell r="I127">
            <v>0</v>
          </cell>
          <cell r="J127">
            <v>0</v>
          </cell>
          <cell r="K127">
            <v>88.5</v>
          </cell>
          <cell r="L127">
            <v>204041.18677536995</v>
          </cell>
          <cell r="M127">
            <v>232158.67761350988</v>
          </cell>
          <cell r="N127">
            <v>285001.14913036983</v>
          </cell>
          <cell r="O127">
            <v>269313.55681396055</v>
          </cell>
          <cell r="P127">
            <v>358084.57709169737</v>
          </cell>
          <cell r="Q127">
            <v>377899.75884614955</v>
          </cell>
          <cell r="R127">
            <v>4.2419999999999999E-2</v>
          </cell>
          <cell r="S127">
            <v>299881.25952939951</v>
          </cell>
          <cell r="T127" t="str">
            <v/>
          </cell>
          <cell r="U127" t="str">
            <v/>
          </cell>
          <cell r="V127" t="str">
            <v/>
          </cell>
          <cell r="W127" t="str">
            <v/>
          </cell>
          <cell r="X127">
            <v>2981.5535145020599</v>
          </cell>
          <cell r="Y127">
            <v>5508.7428403228805</v>
          </cell>
          <cell r="Z127" t="str">
            <v/>
          </cell>
          <cell r="AA127" t="str">
            <v/>
          </cell>
          <cell r="AB127">
            <v>866479.76275145903</v>
          </cell>
          <cell r="AC127">
            <v>212923.54556321035</v>
          </cell>
          <cell r="AD127">
            <v>199196.32976570804</v>
          </cell>
          <cell r="AE127">
            <v>46994.841220860013</v>
          </cell>
          <cell r="AF127">
            <v>8296.3674329900005</v>
          </cell>
          <cell r="AG127">
            <v>691902.30516076973</v>
          </cell>
          <cell r="AH127">
            <v>587.05632546000004</v>
          </cell>
          <cell r="AI127" t="str">
            <v>Unclear</v>
          </cell>
          <cell r="AJ127">
            <v>1685322.8887142679</v>
          </cell>
          <cell r="AK127">
            <v>365687.84264591977</v>
          </cell>
          <cell r="AL127">
            <v>6828.4347161099995</v>
          </cell>
          <cell r="AM127">
            <v>156376.30461445008</v>
          </cell>
          <cell r="AN127">
            <v>41792.934707580011</v>
          </cell>
          <cell r="AO127" t="str">
            <v>Fixed Price</v>
          </cell>
          <cell r="AP127">
            <v>1726498.948691057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 t="str">
            <v>MIDSCO (JV of Thomson CSF, GEC, Siemens, Italtel, Enosa)</v>
          </cell>
          <cell r="AV127">
            <v>0</v>
          </cell>
          <cell r="AW127">
            <v>2003</v>
          </cell>
          <cell r="AX127" t="str">
            <v>PdE</v>
          </cell>
          <cell r="AY127">
            <v>2209.468458651168</v>
          </cell>
          <cell r="AZ127">
            <v>1818.9</v>
          </cell>
          <cell r="BA127">
            <v>0</v>
          </cell>
          <cell r="BB127">
            <v>-3.3902409492674654</v>
          </cell>
          <cell r="BC127">
            <v>1824.8</v>
          </cell>
          <cell r="BD127" t="str">
            <v/>
          </cell>
          <cell r="BE127">
            <v>2181318262015.4731</v>
          </cell>
          <cell r="BF127">
            <v>1.0764605048778473</v>
          </cell>
        </row>
        <row r="128">
          <cell r="A128" t="str">
            <v>MINUTEMAN III GRP</v>
          </cell>
          <cell r="B128">
            <v>3.0999999999999996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1.9</v>
          </cell>
          <cell r="H128">
            <v>1.2</v>
          </cell>
          <cell r="I128">
            <v>0</v>
          </cell>
          <cell r="J128">
            <v>0</v>
          </cell>
          <cell r="K128" t="str">
            <v>-</v>
          </cell>
          <cell r="L128">
            <v>35.704369999999997</v>
          </cell>
          <cell r="M128">
            <v>-2.1616170000000001</v>
          </cell>
          <cell r="N128">
            <v>56.743259999999999</v>
          </cell>
          <cell r="O128">
            <v>241.99825026000002</v>
          </cell>
          <cell r="P128">
            <v>126.29127853999999</v>
          </cell>
          <cell r="Q128">
            <v>4.2301959999999993E-2</v>
          </cell>
          <cell r="R128">
            <v>1.5E-5</v>
          </cell>
          <cell r="S128">
            <v>90.918366550000002</v>
          </cell>
          <cell r="T128" t="str">
            <v/>
          </cell>
          <cell r="U128" t="str">
            <v/>
          </cell>
          <cell r="V128" t="str">
            <v/>
          </cell>
          <cell r="W128" t="str">
            <v/>
          </cell>
          <cell r="X128">
            <v>66.469093968421049</v>
          </cell>
          <cell r="Y128">
            <v>3.5251633333333331E-2</v>
          </cell>
          <cell r="Z128" t="str">
            <v/>
          </cell>
          <cell r="AA128" t="str">
            <v/>
          </cell>
          <cell r="AB128">
            <v>35.609097599999998</v>
          </cell>
          <cell r="AC128">
            <v>0</v>
          </cell>
          <cell r="AD128">
            <v>1.2062E-2</v>
          </cell>
          <cell r="AE128">
            <v>0</v>
          </cell>
          <cell r="AF128">
            <v>0</v>
          </cell>
          <cell r="AG128">
            <v>513.91506571000002</v>
          </cell>
          <cell r="AH128">
            <v>0</v>
          </cell>
          <cell r="AI128" t="str">
            <v>None</v>
          </cell>
          <cell r="AJ128">
            <v>344.92682525999999</v>
          </cell>
          <cell r="AK128">
            <v>165.37152753999999</v>
          </cell>
          <cell r="AL128">
            <v>0</v>
          </cell>
          <cell r="AM128">
            <v>90.906544730000007</v>
          </cell>
          <cell r="AN128">
            <v>0.28670402</v>
          </cell>
          <cell r="AO128" t="str">
            <v>Fixed Price</v>
          </cell>
          <cell r="AP128">
            <v>458.61785875999999</v>
          </cell>
          <cell r="AQ128">
            <v>302</v>
          </cell>
          <cell r="AR128" t="str">
            <v>None</v>
          </cell>
          <cell r="AS128" t="str">
            <v>Air Force</v>
          </cell>
          <cell r="AT128" t="str">
            <v>Missile</v>
          </cell>
          <cell r="AU128" t="str">
            <v>Boeing</v>
          </cell>
          <cell r="AV128">
            <v>0</v>
          </cell>
          <cell r="AW128">
            <v>1993</v>
          </cell>
          <cell r="AX128" t="str">
            <v>PdE</v>
          </cell>
          <cell r="AY128">
            <v>2931.5367807720318</v>
          </cell>
          <cell r="AZ128">
            <v>2400.1</v>
          </cell>
          <cell r="BA128">
            <v>0</v>
          </cell>
          <cell r="BB128">
            <v>169.70138383102693</v>
          </cell>
          <cell r="BC128">
            <v>2012.5</v>
          </cell>
          <cell r="BD128" t="str">
            <v/>
          </cell>
          <cell r="BE128">
            <v>591565038.61490011</v>
          </cell>
          <cell r="BF128">
            <v>1.0764805146033662</v>
          </cell>
        </row>
        <row r="129">
          <cell r="A129" t="str">
            <v>MINUTEMAN III PRP</v>
          </cell>
          <cell r="B129">
            <v>2601.8000000000002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 t="str">
            <v/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15.208545000000001</v>
          </cell>
          <cell r="M129">
            <v>451.86143299999998</v>
          </cell>
          <cell r="N129">
            <v>27.493613</v>
          </cell>
          <cell r="O129">
            <v>8.8637651099999992</v>
          </cell>
          <cell r="P129">
            <v>47.905844819999999</v>
          </cell>
          <cell r="Q129">
            <v>8.5372046400000006</v>
          </cell>
          <cell r="R129">
            <v>4.6E-5</v>
          </cell>
          <cell r="S129">
            <v>8.8222380700000009</v>
          </cell>
          <cell r="T129" t="str">
            <v/>
          </cell>
          <cell r="U129" t="str">
            <v/>
          </cell>
          <cell r="V129" t="str">
            <v/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>
            <v>357.31356199999999</v>
          </cell>
          <cell r="AC129">
            <v>62.272390479999999</v>
          </cell>
          <cell r="AD129">
            <v>13.514246999999999</v>
          </cell>
          <cell r="AE129">
            <v>6.0065050700000002</v>
          </cell>
          <cell r="AF129">
            <v>0</v>
          </cell>
          <cell r="AG129">
            <v>129.58598509000001</v>
          </cell>
          <cell r="AH129">
            <v>0</v>
          </cell>
          <cell r="AI129" t="str">
            <v>Full and Open -Multiple Bidders</v>
          </cell>
          <cell r="AJ129">
            <v>476.18193000000002</v>
          </cell>
          <cell r="AK129">
            <v>48.398213069999997</v>
          </cell>
          <cell r="AL129">
            <v>0</v>
          </cell>
          <cell r="AM129">
            <v>47.485793480000005</v>
          </cell>
          <cell r="AN129">
            <v>9.0780060000000002</v>
          </cell>
          <cell r="AO129" t="str">
            <v>Fixed Price</v>
          </cell>
          <cell r="AP129">
            <v>2601.8000000000002</v>
          </cell>
          <cell r="AQ129">
            <v>248</v>
          </cell>
          <cell r="AR129" t="str">
            <v>None</v>
          </cell>
          <cell r="AS129" t="str">
            <v>Air Force</v>
          </cell>
          <cell r="AT129" t="str">
            <v>Missile</v>
          </cell>
          <cell r="AU129" t="str">
            <v>Northrop Grumman</v>
          </cell>
          <cell r="AV129">
            <v>0</v>
          </cell>
          <cell r="AW129">
            <v>1994</v>
          </cell>
          <cell r="AX129" t="str">
            <v>PdE</v>
          </cell>
          <cell r="AY129">
            <v>2976.8901569186878</v>
          </cell>
          <cell r="AZ129">
            <v>2600.8000000000002</v>
          </cell>
          <cell r="BA129">
            <v>0</v>
          </cell>
          <cell r="BB129">
            <v>148.6447931526391</v>
          </cell>
          <cell r="BC129">
            <v>2086.8000000000002</v>
          </cell>
          <cell r="BD129" t="str">
            <v/>
          </cell>
          <cell r="BE129">
            <v>643888420.33950233</v>
          </cell>
          <cell r="BF129">
            <v>1.1322255975316011</v>
          </cell>
        </row>
        <row r="130">
          <cell r="A130" t="str">
            <v>MP RTIP</v>
          </cell>
          <cell r="B130">
            <v>1197.7</v>
          </cell>
          <cell r="C130" t="str">
            <v/>
          </cell>
          <cell r="D130">
            <v>0</v>
          </cell>
          <cell r="E130">
            <v>0</v>
          </cell>
          <cell r="F130">
            <v>0</v>
          </cell>
          <cell r="G130" t="str">
            <v/>
          </cell>
          <cell r="H130">
            <v>0</v>
          </cell>
          <cell r="I130">
            <v>0</v>
          </cell>
          <cell r="J130">
            <v>0</v>
          </cell>
          <cell r="K130">
            <v>48.1</v>
          </cell>
          <cell r="L130">
            <v>39.377324000000002</v>
          </cell>
          <cell r="M130">
            <v>0.90672900000000001</v>
          </cell>
          <cell r="N130">
            <v>0</v>
          </cell>
          <cell r="O130">
            <v>0</v>
          </cell>
          <cell r="P130">
            <v>1.3683989999999999</v>
          </cell>
          <cell r="Q130">
            <v>0</v>
          </cell>
          <cell r="R130">
            <v>9.9999999999999995E-7</v>
          </cell>
          <cell r="S130">
            <v>0</v>
          </cell>
          <cell r="T130" t="str">
            <v/>
          </cell>
          <cell r="U130" t="str">
            <v/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/>
          </cell>
          <cell r="AA130" t="str">
            <v/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41.652453000000001</v>
          </cell>
          <cell r="AH130">
            <v>0</v>
          </cell>
          <cell r="AI130" t="str">
            <v>None</v>
          </cell>
          <cell r="AJ130">
            <v>41.494439999999997</v>
          </cell>
          <cell r="AK130">
            <v>0.86799999999999999</v>
          </cell>
          <cell r="AL130">
            <v>0</v>
          </cell>
          <cell r="AM130">
            <v>8.0239999999999999E-3</v>
          </cell>
          <cell r="AN130">
            <v>0</v>
          </cell>
          <cell r="AO130" t="str">
            <v>Fixed Price</v>
          </cell>
          <cell r="AP130">
            <v>1197.7</v>
          </cell>
          <cell r="AQ130">
            <v>293</v>
          </cell>
          <cell r="AR130" t="str">
            <v>None</v>
          </cell>
          <cell r="AS130" t="str">
            <v>Air Force</v>
          </cell>
          <cell r="AT130" t="str">
            <v>Electronic</v>
          </cell>
          <cell r="AU130" t="str">
            <v>Northrop Grumman</v>
          </cell>
          <cell r="AV130">
            <v>0</v>
          </cell>
          <cell r="AW130">
            <v>2000</v>
          </cell>
          <cell r="AX130" t="str">
            <v>DE</v>
          </cell>
          <cell r="AY130">
            <v>1863.8117283950614</v>
          </cell>
          <cell r="AZ130">
            <v>1568.4</v>
          </cell>
          <cell r="BA130">
            <v>40.299999999999997</v>
          </cell>
          <cell r="BB130">
            <v>-225.69444444444443</v>
          </cell>
          <cell r="BC130">
            <v>1449.3</v>
          </cell>
          <cell r="BD130" t="str">
            <v/>
          </cell>
          <cell r="BE130">
            <v>48956910.840197891</v>
          </cell>
          <cell r="BF130">
            <v>1.1753668106941479</v>
          </cell>
        </row>
        <row r="131">
          <cell r="A131" t="str">
            <v>MP RTIP (RDT&amp;E)</v>
          </cell>
          <cell r="B131">
            <v>382</v>
          </cell>
          <cell r="C131">
            <v>0</v>
          </cell>
          <cell r="D131">
            <v>0</v>
          </cell>
          <cell r="E131">
            <v>190</v>
          </cell>
          <cell r="F131">
            <v>192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335.9</v>
          </cell>
          <cell r="L131">
            <v>204041.18677536995</v>
          </cell>
          <cell r="M131">
            <v>232158.67761350988</v>
          </cell>
          <cell r="N131">
            <v>285001.14913036983</v>
          </cell>
          <cell r="O131">
            <v>269313.55681396055</v>
          </cell>
          <cell r="P131">
            <v>358084.57709169737</v>
          </cell>
          <cell r="Q131">
            <v>377899.75884614955</v>
          </cell>
          <cell r="R131">
            <v>4.2419999999999999E-2</v>
          </cell>
          <cell r="S131">
            <v>299881.25952939951</v>
          </cell>
          <cell r="T131" t="str">
            <v/>
          </cell>
          <cell r="U131" t="str">
            <v/>
          </cell>
          <cell r="V131">
            <v>1500.0060480545781</v>
          </cell>
          <cell r="W131">
            <v>1402.6747750727111</v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>
            <v>866479.76275145903</v>
          </cell>
          <cell r="AC131">
            <v>212923.54556321035</v>
          </cell>
          <cell r="AD131">
            <v>199196.32976570804</v>
          </cell>
          <cell r="AE131">
            <v>46994.841220860013</v>
          </cell>
          <cell r="AF131">
            <v>8296.3674329900005</v>
          </cell>
          <cell r="AG131">
            <v>691902.30516076973</v>
          </cell>
          <cell r="AH131">
            <v>587.05632546000004</v>
          </cell>
          <cell r="AI131" t="str">
            <v>Unclear</v>
          </cell>
          <cell r="AJ131">
            <v>1685322.8887142679</v>
          </cell>
          <cell r="AK131">
            <v>365687.84264591977</v>
          </cell>
          <cell r="AL131">
            <v>6828.4347161099995</v>
          </cell>
          <cell r="AM131">
            <v>156376.30461445008</v>
          </cell>
          <cell r="AN131">
            <v>41792.934707580011</v>
          </cell>
          <cell r="AO131" t="str">
            <v>Fixed Price</v>
          </cell>
          <cell r="AP131">
            <v>1726498.948691057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2000</v>
          </cell>
          <cell r="AX131" t="str">
            <v>DE</v>
          </cell>
          <cell r="AY131">
            <v>1863.8117283950614</v>
          </cell>
          <cell r="AZ131">
            <v>1568.4</v>
          </cell>
          <cell r="BA131">
            <v>0</v>
          </cell>
          <cell r="BB131">
            <v>-206.27572016460906</v>
          </cell>
          <cell r="BC131">
            <v>1449.3</v>
          </cell>
          <cell r="BD131" t="str">
            <v/>
          </cell>
          <cell r="BE131">
            <v>2181318262015.4731</v>
          </cell>
          <cell r="BF131">
            <v>1.0764605048778473</v>
          </cell>
        </row>
        <row r="132">
          <cell r="A132" t="str">
            <v>MPS</v>
          </cell>
          <cell r="B132">
            <v>330.2</v>
          </cell>
          <cell r="C132" t="str">
            <v/>
          </cell>
          <cell r="D132">
            <v>0</v>
          </cell>
          <cell r="E132">
            <v>0</v>
          </cell>
          <cell r="F132">
            <v>0</v>
          </cell>
          <cell r="G132">
            <v>168.7</v>
          </cell>
          <cell r="H132">
            <v>161.5</v>
          </cell>
          <cell r="I132">
            <v>0</v>
          </cell>
          <cell r="J132">
            <v>0</v>
          </cell>
          <cell r="K132">
            <v>708.7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-0.46050931000000001</v>
          </cell>
          <cell r="Q132">
            <v>0</v>
          </cell>
          <cell r="R132">
            <v>0</v>
          </cell>
          <cell r="S132">
            <v>0</v>
          </cell>
          <cell r="T132" t="str">
            <v/>
          </cell>
          <cell r="U132" t="str">
            <v/>
          </cell>
          <cell r="V132" t="str">
            <v/>
          </cell>
          <cell r="W132" t="str">
            <v/>
          </cell>
          <cell r="X132">
            <v>-2.7297528749259041E-3</v>
          </cell>
          <cell r="Y132">
            <v>0</v>
          </cell>
          <cell r="Z132" t="str">
            <v/>
          </cell>
          <cell r="AA132" t="str">
            <v/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-0.46050931000000001</v>
          </cell>
          <cell r="AH132">
            <v>0</v>
          </cell>
          <cell r="AI132" t="str">
            <v>Unclear</v>
          </cell>
          <cell r="AJ132">
            <v>0</v>
          </cell>
          <cell r="AK132">
            <v>0</v>
          </cell>
          <cell r="AL132">
            <v>0</v>
          </cell>
          <cell r="AM132">
            <v>-0.46050931000000001</v>
          </cell>
          <cell r="AN132">
            <v>0</v>
          </cell>
          <cell r="AO132" t="str">
            <v>Unclear</v>
          </cell>
          <cell r="AP132">
            <v>330.2</v>
          </cell>
          <cell r="AQ132">
            <v>394</v>
          </cell>
          <cell r="AR132" t="str">
            <v>None</v>
          </cell>
          <cell r="AS132" t="str">
            <v>Air Force</v>
          </cell>
          <cell r="AT132" t="str">
            <v>Electronic</v>
          </cell>
          <cell r="AU132">
            <v>0</v>
          </cell>
          <cell r="AV132">
            <v>0</v>
          </cell>
          <cell r="AW132">
            <v>2004</v>
          </cell>
          <cell r="AX132" t="str">
            <v>DE</v>
          </cell>
          <cell r="AY132">
            <v>1824.8140715381892</v>
          </cell>
          <cell r="AZ132">
            <v>1690.7</v>
          </cell>
          <cell r="BA132">
            <v>0</v>
          </cell>
          <cell r="BB132">
            <v>-164.207295478692</v>
          </cell>
          <cell r="BC132">
            <v>1545.8</v>
          </cell>
          <cell r="BD132" t="str">
            <v/>
          </cell>
          <cell r="BE132">
            <v>0</v>
          </cell>
          <cell r="BF132">
            <v>0</v>
          </cell>
        </row>
        <row r="133">
          <cell r="A133" t="str">
            <v>MQ-1C GRAY EAGLE</v>
          </cell>
          <cell r="B133">
            <v>2082.1</v>
          </cell>
          <cell r="C133" t="str">
            <v/>
          </cell>
          <cell r="D133" t="str">
            <v/>
          </cell>
          <cell r="E133" t="str">
            <v/>
          </cell>
          <cell r="F133" t="str">
            <v/>
          </cell>
          <cell r="G133" t="str">
            <v/>
          </cell>
          <cell r="H133" t="str">
            <v/>
          </cell>
          <cell r="I133">
            <v>0</v>
          </cell>
          <cell r="J133">
            <v>0</v>
          </cell>
          <cell r="K133">
            <v>961.9</v>
          </cell>
          <cell r="L133">
            <v>408082.3735507399</v>
          </cell>
          <cell r="M133">
            <v>464317.35522701975</v>
          </cell>
          <cell r="N133">
            <v>570002.29826073966</v>
          </cell>
          <cell r="O133">
            <v>538627.11362792109</v>
          </cell>
          <cell r="P133">
            <v>716169.15418339474</v>
          </cell>
          <cell r="Q133">
            <v>755799.51769229909</v>
          </cell>
          <cell r="R133">
            <v>8.4839999999999999E-2</v>
          </cell>
          <cell r="S133">
            <v>599762.51905879902</v>
          </cell>
          <cell r="T133" t="str">
            <v/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>
            <v>1732959.5255029181</v>
          </cell>
          <cell r="AC133">
            <v>425847.09112642071</v>
          </cell>
          <cell r="AD133">
            <v>398392.65953141608</v>
          </cell>
          <cell r="AE133">
            <v>93989.682441720026</v>
          </cell>
          <cell r="AF133">
            <v>16592.734865980001</v>
          </cell>
          <cell r="AG133">
            <v>1383804.6103215395</v>
          </cell>
          <cell r="AH133">
            <v>1174.1126509200001</v>
          </cell>
          <cell r="AI133" t="str">
            <v>Unclear</v>
          </cell>
          <cell r="AJ133">
            <v>3370645.7774285357</v>
          </cell>
          <cell r="AK133">
            <v>731375.68529183953</v>
          </cell>
          <cell r="AL133">
            <v>13656.869432219999</v>
          </cell>
          <cell r="AM133">
            <v>312752.60922890017</v>
          </cell>
          <cell r="AN133">
            <v>83585.869415160021</v>
          </cell>
          <cell r="AO133" t="str">
            <v>Fixed Price</v>
          </cell>
          <cell r="AP133">
            <v>3452997.8973821141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2010</v>
          </cell>
          <cell r="AX133" t="str">
            <v>PdE</v>
          </cell>
          <cell r="AY133">
            <v>5396.075208055071</v>
          </cell>
          <cell r="AZ133">
            <v>5549</v>
          </cell>
          <cell r="BA133">
            <v>957</v>
          </cell>
          <cell r="BB133">
            <v>-568.17014281311003</v>
          </cell>
          <cell r="BC133">
            <v>5252</v>
          </cell>
          <cell r="BD133" t="str">
            <v/>
          </cell>
          <cell r="BE133">
            <v>2181318262015.4731</v>
          </cell>
          <cell r="BF133">
            <v>1.0764605048778473</v>
          </cell>
        </row>
        <row r="134">
          <cell r="A134" t="str">
            <v>MQ-4C UAS BAMS</v>
          </cell>
          <cell r="B134" t="e">
            <v>#VALUE!</v>
          </cell>
          <cell r="C134" t="str">
            <v/>
          </cell>
          <cell r="D134" t="str">
            <v/>
          </cell>
          <cell r="E134" t="str">
            <v/>
          </cell>
          <cell r="F134" t="str">
            <v/>
          </cell>
          <cell r="G134" t="str">
            <v/>
          </cell>
          <cell r="H134" t="str">
            <v/>
          </cell>
          <cell r="I134" t="str">
            <v/>
          </cell>
          <cell r="J134" t="str">
            <v/>
          </cell>
          <cell r="K134" t="str">
            <v/>
          </cell>
          <cell r="L134">
            <v>408082.3735507399</v>
          </cell>
          <cell r="M134">
            <v>464317.35522701975</v>
          </cell>
          <cell r="N134">
            <v>570002.29826073966</v>
          </cell>
          <cell r="O134">
            <v>538627.11362792109</v>
          </cell>
          <cell r="P134">
            <v>716169.15418339474</v>
          </cell>
          <cell r="Q134">
            <v>755799.51769229909</v>
          </cell>
          <cell r="R134">
            <v>8.4839999999999999E-2</v>
          </cell>
          <cell r="S134">
            <v>599762.51905879902</v>
          </cell>
          <cell r="T134" t="str">
            <v/>
          </cell>
          <cell r="U134" t="str">
            <v/>
          </cell>
          <cell r="V134" t="str">
            <v/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>
            <v>1732959.5255029181</v>
          </cell>
          <cell r="AC134">
            <v>425847.09112642071</v>
          </cell>
          <cell r="AD134">
            <v>398392.65953141608</v>
          </cell>
          <cell r="AE134">
            <v>93989.682441720026</v>
          </cell>
          <cell r="AF134">
            <v>16592.734865980001</v>
          </cell>
          <cell r="AG134">
            <v>1383804.6103215395</v>
          </cell>
          <cell r="AH134">
            <v>1174.1126509200001</v>
          </cell>
          <cell r="AI134" t="str">
            <v>Unclear</v>
          </cell>
          <cell r="AJ134">
            <v>3370645.7774285357</v>
          </cell>
          <cell r="AK134">
            <v>731375.68529183953</v>
          </cell>
          <cell r="AL134">
            <v>13656.869432219999</v>
          </cell>
          <cell r="AM134">
            <v>312752.60922890017</v>
          </cell>
          <cell r="AN134">
            <v>83585.869415160021</v>
          </cell>
          <cell r="AO134" t="str">
            <v>Fixed Price</v>
          </cell>
          <cell r="AP134" t="e">
            <v>#VALUE!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 t="str">
            <v/>
          </cell>
          <cell r="AX134" t="str">
            <v/>
          </cell>
          <cell r="AY134" t="e">
            <v>#VALUE!</v>
          </cell>
          <cell r="AZ134" t="str">
            <v/>
          </cell>
          <cell r="BA134" t="str">
            <v/>
          </cell>
          <cell r="BB134" t="e">
            <v>#VALUE!</v>
          </cell>
          <cell r="BC134" t="str">
            <v/>
          </cell>
          <cell r="BD134" t="str">
            <v/>
          </cell>
          <cell r="BE134">
            <v>2181318262015.4731</v>
          </cell>
          <cell r="BF134">
            <v>1.0764605048778473</v>
          </cell>
        </row>
        <row r="135">
          <cell r="A135" t="str">
            <v>MUOS</v>
          </cell>
          <cell r="B135">
            <v>5177.1000000000004</v>
          </cell>
          <cell r="C135" t="str">
            <v/>
          </cell>
          <cell r="D135">
            <v>0</v>
          </cell>
          <cell r="E135">
            <v>0</v>
          </cell>
          <cell r="F135">
            <v>0</v>
          </cell>
          <cell r="G135" t="str">
            <v/>
          </cell>
          <cell r="H135">
            <v>0</v>
          </cell>
          <cell r="I135">
            <v>0</v>
          </cell>
          <cell r="J135">
            <v>0</v>
          </cell>
          <cell r="K135">
            <v>1210</v>
          </cell>
          <cell r="L135">
            <v>47</v>
          </cell>
          <cell r="M135">
            <v>358.03928300000001</v>
          </cell>
          <cell r="N135">
            <v>15.629022000000001</v>
          </cell>
          <cell r="O135">
            <v>638.36184700000001</v>
          </cell>
          <cell r="P135">
            <v>76.071190999999999</v>
          </cell>
          <cell r="Q135">
            <v>87.116512</v>
          </cell>
          <cell r="R135">
            <v>6.0000000000000002E-6</v>
          </cell>
          <cell r="S135">
            <v>814.14902601000006</v>
          </cell>
          <cell r="T135" t="str">
            <v/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 t="str">
            <v/>
          </cell>
          <cell r="AB135">
            <v>19.984818000000001</v>
          </cell>
          <cell r="AC135">
            <v>299.42975922000005</v>
          </cell>
          <cell r="AD135">
            <v>1713.6869453100001</v>
          </cell>
          <cell r="AE135">
            <v>1.2345E-2</v>
          </cell>
          <cell r="AF135">
            <v>0</v>
          </cell>
          <cell r="AG135">
            <v>3.2530194799999999</v>
          </cell>
          <cell r="AH135">
            <v>0</v>
          </cell>
          <cell r="AI135" t="str">
            <v>Partial -Multiple Bidders</v>
          </cell>
          <cell r="AJ135">
            <v>309.89540950000003</v>
          </cell>
          <cell r="AK135">
            <v>1388.45077973</v>
          </cell>
          <cell r="AL135">
            <v>0</v>
          </cell>
          <cell r="AM135">
            <v>812.45347628000013</v>
          </cell>
          <cell r="AN135">
            <v>0</v>
          </cell>
          <cell r="AO135" t="str">
            <v>Cost (All Other; Including Time and Materials and Labor)</v>
          </cell>
          <cell r="AP135">
            <v>5177.1000000000004</v>
          </cell>
          <cell r="AQ135">
            <v>345</v>
          </cell>
          <cell r="AR135" t="str">
            <v>None</v>
          </cell>
          <cell r="AS135" t="str">
            <v>Navy</v>
          </cell>
          <cell r="AT135">
            <v>0</v>
          </cell>
          <cell r="AU135" t="str">
            <v>Lockheed Martin</v>
          </cell>
          <cell r="AV135">
            <v>0</v>
          </cell>
          <cell r="AW135">
            <v>2004</v>
          </cell>
          <cell r="AX135" t="str">
            <v>PdE</v>
          </cell>
          <cell r="AY135">
            <v>6810.1758942273636</v>
          </cell>
          <cell r="AZ135">
            <v>6810.6</v>
          </cell>
          <cell r="BA135">
            <v>482.1</v>
          </cell>
          <cell r="BB135">
            <v>271.75067878644791</v>
          </cell>
          <cell r="BC135">
            <v>5768.9</v>
          </cell>
          <cell r="BD135" t="str">
            <v/>
          </cell>
          <cell r="BE135">
            <v>2162536248.7610335</v>
          </cell>
          <cell r="BF135">
            <v>1.0619580698133861</v>
          </cell>
        </row>
        <row r="136">
          <cell r="A136" t="str">
            <v>NAS</v>
          </cell>
          <cell r="B136">
            <v>1277.4000000000001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 t="str">
            <v/>
          </cell>
          <cell r="H136">
            <v>0</v>
          </cell>
          <cell r="I136">
            <v>0</v>
          </cell>
          <cell r="J136">
            <v>0</v>
          </cell>
          <cell r="K136">
            <v>74.5</v>
          </cell>
          <cell r="L136">
            <v>24.973348999999999</v>
          </cell>
          <cell r="M136">
            <v>5.9176140000000004</v>
          </cell>
          <cell r="N136">
            <v>4.9049820000000004</v>
          </cell>
          <cell r="O136">
            <v>20.170595240000001</v>
          </cell>
          <cell r="P136">
            <v>10.37200374</v>
          </cell>
          <cell r="Q136">
            <v>0.22852122</v>
          </cell>
          <cell r="R136">
            <v>1.1E-5</v>
          </cell>
          <cell r="S136">
            <v>4.2286666800000008</v>
          </cell>
          <cell r="T136" t="str">
            <v/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>
            <v>32.645837479999997</v>
          </cell>
          <cell r="AC136">
            <v>2.8579565900000001</v>
          </cell>
          <cell r="AD136">
            <v>22.666564280000003</v>
          </cell>
          <cell r="AE136">
            <v>0.30267160999999998</v>
          </cell>
          <cell r="AF136">
            <v>0</v>
          </cell>
          <cell r="AG136">
            <v>12.322712920000001</v>
          </cell>
          <cell r="AH136">
            <v>0</v>
          </cell>
          <cell r="AI136" t="str">
            <v>Unclear</v>
          </cell>
          <cell r="AJ136">
            <v>58.174875030000003</v>
          </cell>
          <cell r="AK136">
            <v>12.022195949999999</v>
          </cell>
          <cell r="AL136">
            <v>0</v>
          </cell>
          <cell r="AM136">
            <v>5.8944544299999997</v>
          </cell>
          <cell r="AN136">
            <v>0</v>
          </cell>
          <cell r="AO136" t="str">
            <v>Fixed Price</v>
          </cell>
          <cell r="AP136">
            <v>1277.4000000000001</v>
          </cell>
          <cell r="AQ136">
            <v>537</v>
          </cell>
          <cell r="AR136" t="str">
            <v>None</v>
          </cell>
          <cell r="AS136" t="str">
            <v>Air Force</v>
          </cell>
          <cell r="AT136" t="str">
            <v>Christy Whitman
          Northrop Grumman Information Technology
          (571) 213-5302
          christine.whitman@ngc.com
          Juli Ballesteros, APR
          Northrop Grumman Information Technology
          (703) 556-2736
          juli.ballesteros@ngc.com</v>
          </cell>
          <cell r="AU136" t="str">
            <v>Unknown</v>
          </cell>
          <cell r="AV136">
            <v>0</v>
          </cell>
          <cell r="AW136">
            <v>2005</v>
          </cell>
          <cell r="AX136" t="str">
            <v>PdE</v>
          </cell>
          <cell r="AY136">
            <v>1569.9096833199953</v>
          </cell>
          <cell r="AZ136">
            <v>1421.1</v>
          </cell>
          <cell r="BA136">
            <v>76.8</v>
          </cell>
          <cell r="BB136">
            <v>93.060477878129646</v>
          </cell>
          <cell r="BC136">
            <v>1373.2</v>
          </cell>
          <cell r="BD136" t="str">
            <v/>
          </cell>
          <cell r="BE136">
            <v>78809718.109726548</v>
          </cell>
          <cell r="BF136">
            <v>1.1131985470271903</v>
          </cell>
        </row>
        <row r="137">
          <cell r="A137" t="str">
            <v>NAVSTAR GPS</v>
          </cell>
          <cell r="B137">
            <v>735.2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433.8</v>
          </cell>
          <cell r="H137">
            <v>301.39999999999998</v>
          </cell>
          <cell r="I137">
            <v>0</v>
          </cell>
          <cell r="J137">
            <v>0</v>
          </cell>
          <cell r="K137">
            <v>784.1</v>
          </cell>
          <cell r="L137">
            <v>365.673586</v>
          </cell>
          <cell r="M137">
            <v>450.59614299999998</v>
          </cell>
          <cell r="N137">
            <v>248.074175</v>
          </cell>
          <cell r="O137">
            <v>421.35625657999998</v>
          </cell>
          <cell r="P137">
            <v>154.92469541000003</v>
          </cell>
          <cell r="Q137">
            <v>44.943869990000003</v>
          </cell>
          <cell r="R137">
            <v>4.0000000000000003E-5</v>
          </cell>
          <cell r="S137">
            <v>1010.0101563599998</v>
          </cell>
          <cell r="T137" t="str">
            <v/>
          </cell>
          <cell r="U137" t="str">
            <v/>
          </cell>
          <cell r="V137" t="str">
            <v/>
          </cell>
          <cell r="W137" t="str">
            <v/>
          </cell>
          <cell r="X137">
            <v>0.35713392210696177</v>
          </cell>
          <cell r="Y137">
            <v>0.14911702053749173</v>
          </cell>
          <cell r="Z137" t="str">
            <v/>
          </cell>
          <cell r="AA137" t="str">
            <v/>
          </cell>
          <cell r="AB137">
            <v>2004.2620210599996</v>
          </cell>
          <cell r="AC137">
            <v>213.60729261</v>
          </cell>
          <cell r="AD137">
            <v>7.3550533399999996</v>
          </cell>
          <cell r="AE137">
            <v>18.046750399999997</v>
          </cell>
          <cell r="AF137">
            <v>0</v>
          </cell>
          <cell r="AG137">
            <v>452.30780492999997</v>
          </cell>
          <cell r="AH137">
            <v>0</v>
          </cell>
          <cell r="AI137" t="str">
            <v>Full and Open -Multiple Bidders</v>
          </cell>
          <cell r="AJ137">
            <v>1500.84477098</v>
          </cell>
          <cell r="AK137">
            <v>1038.8041318499997</v>
          </cell>
          <cell r="AL137">
            <v>0</v>
          </cell>
          <cell r="AM137">
            <v>1200.7641310500003</v>
          </cell>
          <cell r="AN137">
            <v>9.5288919399999994</v>
          </cell>
          <cell r="AO137" t="str">
            <v>Unclear</v>
          </cell>
          <cell r="AP137">
            <v>1685.5687659799999</v>
          </cell>
          <cell r="AQ137">
            <v>166</v>
          </cell>
          <cell r="AR137" t="str">
            <v>None</v>
          </cell>
          <cell r="AS137" t="str">
            <v>Air Force</v>
          </cell>
          <cell r="AT137" t="str">
            <v>Electronic</v>
          </cell>
          <cell r="AU137" t="str">
            <v>Boeing</v>
          </cell>
          <cell r="AV137" t="str">
            <v>Lockheed Martin</v>
          </cell>
          <cell r="AW137">
            <v>2000</v>
          </cell>
          <cell r="AX137" t="str">
            <v>PdE</v>
          </cell>
          <cell r="AY137">
            <v>7476.0802469135788</v>
          </cell>
          <cell r="AZ137">
            <v>5995.3</v>
          </cell>
          <cell r="BA137">
            <v>0</v>
          </cell>
          <cell r="BB137">
            <v>690.45781893004107</v>
          </cell>
          <cell r="BC137">
            <v>5813.4</v>
          </cell>
          <cell r="BD137" t="str">
            <v/>
          </cell>
          <cell r="BE137">
            <v>2907044808.5251851</v>
          </cell>
          <cell r="BF137">
            <v>1.078449154069514</v>
          </cell>
        </row>
        <row r="138">
          <cell r="A138" t="str">
            <v>NAVSTAR GPS SPLIT</v>
          </cell>
          <cell r="B138">
            <v>6264</v>
          </cell>
          <cell r="C138" t="str">
            <v/>
          </cell>
          <cell r="D138" t="str">
            <v/>
          </cell>
          <cell r="E138" t="str">
            <v/>
          </cell>
          <cell r="F138">
            <v>0</v>
          </cell>
          <cell r="G138" t="str">
            <v/>
          </cell>
          <cell r="H138" t="str">
            <v/>
          </cell>
          <cell r="I138">
            <v>0</v>
          </cell>
          <cell r="J138">
            <v>0</v>
          </cell>
          <cell r="K138">
            <v>104.1</v>
          </cell>
          <cell r="L138">
            <v>204041.18677536995</v>
          </cell>
          <cell r="M138">
            <v>232158.67761350988</v>
          </cell>
          <cell r="N138">
            <v>285001.14913036983</v>
          </cell>
          <cell r="O138">
            <v>269313.55681396055</v>
          </cell>
          <cell r="P138">
            <v>358084.57709169737</v>
          </cell>
          <cell r="Q138">
            <v>377899.75884614955</v>
          </cell>
          <cell r="R138">
            <v>4.2419999999999999E-2</v>
          </cell>
          <cell r="S138">
            <v>299881.25952939951</v>
          </cell>
          <cell r="T138" t="str">
            <v/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>
            <v>866479.76275145903</v>
          </cell>
          <cell r="AC138">
            <v>212923.54556321035</v>
          </cell>
          <cell r="AD138">
            <v>199196.32976570804</v>
          </cell>
          <cell r="AE138">
            <v>46994.841220860013</v>
          </cell>
          <cell r="AF138">
            <v>8296.3674329900005</v>
          </cell>
          <cell r="AG138">
            <v>691902.30516076973</v>
          </cell>
          <cell r="AH138">
            <v>587.05632546000004</v>
          </cell>
          <cell r="AI138" t="str">
            <v>Unclear</v>
          </cell>
          <cell r="AJ138">
            <v>1685322.8887142679</v>
          </cell>
          <cell r="AK138">
            <v>365687.84264591977</v>
          </cell>
          <cell r="AL138">
            <v>6828.4347161099995</v>
          </cell>
          <cell r="AM138">
            <v>156376.30461445008</v>
          </cell>
          <cell r="AN138">
            <v>41792.934707580011</v>
          </cell>
          <cell r="AO138" t="str">
            <v>Fixed Price</v>
          </cell>
          <cell r="AP138">
            <v>1726498.948691057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2000</v>
          </cell>
          <cell r="AX138" t="str">
            <v>PdE</v>
          </cell>
          <cell r="AY138">
            <v>6450.1028806584363</v>
          </cell>
          <cell r="AZ138">
            <v>5120.8999999999996</v>
          </cell>
          <cell r="BA138">
            <v>133</v>
          </cell>
          <cell r="BB138">
            <v>523.14814814814815</v>
          </cell>
          <cell r="BC138">
            <v>5015.6000000000004</v>
          </cell>
          <cell r="BD138" t="str">
            <v/>
          </cell>
          <cell r="BE138">
            <v>2181318262015.4731</v>
          </cell>
          <cell r="BF138">
            <v>1.0764605048778473</v>
          </cell>
        </row>
        <row r="139">
          <cell r="A139" t="str">
            <v>NAVSTAR GPS SPLIT</v>
          </cell>
          <cell r="B139">
            <v>6264</v>
          </cell>
          <cell r="C139" t="str">
            <v/>
          </cell>
          <cell r="D139" t="str">
            <v/>
          </cell>
          <cell r="E139" t="str">
            <v/>
          </cell>
          <cell r="F139">
            <v>0</v>
          </cell>
          <cell r="G139" t="str">
            <v/>
          </cell>
          <cell r="H139" t="str">
            <v/>
          </cell>
          <cell r="I139">
            <v>0</v>
          </cell>
          <cell r="J139">
            <v>0</v>
          </cell>
          <cell r="K139">
            <v>104.1</v>
          </cell>
          <cell r="L139">
            <v>204041.18677536995</v>
          </cell>
          <cell r="M139">
            <v>232158.67761350988</v>
          </cell>
          <cell r="N139">
            <v>285001.14913036983</v>
          </cell>
          <cell r="O139">
            <v>269313.55681396055</v>
          </cell>
          <cell r="P139">
            <v>358084.57709169737</v>
          </cell>
          <cell r="Q139">
            <v>377899.75884614955</v>
          </cell>
          <cell r="R139">
            <v>4.2419999999999999E-2</v>
          </cell>
          <cell r="S139">
            <v>299881.25952939951</v>
          </cell>
          <cell r="T139" t="str">
            <v/>
          </cell>
          <cell r="U139" t="str">
            <v/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>
            <v>866479.76275145903</v>
          </cell>
          <cell r="AC139">
            <v>212923.54556321035</v>
          </cell>
          <cell r="AD139">
            <v>199196.32976570804</v>
          </cell>
          <cell r="AE139">
            <v>46994.841220860013</v>
          </cell>
          <cell r="AF139">
            <v>8296.3674329900005</v>
          </cell>
          <cell r="AG139">
            <v>691902.30516076973</v>
          </cell>
          <cell r="AH139">
            <v>587.05632546000004</v>
          </cell>
          <cell r="AI139" t="str">
            <v>Unclear</v>
          </cell>
          <cell r="AJ139">
            <v>1685322.8887142679</v>
          </cell>
          <cell r="AK139">
            <v>365687.84264591977</v>
          </cell>
          <cell r="AL139">
            <v>6828.4347161099995</v>
          </cell>
          <cell r="AM139">
            <v>156376.30461445008</v>
          </cell>
          <cell r="AN139">
            <v>41792.934707580011</v>
          </cell>
          <cell r="AO139" t="str">
            <v>Fixed Price</v>
          </cell>
          <cell r="AP139">
            <v>1726498.948691057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2000</v>
          </cell>
          <cell r="AX139" t="str">
            <v>PdE</v>
          </cell>
          <cell r="AY139">
            <v>6450.1028806584363</v>
          </cell>
          <cell r="AZ139">
            <v>5120.8999999999996</v>
          </cell>
          <cell r="BA139">
            <v>133</v>
          </cell>
          <cell r="BB139">
            <v>523.14814814814815</v>
          </cell>
          <cell r="BC139">
            <v>5015.6000000000004</v>
          </cell>
          <cell r="BD139" t="str">
            <v/>
          </cell>
          <cell r="BE139">
            <v>2181318262015.4731</v>
          </cell>
          <cell r="BF139">
            <v>1.0764605048778473</v>
          </cell>
        </row>
        <row r="140">
          <cell r="A140" t="str">
            <v>NESP</v>
          </cell>
          <cell r="B140">
            <v>79.400000000000006</v>
          </cell>
          <cell r="C140">
            <v>0</v>
          </cell>
          <cell r="D140">
            <v>0</v>
          </cell>
          <cell r="E140">
            <v>22.1</v>
          </cell>
          <cell r="F140">
            <v>57.3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 t="str">
            <v>-</v>
          </cell>
          <cell r="L140">
            <v>204041.18677536995</v>
          </cell>
          <cell r="M140">
            <v>232158.67761350988</v>
          </cell>
          <cell r="N140">
            <v>285001.14913036983</v>
          </cell>
          <cell r="O140">
            <v>269313.55681396055</v>
          </cell>
          <cell r="P140">
            <v>358084.57709169737</v>
          </cell>
          <cell r="Q140">
            <v>377899.75884614955</v>
          </cell>
          <cell r="R140">
            <v>4.2419999999999999E-2</v>
          </cell>
          <cell r="S140">
            <v>299881.25952939951</v>
          </cell>
          <cell r="T140" t="str">
            <v/>
          </cell>
          <cell r="U140" t="str">
            <v/>
          </cell>
          <cell r="V140">
            <v>12895.979598659267</v>
          </cell>
          <cell r="W140">
            <v>4700.0620735420689</v>
          </cell>
          <cell r="X140" t="str">
            <v/>
          </cell>
          <cell r="Y140" t="str">
            <v/>
          </cell>
          <cell r="Z140" t="str">
            <v/>
          </cell>
          <cell r="AA140" t="str">
            <v/>
          </cell>
          <cell r="AB140">
            <v>866479.76275145903</v>
          </cell>
          <cell r="AC140">
            <v>212923.54556321035</v>
          </cell>
          <cell r="AD140">
            <v>199196.32976570804</v>
          </cell>
          <cell r="AE140">
            <v>46994.841220860013</v>
          </cell>
          <cell r="AF140">
            <v>8296.3674329900005</v>
          </cell>
          <cell r="AG140">
            <v>691902.30516076973</v>
          </cell>
          <cell r="AH140">
            <v>587.05632546000004</v>
          </cell>
          <cell r="AI140" t="str">
            <v>Unclear</v>
          </cell>
          <cell r="AJ140">
            <v>1685322.8887142679</v>
          </cell>
          <cell r="AK140">
            <v>365687.84264591977</v>
          </cell>
          <cell r="AL140">
            <v>6828.4347161099995</v>
          </cell>
          <cell r="AM140">
            <v>156376.30461445008</v>
          </cell>
          <cell r="AN140">
            <v>41792.934707580011</v>
          </cell>
          <cell r="AO140" t="str">
            <v>Fixed Price</v>
          </cell>
          <cell r="AP140">
            <v>1726498.948691057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 t="str">
            <v>Raytheon</v>
          </cell>
          <cell r="AV140">
            <v>0</v>
          </cell>
          <cell r="AW140">
            <v>1990</v>
          </cell>
          <cell r="AX140" t="str">
            <v>PdE</v>
          </cell>
          <cell r="AY140">
            <v>2975.4241319169173</v>
          </cell>
          <cell r="AZ140">
            <v>2373.6999999999998</v>
          </cell>
          <cell r="BA140">
            <v>0</v>
          </cell>
          <cell r="BB140">
            <v>-318.53496115427299</v>
          </cell>
          <cell r="BC140">
            <v>1876.6</v>
          </cell>
          <cell r="BD140" t="str">
            <v/>
          </cell>
          <cell r="BE140">
            <v>2181318262015.4731</v>
          </cell>
          <cell r="BF140">
            <v>1.0764605048778473</v>
          </cell>
        </row>
        <row r="141">
          <cell r="A141" t="str">
            <v>NMT</v>
          </cell>
          <cell r="B141">
            <v>761.3</v>
          </cell>
          <cell r="C141" t="str">
            <v/>
          </cell>
          <cell r="D141" t="str">
            <v/>
          </cell>
          <cell r="E141" t="str">
            <v/>
          </cell>
          <cell r="F141">
            <v>0</v>
          </cell>
          <cell r="G141" t="str">
            <v/>
          </cell>
          <cell r="H141">
            <v>0</v>
          </cell>
          <cell r="I141">
            <v>0</v>
          </cell>
          <cell r="J141">
            <v>0</v>
          </cell>
          <cell r="K141">
            <v>805.6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 t="str">
            <v/>
          </cell>
          <cell r="U141" t="str">
            <v/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Missing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 t="str">
            <v>Missing</v>
          </cell>
          <cell r="AP141">
            <v>761.3</v>
          </cell>
          <cell r="AQ141">
            <v>290</v>
          </cell>
          <cell r="AR141" t="str">
            <v>None</v>
          </cell>
          <cell r="AS141" t="str">
            <v>Navy</v>
          </cell>
          <cell r="AT141" t="str">
            <v>Electronic</v>
          </cell>
          <cell r="AU141" t="str">
            <v>Raytheon</v>
          </cell>
          <cell r="AV141">
            <v>0</v>
          </cell>
          <cell r="AW141">
            <v>2002</v>
          </cell>
          <cell r="AX141" t="str">
            <v>PdE</v>
          </cell>
          <cell r="AY141">
            <v>1876.2669962917182</v>
          </cell>
          <cell r="AZ141">
            <v>1853</v>
          </cell>
          <cell r="BA141">
            <v>126.1</v>
          </cell>
          <cell r="BB141">
            <v>89.493201483312731</v>
          </cell>
          <cell r="BC141">
            <v>1517.9</v>
          </cell>
          <cell r="BD141" t="str">
            <v/>
          </cell>
          <cell r="BE141">
            <v>0</v>
          </cell>
          <cell r="BF141" t="e">
            <v>#DIV/0!</v>
          </cell>
        </row>
        <row r="142">
          <cell r="A142" t="str">
            <v>NPOESS</v>
          </cell>
          <cell r="B142">
            <v>3087.6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 t="str">
            <v/>
          </cell>
          <cell r="H142">
            <v>0</v>
          </cell>
          <cell r="I142">
            <v>0</v>
          </cell>
          <cell r="J142">
            <v>0</v>
          </cell>
          <cell r="K142" t="str">
            <v>-</v>
          </cell>
          <cell r="L142">
            <v>2.706804</v>
          </cell>
          <cell r="M142">
            <v>2.6280000000000001E-2</v>
          </cell>
          <cell r="N142">
            <v>3.2339039999999999</v>
          </cell>
          <cell r="O142">
            <v>5.5159589999999996</v>
          </cell>
          <cell r="P142">
            <v>1.1476409999999999</v>
          </cell>
          <cell r="Q142">
            <v>0.91800000000000004</v>
          </cell>
          <cell r="R142">
            <v>7.9999999999999996E-6</v>
          </cell>
          <cell r="S142">
            <v>-0.36678470000000002</v>
          </cell>
          <cell r="T142" t="str">
            <v/>
          </cell>
          <cell r="U142" t="str">
            <v/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/>
          </cell>
          <cell r="AA142" t="str">
            <v/>
          </cell>
          <cell r="AB142">
            <v>11.10091976</v>
          </cell>
          <cell r="AC142">
            <v>0.94906100000000004</v>
          </cell>
          <cell r="AD142">
            <v>1.1210169999999999</v>
          </cell>
          <cell r="AE142">
            <v>0</v>
          </cell>
          <cell r="AF142">
            <v>0</v>
          </cell>
          <cell r="AG142">
            <v>1.0813540000000002E-2</v>
          </cell>
          <cell r="AH142">
            <v>0</v>
          </cell>
          <cell r="AI142" t="str">
            <v>Full and Open -Multiple Bidders</v>
          </cell>
          <cell r="AJ142">
            <v>6.02324254</v>
          </cell>
          <cell r="AK142">
            <v>9.3983107599999993</v>
          </cell>
          <cell r="AL142">
            <v>0</v>
          </cell>
          <cell r="AM142">
            <v>8.1692000000000001E-2</v>
          </cell>
          <cell r="AN142">
            <v>0.09</v>
          </cell>
          <cell r="AO142" t="str">
            <v>Cost (All Other; Including Time and Materials and Labor)</v>
          </cell>
          <cell r="AP142">
            <v>3087.6</v>
          </cell>
          <cell r="AQ142">
            <v>239</v>
          </cell>
          <cell r="AR142" t="str">
            <v>None</v>
          </cell>
          <cell r="AS142" t="str">
            <v>Air Force</v>
          </cell>
          <cell r="AT142">
            <v>0</v>
          </cell>
          <cell r="AU142" t="str">
            <v>Northrop Grumman</v>
          </cell>
          <cell r="AV142">
            <v>0</v>
          </cell>
          <cell r="AW142">
            <v>2002</v>
          </cell>
          <cell r="AX142" t="str">
            <v>PdE</v>
          </cell>
          <cell r="AY142">
            <v>6845.4882571075395</v>
          </cell>
          <cell r="AZ142">
            <v>6117.6</v>
          </cell>
          <cell r="BA142">
            <v>43</v>
          </cell>
          <cell r="BB142">
            <v>2562.5463535228673</v>
          </cell>
          <cell r="BC142">
            <v>5538</v>
          </cell>
          <cell r="BD142" t="str">
            <v/>
          </cell>
          <cell r="BE142">
            <v>14873207.415645063</v>
          </cell>
          <cell r="BF142">
            <v>1.1283128757612439</v>
          </cell>
        </row>
        <row r="143">
          <cell r="A143" t="str">
            <v>P-8A</v>
          </cell>
          <cell r="B143">
            <v>10629.2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 t="str">
            <v/>
          </cell>
          <cell r="H143">
            <v>0</v>
          </cell>
          <cell r="I143">
            <v>0</v>
          </cell>
          <cell r="J143">
            <v>0</v>
          </cell>
          <cell r="K143">
            <v>17611.900000000001</v>
          </cell>
          <cell r="L143">
            <v>44.877605000000003</v>
          </cell>
          <cell r="M143">
            <v>434.55701900000003</v>
          </cell>
          <cell r="N143">
            <v>2.3380380000000001</v>
          </cell>
          <cell r="O143">
            <v>1076.6866</v>
          </cell>
          <cell r="P143">
            <v>2.2369859999999999</v>
          </cell>
          <cell r="Q143">
            <v>-0.79582377999999998</v>
          </cell>
          <cell r="R143">
            <v>6.0000000000000002E-6</v>
          </cell>
          <cell r="S143">
            <v>3027.1107765400002</v>
          </cell>
          <cell r="T143" t="str">
            <v/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>
            <v>1.4516089999999999</v>
          </cell>
          <cell r="AC143">
            <v>0.34639399999999998</v>
          </cell>
          <cell r="AD143">
            <v>2357.9938524099998</v>
          </cell>
          <cell r="AE143">
            <v>-2E-8</v>
          </cell>
          <cell r="AF143">
            <v>0</v>
          </cell>
          <cell r="AG143">
            <v>2227.2193513699999</v>
          </cell>
          <cell r="AH143">
            <v>0</v>
          </cell>
          <cell r="AI143" t="str">
            <v>Partial -Multiple Bidders</v>
          </cell>
          <cell r="AJ143">
            <v>4413.2377132799993</v>
          </cell>
          <cell r="AK143">
            <v>844.93731198</v>
          </cell>
          <cell r="AL143">
            <v>0</v>
          </cell>
          <cell r="AM143">
            <v>610.05911398000001</v>
          </cell>
          <cell r="AN143">
            <v>0.64512000000000003</v>
          </cell>
          <cell r="AO143" t="str">
            <v>Fixed Price</v>
          </cell>
          <cell r="AP143">
            <v>10629.2</v>
          </cell>
          <cell r="AQ143">
            <v>334</v>
          </cell>
          <cell r="AR143" t="str">
            <v>None</v>
          </cell>
          <cell r="AS143" t="str">
            <v>Navy</v>
          </cell>
          <cell r="AT143" t="str">
            <v>Fixed Wing</v>
          </cell>
          <cell r="AU143" t="str">
            <v>Boeing</v>
          </cell>
          <cell r="AV143">
            <v>0</v>
          </cell>
          <cell r="AW143">
            <v>2010</v>
          </cell>
          <cell r="AX143" t="str">
            <v>PdE</v>
          </cell>
          <cell r="AY143">
            <v>33233.227165313881</v>
          </cell>
          <cell r="AZ143">
            <v>34500.699999999997</v>
          </cell>
          <cell r="BA143">
            <v>2952.6</v>
          </cell>
          <cell r="BB143">
            <v>170.14281311003802</v>
          </cell>
          <cell r="BC143">
            <v>32345.9</v>
          </cell>
          <cell r="BD143" t="str">
            <v/>
          </cell>
          <cell r="BE143">
            <v>4779242633.4164019</v>
          </cell>
          <cell r="BF143">
            <v>1.0419077734916158</v>
          </cell>
        </row>
        <row r="144">
          <cell r="A144" t="str">
            <v>PATRIOT PAC-3</v>
          </cell>
          <cell r="B144">
            <v>9488.1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 t="str">
            <v/>
          </cell>
          <cell r="H144">
            <v>0</v>
          </cell>
          <cell r="I144">
            <v>0</v>
          </cell>
          <cell r="J144">
            <v>0</v>
          </cell>
          <cell r="K144" t="str">
            <v>-</v>
          </cell>
          <cell r="L144">
            <v>443.66414600000002</v>
          </cell>
          <cell r="M144">
            <v>469.323215</v>
          </cell>
          <cell r="N144">
            <v>42.577697999999998</v>
          </cell>
          <cell r="O144">
            <v>432.53736310000005</v>
          </cell>
          <cell r="P144">
            <v>19.732412320000002</v>
          </cell>
          <cell r="Q144">
            <v>2.6716126499999997</v>
          </cell>
          <cell r="R144">
            <v>2.0999999999999999E-5</v>
          </cell>
          <cell r="S144">
            <v>71.596322889999996</v>
          </cell>
          <cell r="T144" t="str">
            <v/>
          </cell>
          <cell r="U144" t="str">
            <v/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>
            <v>9.9541210000000007</v>
          </cell>
          <cell r="AC144">
            <v>3.5337745800000002</v>
          </cell>
          <cell r="AD144">
            <v>14.746984320000001</v>
          </cell>
          <cell r="AE144">
            <v>0.53667100000000001</v>
          </cell>
          <cell r="AF144">
            <v>0</v>
          </cell>
          <cell r="AG144">
            <v>1453.3192690599999</v>
          </cell>
          <cell r="AH144">
            <v>1.1971000000000001E-2</v>
          </cell>
          <cell r="AI144" t="str">
            <v>None</v>
          </cell>
          <cell r="AJ144">
            <v>1187.6536539700001</v>
          </cell>
          <cell r="AK144">
            <v>350.39727775</v>
          </cell>
          <cell r="AL144">
            <v>0</v>
          </cell>
          <cell r="AM144">
            <v>2.8830893500000001</v>
          </cell>
          <cell r="AN144">
            <v>10.484441</v>
          </cell>
          <cell r="AO144" t="str">
            <v>Fixed Price</v>
          </cell>
          <cell r="AP144">
            <v>9488.1</v>
          </cell>
          <cell r="AQ144">
            <v>148</v>
          </cell>
          <cell r="AR144" t="str">
            <v>None</v>
          </cell>
          <cell r="AS144" t="str">
            <v>Army</v>
          </cell>
          <cell r="AT144" t="str">
            <v>Munitions</v>
          </cell>
          <cell r="AU144" t="str">
            <v>Lockheed Martin</v>
          </cell>
          <cell r="AV144">
            <v>0</v>
          </cell>
          <cell r="AW144">
            <v>2002</v>
          </cell>
          <cell r="AX144" t="str">
            <v>PdE</v>
          </cell>
          <cell r="AY144">
            <v>11228.67737948084</v>
          </cell>
          <cell r="AZ144">
            <v>9205.7999999999993</v>
          </cell>
          <cell r="BA144">
            <v>662.2</v>
          </cell>
          <cell r="BB144">
            <v>544.99381953028421</v>
          </cell>
          <cell r="BC144">
            <v>9084</v>
          </cell>
          <cell r="BD144" t="str">
            <v/>
          </cell>
          <cell r="BE144">
            <v>1675673170.1959691</v>
          </cell>
          <cell r="BF144">
            <v>1.1306052322528777</v>
          </cell>
        </row>
        <row r="145">
          <cell r="A145" t="str">
            <v>PATRIOT/MEADS CAP</v>
          </cell>
          <cell r="B145">
            <v>780.3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372.1</v>
          </cell>
          <cell r="H145">
            <v>408.2</v>
          </cell>
          <cell r="I145">
            <v>0</v>
          </cell>
          <cell r="J145">
            <v>0</v>
          </cell>
          <cell r="K145">
            <v>28308.9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9.9999999999999995E-7</v>
          </cell>
          <cell r="S145">
            <v>0</v>
          </cell>
          <cell r="T145" t="str">
            <v/>
          </cell>
          <cell r="U145" t="str">
            <v/>
          </cell>
          <cell r="V145" t="str">
            <v/>
          </cell>
          <cell r="W145" t="str">
            <v/>
          </cell>
          <cell r="X145">
            <v>0</v>
          </cell>
          <cell r="Y145">
            <v>0</v>
          </cell>
          <cell r="Z145" t="str">
            <v/>
          </cell>
          <cell r="AA145" t="str">
            <v/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9.9999999999999995E-7</v>
          </cell>
          <cell r="AH145">
            <v>0</v>
          </cell>
          <cell r="AI145" t="str">
            <v>None</v>
          </cell>
          <cell r="AJ145">
            <v>0</v>
          </cell>
          <cell r="AK145">
            <v>1.9966977699999999</v>
          </cell>
          <cell r="AL145">
            <v>0</v>
          </cell>
          <cell r="AM145">
            <v>0</v>
          </cell>
          <cell r="AN145">
            <v>0</v>
          </cell>
          <cell r="AO145" t="str">
            <v>Cost (All Other; Including Time and Materials and Labor)</v>
          </cell>
          <cell r="AP145">
            <v>780.3</v>
          </cell>
          <cell r="AQ145">
            <v>531</v>
          </cell>
          <cell r="AR145" t="str">
            <v>None</v>
          </cell>
          <cell r="AS145" t="str">
            <v>Army</v>
          </cell>
          <cell r="AT145" t="str">
            <v>Munitions</v>
          </cell>
          <cell r="AU145" t="str">
            <v>MEADS International</v>
          </cell>
          <cell r="AV145">
            <v>0</v>
          </cell>
          <cell r="AW145">
            <v>2004</v>
          </cell>
          <cell r="AX145" t="str">
            <v xml:space="preserve">DE </v>
          </cell>
          <cell r="AY145">
            <v>26857.986070121595</v>
          </cell>
          <cell r="AZ145">
            <v>29895.4</v>
          </cell>
          <cell r="BA145">
            <v>0</v>
          </cell>
          <cell r="BB145">
            <v>-1002.1248967064101</v>
          </cell>
          <cell r="BC145">
            <v>22751.4</v>
          </cell>
          <cell r="BD145" t="str">
            <v/>
          </cell>
          <cell r="BE145">
            <v>1.0274324463166546</v>
          </cell>
          <cell r="BF145">
            <v>1.0274324463166546</v>
          </cell>
        </row>
        <row r="146">
          <cell r="A146" t="str">
            <v>PATRIOT/MEADS CAP SPLIT</v>
          </cell>
          <cell r="B146">
            <v>2386.6</v>
          </cell>
          <cell r="C146" t="str">
            <v/>
          </cell>
          <cell r="D146" t="str">
            <v/>
          </cell>
          <cell r="E146" t="str">
            <v/>
          </cell>
          <cell r="F146">
            <v>0</v>
          </cell>
          <cell r="G146" t="str">
            <v/>
          </cell>
          <cell r="H146" t="str">
            <v/>
          </cell>
          <cell r="I146">
            <v>0</v>
          </cell>
          <cell r="J146">
            <v>0</v>
          </cell>
          <cell r="K146" t="str">
            <v>-</v>
          </cell>
          <cell r="L146">
            <v>204041.18677536995</v>
          </cell>
          <cell r="M146">
            <v>232158.67761350988</v>
          </cell>
          <cell r="N146">
            <v>285001.14913036983</v>
          </cell>
          <cell r="O146">
            <v>269313.55681396055</v>
          </cell>
          <cell r="P146">
            <v>358084.57709169737</v>
          </cell>
          <cell r="Q146">
            <v>377899.75884614955</v>
          </cell>
          <cell r="R146">
            <v>4.2419999999999999E-2</v>
          </cell>
          <cell r="S146">
            <v>299881.25952939951</v>
          </cell>
          <cell r="T146" t="str">
            <v/>
          </cell>
          <cell r="U146" t="str">
            <v/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>
            <v>866479.76275145903</v>
          </cell>
          <cell r="AC146">
            <v>212923.54556321035</v>
          </cell>
          <cell r="AD146">
            <v>199196.32976570804</v>
          </cell>
          <cell r="AE146">
            <v>46994.841220860013</v>
          </cell>
          <cell r="AF146">
            <v>8296.3674329900005</v>
          </cell>
          <cell r="AG146">
            <v>691902.30516076973</v>
          </cell>
          <cell r="AH146">
            <v>587.05632546000004</v>
          </cell>
          <cell r="AI146" t="str">
            <v>Unclear</v>
          </cell>
          <cell r="AJ146">
            <v>1685322.8887142679</v>
          </cell>
          <cell r="AK146">
            <v>365687.84264591977</v>
          </cell>
          <cell r="AL146">
            <v>6828.4347161099995</v>
          </cell>
          <cell r="AM146">
            <v>156376.30461445008</v>
          </cell>
          <cell r="AN146">
            <v>41792.934707580011</v>
          </cell>
          <cell r="AO146" t="str">
            <v>Fixed Price</v>
          </cell>
          <cell r="AP146">
            <v>1726498.948691057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2004</v>
          </cell>
          <cell r="AX146" t="str">
            <v>DE</v>
          </cell>
          <cell r="AY146">
            <v>19514.225002951247</v>
          </cell>
          <cell r="AZ146">
            <v>21839.4</v>
          </cell>
          <cell r="BA146">
            <v>389.6</v>
          </cell>
          <cell r="BB146">
            <v>-3031.5193011450833</v>
          </cell>
          <cell r="BC146">
            <v>16530.5</v>
          </cell>
          <cell r="BD146" t="str">
            <v/>
          </cell>
          <cell r="BE146">
            <v>2181318262015.4731</v>
          </cell>
          <cell r="BF146">
            <v>1.0764605048778473</v>
          </cell>
        </row>
        <row r="147">
          <cell r="A147" t="str">
            <v>PATRIOT/MEADS CAP SPLIT</v>
          </cell>
          <cell r="B147">
            <v>2386.6</v>
          </cell>
          <cell r="C147" t="str">
            <v/>
          </cell>
          <cell r="D147" t="str">
            <v/>
          </cell>
          <cell r="E147" t="str">
            <v/>
          </cell>
          <cell r="F147">
            <v>0</v>
          </cell>
          <cell r="G147" t="str">
            <v/>
          </cell>
          <cell r="H147" t="str">
            <v/>
          </cell>
          <cell r="I147">
            <v>0</v>
          </cell>
          <cell r="J147">
            <v>0</v>
          </cell>
          <cell r="K147" t="str">
            <v>-</v>
          </cell>
          <cell r="L147">
            <v>204041.18677536995</v>
          </cell>
          <cell r="M147">
            <v>232158.67761350988</v>
          </cell>
          <cell r="N147">
            <v>285001.14913036983</v>
          </cell>
          <cell r="O147">
            <v>269313.55681396055</v>
          </cell>
          <cell r="P147">
            <v>358084.57709169737</v>
          </cell>
          <cell r="Q147">
            <v>377899.75884614955</v>
          </cell>
          <cell r="R147">
            <v>4.2419999999999999E-2</v>
          </cell>
          <cell r="S147">
            <v>299881.25952939951</v>
          </cell>
          <cell r="T147" t="str">
            <v/>
          </cell>
          <cell r="U147" t="str">
            <v/>
          </cell>
          <cell r="V147" t="str">
            <v/>
          </cell>
          <cell r="W147" t="str">
            <v/>
          </cell>
          <cell r="X147" t="str">
            <v/>
          </cell>
          <cell r="Y147" t="str">
            <v/>
          </cell>
          <cell r="Z147" t="str">
            <v/>
          </cell>
          <cell r="AA147" t="str">
            <v/>
          </cell>
          <cell r="AB147">
            <v>866479.76275145903</v>
          </cell>
          <cell r="AC147">
            <v>212923.54556321035</v>
          </cell>
          <cell r="AD147">
            <v>199196.32976570804</v>
          </cell>
          <cell r="AE147">
            <v>46994.841220860013</v>
          </cell>
          <cell r="AF147">
            <v>8296.3674329900005</v>
          </cell>
          <cell r="AG147">
            <v>691902.30516076973</v>
          </cell>
          <cell r="AH147">
            <v>587.05632546000004</v>
          </cell>
          <cell r="AI147" t="str">
            <v>Unclear</v>
          </cell>
          <cell r="AJ147">
            <v>1685322.8887142679</v>
          </cell>
          <cell r="AK147">
            <v>365687.84264591977</v>
          </cell>
          <cell r="AL147">
            <v>6828.4347161099995</v>
          </cell>
          <cell r="AM147">
            <v>156376.30461445008</v>
          </cell>
          <cell r="AN147">
            <v>41792.934707580011</v>
          </cell>
          <cell r="AO147" t="str">
            <v>Fixed Price</v>
          </cell>
          <cell r="AP147">
            <v>1726498.948691057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2004</v>
          </cell>
          <cell r="AX147" t="str">
            <v>DE</v>
          </cell>
          <cell r="AY147">
            <v>19514.225002951247</v>
          </cell>
          <cell r="AZ147">
            <v>21839.4</v>
          </cell>
          <cell r="BA147">
            <v>389.6</v>
          </cell>
          <cell r="BB147">
            <v>-3031.5193011450833</v>
          </cell>
          <cell r="BC147">
            <v>16530.5</v>
          </cell>
          <cell r="BD147" t="str">
            <v/>
          </cell>
          <cell r="BE147">
            <v>2181318262015.4731</v>
          </cell>
          <cell r="BF147">
            <v>1.0764605048778473</v>
          </cell>
        </row>
        <row r="148">
          <cell r="A148" t="str">
            <v>MQ-1 PREDATOR</v>
          </cell>
          <cell r="B148" t="e">
            <v>#VALUE!</v>
          </cell>
          <cell r="C148" t="str">
            <v/>
          </cell>
          <cell r="D148" t="str">
            <v/>
          </cell>
          <cell r="E148" t="str">
            <v/>
          </cell>
          <cell r="F148" t="str">
            <v/>
          </cell>
          <cell r="G148" t="str">
            <v/>
          </cell>
          <cell r="H148" t="str">
            <v/>
          </cell>
          <cell r="I148" t="str">
            <v/>
          </cell>
          <cell r="J148" t="str">
            <v/>
          </cell>
          <cell r="K148" t="str">
            <v/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 t="str">
            <v/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Missing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 t="str">
            <v>Missing</v>
          </cell>
          <cell r="AP148" t="e">
            <v>#VALUE!</v>
          </cell>
          <cell r="AQ148">
            <v>424</v>
          </cell>
          <cell r="AR148" t="str">
            <v>None</v>
          </cell>
          <cell r="AS148" t="str">
            <v>Air Force</v>
          </cell>
          <cell r="AT148" t="str">
            <v>Fixed Wing</v>
          </cell>
          <cell r="AU148" t="str">
            <v>General Atomics Aeronautical Systems</v>
          </cell>
          <cell r="AV148">
            <v>0</v>
          </cell>
          <cell r="AW148" t="str">
            <v/>
          </cell>
          <cell r="AX148" t="str">
            <v/>
          </cell>
          <cell r="AY148" t="e">
            <v>#VALUE!</v>
          </cell>
          <cell r="AZ148" t="str">
            <v/>
          </cell>
          <cell r="BA148" t="str">
            <v/>
          </cell>
          <cell r="BB148" t="e">
            <v>#VALUE!</v>
          </cell>
          <cell r="BC148" t="str">
            <v/>
          </cell>
          <cell r="BD148" t="str">
            <v/>
          </cell>
          <cell r="BE148">
            <v>0</v>
          </cell>
          <cell r="BF148" t="e">
            <v>#DIV/0!</v>
          </cell>
        </row>
        <row r="149">
          <cell r="A149" t="str">
            <v>MQ-9 REAPER</v>
          </cell>
          <cell r="B149">
            <v>3364.7</v>
          </cell>
          <cell r="C149" t="str">
            <v/>
          </cell>
          <cell r="D149" t="str">
            <v/>
          </cell>
          <cell r="E149" t="str">
            <v/>
          </cell>
          <cell r="F149" t="str">
            <v/>
          </cell>
          <cell r="G149" t="str">
            <v/>
          </cell>
          <cell r="H149" t="str">
            <v/>
          </cell>
          <cell r="I149">
            <v>0</v>
          </cell>
          <cell r="J149">
            <v>0</v>
          </cell>
          <cell r="K149">
            <v>7470.4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 t="str">
            <v/>
          </cell>
          <cell r="U149" t="str">
            <v/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Missing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 t="str">
            <v>Missing</v>
          </cell>
          <cell r="AP149">
            <v>3364.7</v>
          </cell>
          <cell r="AQ149" t="str">
            <v>None</v>
          </cell>
          <cell r="AR149" t="str">
            <v>None</v>
          </cell>
          <cell r="AS149" t="str">
            <v>Air Force</v>
          </cell>
          <cell r="AT149">
            <v>0</v>
          </cell>
          <cell r="AU149" t="str">
            <v>General Atomics Aeronautical Systems</v>
          </cell>
          <cell r="AV149">
            <v>0</v>
          </cell>
          <cell r="AW149">
            <v>2008</v>
          </cell>
          <cell r="AX149" t="str">
            <v>PdE</v>
          </cell>
          <cell r="AY149">
            <v>11277.981747613552</v>
          </cell>
          <cell r="AZ149">
            <v>11834.8</v>
          </cell>
          <cell r="BA149">
            <v>1184.8</v>
          </cell>
          <cell r="BB149">
            <v>-179.27200251757054</v>
          </cell>
          <cell r="BC149">
            <v>10751.3</v>
          </cell>
          <cell r="BD149" t="str">
            <v/>
          </cell>
          <cell r="BE149">
            <v>0</v>
          </cell>
          <cell r="BF149" t="e">
            <v>#DIV/0!</v>
          </cell>
        </row>
        <row r="150">
          <cell r="A150" t="str">
            <v>RMS</v>
          </cell>
          <cell r="B150">
            <v>544.20000000000005</v>
          </cell>
          <cell r="C150" t="str">
            <v/>
          </cell>
          <cell r="D150" t="str">
            <v/>
          </cell>
          <cell r="E150" t="str">
            <v/>
          </cell>
          <cell r="F150">
            <v>0</v>
          </cell>
          <cell r="G150" t="str">
            <v/>
          </cell>
          <cell r="H150">
            <v>0</v>
          </cell>
          <cell r="I150">
            <v>0</v>
          </cell>
          <cell r="J150">
            <v>0</v>
          </cell>
          <cell r="K150">
            <v>825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 t="str">
            <v/>
          </cell>
          <cell r="U150" t="str">
            <v/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  <cell r="AA150" t="str">
            <v/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Missing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 t="str">
            <v>Missing</v>
          </cell>
          <cell r="AP150">
            <v>544.20000000000005</v>
          </cell>
          <cell r="AQ150">
            <v>286</v>
          </cell>
          <cell r="AR150" t="str">
            <v>None</v>
          </cell>
          <cell r="AS150" t="str">
            <v>Navy</v>
          </cell>
          <cell r="AT150">
            <v>0</v>
          </cell>
          <cell r="AU150" t="str">
            <v>Lockheed Martin</v>
          </cell>
          <cell r="AV150">
            <v>0</v>
          </cell>
          <cell r="AW150">
            <v>2006</v>
          </cell>
          <cell r="AX150" t="str">
            <v>DE</v>
          </cell>
          <cell r="AY150">
            <v>1414.3915109981208</v>
          </cell>
          <cell r="AZ150">
            <v>1449.4</v>
          </cell>
          <cell r="BA150">
            <v>41.1</v>
          </cell>
          <cell r="BB150">
            <v>-14.258870343760364</v>
          </cell>
          <cell r="BC150">
            <v>1279.5999999999999</v>
          </cell>
          <cell r="BD150" t="str">
            <v/>
          </cell>
          <cell r="BE150">
            <v>0</v>
          </cell>
          <cell r="BF150" t="e">
            <v>#DIV/0!</v>
          </cell>
        </row>
        <row r="151">
          <cell r="A151" t="str">
            <v>RQ-4 GLOBAL HAWK</v>
          </cell>
          <cell r="B151">
            <v>7405.4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 t="str">
            <v/>
          </cell>
          <cell r="H151">
            <v>0</v>
          </cell>
          <cell r="I151">
            <v>0</v>
          </cell>
          <cell r="J151">
            <v>0</v>
          </cell>
          <cell r="K151">
            <v>674.1</v>
          </cell>
          <cell r="L151">
            <v>39.348613</v>
          </cell>
          <cell r="M151">
            <v>258.832493</v>
          </cell>
          <cell r="N151">
            <v>90.693398000000002</v>
          </cell>
          <cell r="O151">
            <v>459.33111758000001</v>
          </cell>
          <cell r="P151">
            <v>133.22363199</v>
          </cell>
          <cell r="Q151">
            <v>9.2868157899999986</v>
          </cell>
          <cell r="R151">
            <v>1.7E-5</v>
          </cell>
          <cell r="S151">
            <v>607.62296019000007</v>
          </cell>
          <cell r="T151" t="str">
            <v/>
          </cell>
          <cell r="U151" t="str">
            <v/>
          </cell>
          <cell r="V151" t="str">
            <v/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>
            <v>0.90889600000000004</v>
          </cell>
          <cell r="AC151">
            <v>3.3368032999999997</v>
          </cell>
          <cell r="AD151">
            <v>1.3061088799999998</v>
          </cell>
          <cell r="AE151">
            <v>51.891796499999998</v>
          </cell>
          <cell r="AF151">
            <v>0</v>
          </cell>
          <cell r="AG151">
            <v>1540.89544187</v>
          </cell>
          <cell r="AH151">
            <v>0</v>
          </cell>
          <cell r="AI151" t="str">
            <v>None</v>
          </cell>
          <cell r="AJ151">
            <v>1701.1207200599999</v>
          </cell>
          <cell r="AK151">
            <v>441.89551441999998</v>
          </cell>
          <cell r="AL151">
            <v>11.866913540000001</v>
          </cell>
          <cell r="AM151">
            <v>21.459689999999998</v>
          </cell>
          <cell r="AN151">
            <v>14.227383699999999</v>
          </cell>
          <cell r="AO151" t="str">
            <v>Fixed Price</v>
          </cell>
          <cell r="AP151">
            <v>7405.4</v>
          </cell>
          <cell r="AQ151">
            <v>252</v>
          </cell>
          <cell r="AR151" t="str">
            <v>None</v>
          </cell>
          <cell r="AS151" t="str">
            <v>Air Force</v>
          </cell>
          <cell r="AT151">
            <v>0</v>
          </cell>
          <cell r="AU151" t="str">
            <v>Northrop Grumman</v>
          </cell>
          <cell r="AV151">
            <v>0</v>
          </cell>
          <cell r="AW151">
            <v>2000</v>
          </cell>
          <cell r="AX151" t="str">
            <v>DE</v>
          </cell>
          <cell r="AY151">
            <v>5594.5216049382716</v>
          </cell>
          <cell r="AZ151">
            <v>5394</v>
          </cell>
          <cell r="BA151">
            <v>988.1</v>
          </cell>
          <cell r="BB151">
            <v>1260.0308641975307</v>
          </cell>
          <cell r="BC151">
            <v>4350.3</v>
          </cell>
          <cell r="BD151" t="str">
            <v/>
          </cell>
          <cell r="BE151">
            <v>1701534162.8141222</v>
          </cell>
          <cell r="BF151">
            <v>1.064563971259332</v>
          </cell>
        </row>
        <row r="152">
          <cell r="A152" t="str">
            <v>SBIRS</v>
          </cell>
          <cell r="B152">
            <v>11346.2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 t="str">
            <v/>
          </cell>
          <cell r="H152">
            <v>0</v>
          </cell>
          <cell r="I152">
            <v>0</v>
          </cell>
          <cell r="J152">
            <v>0</v>
          </cell>
          <cell r="K152">
            <v>4533.7</v>
          </cell>
          <cell r="L152">
            <v>13.018224</v>
          </cell>
          <cell r="M152">
            <v>38.303789999999999</v>
          </cell>
          <cell r="N152">
            <v>5.0234030000000001</v>
          </cell>
          <cell r="O152">
            <v>58.811686209999998</v>
          </cell>
          <cell r="P152">
            <v>5.0846744299999997</v>
          </cell>
          <cell r="Q152">
            <v>3.5688443799999998</v>
          </cell>
          <cell r="R152">
            <v>1.9799999999999999E-4</v>
          </cell>
          <cell r="S152">
            <v>498.45956031000009</v>
          </cell>
          <cell r="T152" t="str">
            <v/>
          </cell>
          <cell r="U152" t="str">
            <v/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Z152" t="str">
            <v/>
          </cell>
          <cell r="AA152" t="str">
            <v/>
          </cell>
          <cell r="AB152">
            <v>24.42762549</v>
          </cell>
          <cell r="AC152">
            <v>6.4868302099999999</v>
          </cell>
          <cell r="AD152">
            <v>125.16870842</v>
          </cell>
          <cell r="AE152">
            <v>30.947312109999999</v>
          </cell>
          <cell r="AF152">
            <v>4.4101439999999998</v>
          </cell>
          <cell r="AG152">
            <v>430.82976010000004</v>
          </cell>
          <cell r="AH152">
            <v>0</v>
          </cell>
          <cell r="AI152" t="str">
            <v>None</v>
          </cell>
          <cell r="AJ152">
            <v>635.94515702000001</v>
          </cell>
          <cell r="AK152">
            <v>269.63056043</v>
          </cell>
          <cell r="AL152">
            <v>0</v>
          </cell>
          <cell r="AM152">
            <v>424.05860963999999</v>
          </cell>
          <cell r="AN152">
            <v>1.6849769999999999</v>
          </cell>
          <cell r="AO152" t="str">
            <v>Unclear</v>
          </cell>
          <cell r="AP152">
            <v>11346.2</v>
          </cell>
          <cell r="AQ152">
            <v>210</v>
          </cell>
          <cell r="AR152" t="str">
            <v>None</v>
          </cell>
          <cell r="AS152" t="str">
            <v>Navy</v>
          </cell>
          <cell r="AT152">
            <v>0</v>
          </cell>
          <cell r="AU152" t="str">
            <v>Lockheed Martin</v>
          </cell>
          <cell r="AV152">
            <v>0</v>
          </cell>
          <cell r="AW152">
            <v>1995</v>
          </cell>
          <cell r="AX152" t="str">
            <v>DE</v>
          </cell>
          <cell r="AY152">
            <v>5139.6843134515993</v>
          </cell>
          <cell r="AZ152">
            <v>4147.3</v>
          </cell>
          <cell r="BA152">
            <v>990.8</v>
          </cell>
          <cell r="BB152">
            <v>10148.763793825954</v>
          </cell>
          <cell r="BC152">
            <v>3679.5</v>
          </cell>
          <cell r="BD152" t="str">
            <v/>
          </cell>
          <cell r="BE152">
            <v>642232585.04498339</v>
          </cell>
          <cell r="BF152">
            <v>1.0320796318545598</v>
          </cell>
        </row>
        <row r="153">
          <cell r="A153" t="str">
            <v>SBSS B10</v>
          </cell>
          <cell r="B153">
            <v>902.6</v>
          </cell>
          <cell r="C153" t="str">
            <v/>
          </cell>
          <cell r="D153" t="str">
            <v/>
          </cell>
          <cell r="E153" t="str">
            <v/>
          </cell>
          <cell r="F153" t="str">
            <v/>
          </cell>
          <cell r="G153" t="str">
            <v/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2.8029419999999998</v>
          </cell>
          <cell r="M153">
            <v>8.4878999999999998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3.9999999999999998E-6</v>
          </cell>
          <cell r="S153">
            <v>-9.2219999999999993E-3</v>
          </cell>
          <cell r="T153" t="str">
            <v/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>
            <v>10.751581</v>
          </cell>
          <cell r="AC153">
            <v>0.53004300000000004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Full and Open -Multiple Bidders</v>
          </cell>
          <cell r="AJ153">
            <v>10.749931910000001</v>
          </cell>
          <cell r="AK153">
            <v>0</v>
          </cell>
          <cell r="AL153">
            <v>0</v>
          </cell>
          <cell r="AM153">
            <v>0.53004300000000004</v>
          </cell>
          <cell r="AN153">
            <v>0</v>
          </cell>
          <cell r="AO153" t="str">
            <v>Fixed Price</v>
          </cell>
          <cell r="AP153">
            <v>902.6</v>
          </cell>
          <cell r="AQ153">
            <v>328</v>
          </cell>
          <cell r="AR153" t="str">
            <v>None</v>
          </cell>
          <cell r="AS153" t="str">
            <v>Navy</v>
          </cell>
          <cell r="AT153">
            <v>0</v>
          </cell>
          <cell r="AU153" t="str">
            <v>Boeing</v>
          </cell>
          <cell r="AV153" t="str">
            <v>Ball Aerospace &amp; Technologies Corp, Harris IT Services, MIT/Lincoln Labs, Orbital Sciences Corporation</v>
          </cell>
          <cell r="AW153">
            <v>2007</v>
          </cell>
          <cell r="AX153" t="str">
            <v>DE</v>
          </cell>
          <cell r="AY153">
            <v>869.72851164288022</v>
          </cell>
          <cell r="AZ153">
            <v>825.8</v>
          </cell>
          <cell r="BA153">
            <v>13</v>
          </cell>
          <cell r="BB153">
            <v>-6.1165361090245742</v>
          </cell>
          <cell r="BC153">
            <v>810.5</v>
          </cell>
          <cell r="BD153" t="str">
            <v/>
          </cell>
          <cell r="BE153">
            <v>13012656.166551817</v>
          </cell>
          <cell r="BF153">
            <v>1.1534382077041228</v>
          </cell>
        </row>
        <row r="154">
          <cell r="A154" t="str">
            <v>SDB I</v>
          </cell>
          <cell r="B154">
            <v>227.79999999999998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94.6</v>
          </cell>
          <cell r="H154">
            <v>133.19999999999999</v>
          </cell>
          <cell r="I154">
            <v>0</v>
          </cell>
          <cell r="J154">
            <v>0</v>
          </cell>
          <cell r="K154">
            <v>685.4</v>
          </cell>
          <cell r="L154">
            <v>1.237285</v>
          </cell>
          <cell r="M154">
            <v>22.910489999999999</v>
          </cell>
          <cell r="N154">
            <v>0.59799400000000003</v>
          </cell>
          <cell r="O154">
            <v>214.83646794999999</v>
          </cell>
          <cell r="P154">
            <v>0.60694864999999998</v>
          </cell>
          <cell r="Q154">
            <v>0</v>
          </cell>
          <cell r="R154">
            <v>1.0000000000000001E-5</v>
          </cell>
          <cell r="S154">
            <v>321.92840321</v>
          </cell>
          <cell r="T154" t="str">
            <v/>
          </cell>
          <cell r="U154" t="str">
            <v/>
          </cell>
          <cell r="V154" t="str">
            <v/>
          </cell>
          <cell r="W154" t="str">
            <v/>
          </cell>
          <cell r="X154">
            <v>6.4159476744186051E-3</v>
          </cell>
          <cell r="Y154">
            <v>0</v>
          </cell>
          <cell r="Z154" t="str">
            <v/>
          </cell>
          <cell r="AA154" t="str">
            <v/>
          </cell>
          <cell r="AB154">
            <v>217.45435512999998</v>
          </cell>
          <cell r="AC154">
            <v>0.39247700000000002</v>
          </cell>
          <cell r="AD154">
            <v>0.77888276000000001</v>
          </cell>
          <cell r="AE154">
            <v>86.347696499999998</v>
          </cell>
          <cell r="AF154">
            <v>0</v>
          </cell>
          <cell r="AG154">
            <v>257.14418741999998</v>
          </cell>
          <cell r="AH154">
            <v>0</v>
          </cell>
          <cell r="AI154" t="str">
            <v>Unclear</v>
          </cell>
          <cell r="AJ154">
            <v>644.16751365999994</v>
          </cell>
          <cell r="AK154">
            <v>134.56502703000004</v>
          </cell>
          <cell r="AL154">
            <v>0</v>
          </cell>
          <cell r="AM154">
            <v>1.42902156</v>
          </cell>
          <cell r="AN154">
            <v>0</v>
          </cell>
          <cell r="AO154" t="str">
            <v>Fixed Price</v>
          </cell>
          <cell r="AP154">
            <v>240.18919559999998</v>
          </cell>
          <cell r="AQ154">
            <v>354</v>
          </cell>
          <cell r="AR154" t="str">
            <v>None</v>
          </cell>
          <cell r="AS154" t="str">
            <v>Air Force</v>
          </cell>
          <cell r="AT154" t="str">
            <v>Munitions</v>
          </cell>
          <cell r="AU154" t="str">
            <v>Boeing</v>
          </cell>
          <cell r="AV154">
            <v>0</v>
          </cell>
          <cell r="AW154">
            <v>2001</v>
          </cell>
          <cell r="AX154" t="str">
            <v>PdE</v>
          </cell>
          <cell r="AY154">
            <v>1917.3262972735267</v>
          </cell>
          <cell r="AZ154">
            <v>1786.3</v>
          </cell>
          <cell r="BA154">
            <v>0</v>
          </cell>
          <cell r="BB154">
            <v>-344.01306696821206</v>
          </cell>
          <cell r="BC154">
            <v>1526</v>
          </cell>
          <cell r="BD154" t="str">
            <v/>
          </cell>
          <cell r="BE154">
            <v>586027662.66527641</v>
          </cell>
          <cell r="BF154">
            <v>1.0425356969891957</v>
          </cell>
        </row>
        <row r="155">
          <cell r="A155" t="str">
            <v>SDB II</v>
          </cell>
          <cell r="B155">
            <v>669.1</v>
          </cell>
          <cell r="C155" t="str">
            <v/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>
            <v>0</v>
          </cell>
          <cell r="J155">
            <v>0</v>
          </cell>
          <cell r="K155">
            <v>3188.1</v>
          </cell>
          <cell r="L155">
            <v>408082.3735507399</v>
          </cell>
          <cell r="M155">
            <v>464317.35522701975</v>
          </cell>
          <cell r="N155">
            <v>570002.29826073966</v>
          </cell>
          <cell r="O155">
            <v>538627.11362792109</v>
          </cell>
          <cell r="P155">
            <v>716169.15418339474</v>
          </cell>
          <cell r="Q155">
            <v>755799.51769229909</v>
          </cell>
          <cell r="R155">
            <v>8.4839999999999999E-2</v>
          </cell>
          <cell r="S155">
            <v>599762.51905879902</v>
          </cell>
          <cell r="T155" t="str">
            <v/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/>
          </cell>
          <cell r="AA155" t="str">
            <v/>
          </cell>
          <cell r="AB155">
            <v>1732959.5255029181</v>
          </cell>
          <cell r="AC155">
            <v>425847.09112642071</v>
          </cell>
          <cell r="AD155">
            <v>398392.65953141608</v>
          </cell>
          <cell r="AE155">
            <v>93989.682441720026</v>
          </cell>
          <cell r="AF155">
            <v>16592.734865980001</v>
          </cell>
          <cell r="AG155">
            <v>1383804.6103215395</v>
          </cell>
          <cell r="AH155">
            <v>1174.1126509200001</v>
          </cell>
          <cell r="AI155" t="str">
            <v>Unclear</v>
          </cell>
          <cell r="AJ155">
            <v>3370645.7774285357</v>
          </cell>
          <cell r="AK155">
            <v>731375.68529183953</v>
          </cell>
          <cell r="AL155">
            <v>13656.869432219999</v>
          </cell>
          <cell r="AM155">
            <v>312752.60922890017</v>
          </cell>
          <cell r="AN155">
            <v>83585.869415160021</v>
          </cell>
          <cell r="AO155" t="str">
            <v>Fixed Price</v>
          </cell>
          <cell r="AP155">
            <v>3452997.8973821141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2010</v>
          </cell>
          <cell r="AX155" t="str">
            <v>DE</v>
          </cell>
          <cell r="AY155">
            <v>4703.0720230144871</v>
          </cell>
          <cell r="AZ155">
            <v>5210.3999999999996</v>
          </cell>
          <cell r="BA155">
            <v>152.5</v>
          </cell>
          <cell r="BB155">
            <v>-903.72957978012948</v>
          </cell>
          <cell r="BC155">
            <v>4577.5</v>
          </cell>
          <cell r="BD155" t="str">
            <v/>
          </cell>
          <cell r="BE155">
            <v>2181318262015.4731</v>
          </cell>
          <cell r="BF155">
            <v>1.0764605048778473</v>
          </cell>
        </row>
        <row r="156">
          <cell r="A156" t="str">
            <v>SM-2</v>
          </cell>
          <cell r="B156">
            <v>893.9</v>
          </cell>
          <cell r="C156">
            <v>0</v>
          </cell>
          <cell r="D156">
            <v>0</v>
          </cell>
          <cell r="E156" t="str">
            <v>-</v>
          </cell>
          <cell r="F156" t="str">
            <v>-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 t="str">
            <v>-</v>
          </cell>
          <cell r="L156">
            <v>204041.18677536995</v>
          </cell>
          <cell r="M156">
            <v>232158.67761350988</v>
          </cell>
          <cell r="N156">
            <v>285001.14913036983</v>
          </cell>
          <cell r="O156">
            <v>269313.55681396055</v>
          </cell>
          <cell r="P156">
            <v>358084.57709169737</v>
          </cell>
          <cell r="Q156">
            <v>377899.75884614955</v>
          </cell>
          <cell r="R156">
            <v>4.2419999999999999E-2</v>
          </cell>
          <cell r="S156">
            <v>299881.25952939951</v>
          </cell>
          <cell r="T156" t="str">
            <v/>
          </cell>
          <cell r="U156" t="str">
            <v/>
          </cell>
          <cell r="V156" t="str">
            <v/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>
            <v>866479.76275145903</v>
          </cell>
          <cell r="AC156">
            <v>212923.54556321035</v>
          </cell>
          <cell r="AD156">
            <v>199196.32976570804</v>
          </cell>
          <cell r="AE156">
            <v>46994.841220860013</v>
          </cell>
          <cell r="AF156">
            <v>8296.3674329900005</v>
          </cell>
          <cell r="AG156">
            <v>691902.30516076973</v>
          </cell>
          <cell r="AH156">
            <v>587.05632546000004</v>
          </cell>
          <cell r="AI156" t="str">
            <v>Unclear</v>
          </cell>
          <cell r="AJ156">
            <v>1685322.8887142679</v>
          </cell>
          <cell r="AK156">
            <v>365687.84264591977</v>
          </cell>
          <cell r="AL156">
            <v>6828.4347161099995</v>
          </cell>
          <cell r="AM156">
            <v>156376.30461445008</v>
          </cell>
          <cell r="AN156">
            <v>41792.934707580011</v>
          </cell>
          <cell r="AO156" t="str">
            <v>Fixed Price</v>
          </cell>
          <cell r="AP156">
            <v>1726498.948691057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 t="str">
            <v>Raytheon</v>
          </cell>
          <cell r="AV156">
            <v>0</v>
          </cell>
          <cell r="AW156">
            <v>1984</v>
          </cell>
          <cell r="AX156" t="str">
            <v>DE</v>
          </cell>
          <cell r="AY156">
            <v>4202.0259938837917</v>
          </cell>
          <cell r="AZ156">
            <v>3014.4</v>
          </cell>
          <cell r="BA156">
            <v>0</v>
          </cell>
          <cell r="BB156">
            <v>21.597859327217126</v>
          </cell>
          <cell r="BC156">
            <v>2198.5</v>
          </cell>
          <cell r="BD156" t="str">
            <v/>
          </cell>
          <cell r="BE156">
            <v>2181318262015.4731</v>
          </cell>
          <cell r="BF156">
            <v>1.0764605048778473</v>
          </cell>
        </row>
        <row r="157">
          <cell r="A157" t="str">
            <v>SM-6</v>
          </cell>
          <cell r="B157">
            <v>1378.7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 t="str">
            <v/>
          </cell>
          <cell r="H157">
            <v>0</v>
          </cell>
          <cell r="I157">
            <v>0</v>
          </cell>
          <cell r="J157">
            <v>0</v>
          </cell>
          <cell r="K157">
            <v>4290.3999999999996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 t="str">
            <v/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 t="str">
            <v/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Missing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 t="str">
            <v>Missing</v>
          </cell>
          <cell r="AP157">
            <v>1378.7</v>
          </cell>
          <cell r="AQ157">
            <v>391</v>
          </cell>
          <cell r="AR157" t="str">
            <v>None</v>
          </cell>
          <cell r="AS157" t="str">
            <v>Navy</v>
          </cell>
          <cell r="AT157">
            <v>0</v>
          </cell>
          <cell r="AU157" t="str">
            <v>Raytheon</v>
          </cell>
          <cell r="AV157">
            <v>0</v>
          </cell>
          <cell r="AW157">
            <v>2004</v>
          </cell>
          <cell r="AX157" t="str">
            <v>PdE</v>
          </cell>
          <cell r="AY157">
            <v>6234.3288867902265</v>
          </cell>
          <cell r="AZ157">
            <v>6597.2</v>
          </cell>
          <cell r="BA157">
            <v>378.5</v>
          </cell>
          <cell r="BB157">
            <v>-166.09609255105653</v>
          </cell>
          <cell r="BC157">
            <v>5281.1</v>
          </cell>
          <cell r="BD157" t="str">
            <v/>
          </cell>
          <cell r="BE157">
            <v>0</v>
          </cell>
          <cell r="BF157" t="e">
            <v>#DIV/0!</v>
          </cell>
        </row>
        <row r="158">
          <cell r="A158" t="str">
            <v>SMART-T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408082.3735507399</v>
          </cell>
          <cell r="M158">
            <v>464317.35522701975</v>
          </cell>
          <cell r="N158">
            <v>570002.29826073966</v>
          </cell>
          <cell r="O158">
            <v>538627.11362792109</v>
          </cell>
          <cell r="P158">
            <v>716169.15418339474</v>
          </cell>
          <cell r="Q158">
            <v>755799.51769229909</v>
          </cell>
          <cell r="R158">
            <v>8.4839999999999999E-2</v>
          </cell>
          <cell r="S158">
            <v>599762.51905879902</v>
          </cell>
          <cell r="T158" t="str">
            <v/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>
            <v>1732959.5255029181</v>
          </cell>
          <cell r="AC158">
            <v>425847.09112642071</v>
          </cell>
          <cell r="AD158">
            <v>398392.65953141608</v>
          </cell>
          <cell r="AE158">
            <v>93989.682441720026</v>
          </cell>
          <cell r="AF158">
            <v>16592.734865980001</v>
          </cell>
          <cell r="AG158">
            <v>1383804.6103215395</v>
          </cell>
          <cell r="AH158">
            <v>1174.1126509200001</v>
          </cell>
          <cell r="AI158" t="str">
            <v>Unclear</v>
          </cell>
          <cell r="AJ158">
            <v>3370645.7774285357</v>
          </cell>
          <cell r="AK158">
            <v>731375.68529183953</v>
          </cell>
          <cell r="AL158">
            <v>13656.869432219999</v>
          </cell>
          <cell r="AM158">
            <v>312752.60922890017</v>
          </cell>
          <cell r="AN158">
            <v>83585.869415160021</v>
          </cell>
          <cell r="AO158" t="str">
            <v>Fixed Price</v>
          </cell>
          <cell r="AP158">
            <v>3452997.8973821141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1999</v>
          </cell>
          <cell r="AX158" t="str">
            <v>PdE</v>
          </cell>
          <cell r="AY158">
            <v>1005.2459016393443</v>
          </cell>
          <cell r="AZ158">
            <v>780.4</v>
          </cell>
          <cell r="BA158">
            <v>0</v>
          </cell>
          <cell r="BB158">
            <v>241.18032786885249</v>
          </cell>
          <cell r="BC158">
            <v>766.5</v>
          </cell>
          <cell r="BD158" t="str">
            <v/>
          </cell>
          <cell r="BE158">
            <v>2181318262015.4731</v>
          </cell>
          <cell r="BF158">
            <v>1.0764605048778473</v>
          </cell>
        </row>
        <row r="159">
          <cell r="A159" t="str">
            <v>SSDS</v>
          </cell>
          <cell r="B159">
            <v>111.9</v>
          </cell>
          <cell r="C159" t="str">
            <v/>
          </cell>
          <cell r="D159">
            <v>0</v>
          </cell>
          <cell r="E159">
            <v>0</v>
          </cell>
          <cell r="F159">
            <v>0</v>
          </cell>
          <cell r="G159">
            <v>42.5</v>
          </cell>
          <cell r="H159">
            <v>69.400000000000006</v>
          </cell>
          <cell r="I159">
            <v>0</v>
          </cell>
          <cell r="J159">
            <v>0</v>
          </cell>
          <cell r="K159">
            <v>452.1</v>
          </cell>
          <cell r="L159">
            <v>204041.18677536995</v>
          </cell>
          <cell r="M159">
            <v>232158.67761350988</v>
          </cell>
          <cell r="N159">
            <v>285001.14913036983</v>
          </cell>
          <cell r="O159">
            <v>269313.55681396055</v>
          </cell>
          <cell r="P159">
            <v>358084.57709169737</v>
          </cell>
          <cell r="Q159">
            <v>377899.75884614955</v>
          </cell>
          <cell r="R159">
            <v>4.2419999999999999E-2</v>
          </cell>
          <cell r="S159">
            <v>299881.25952939951</v>
          </cell>
          <cell r="T159" t="str">
            <v/>
          </cell>
          <cell r="U159" t="str">
            <v/>
          </cell>
          <cell r="V159" t="str">
            <v/>
          </cell>
          <cell r="W159" t="str">
            <v/>
          </cell>
          <cell r="X159">
            <v>8425.5194609811151</v>
          </cell>
          <cell r="Y159">
            <v>5445.2414819329897</v>
          </cell>
          <cell r="Z159" t="str">
            <v/>
          </cell>
          <cell r="AA159" t="str">
            <v/>
          </cell>
          <cell r="AB159">
            <v>866479.76275145903</v>
          </cell>
          <cell r="AC159">
            <v>212923.54556321035</v>
          </cell>
          <cell r="AD159">
            <v>199196.32976570804</v>
          </cell>
          <cell r="AE159">
            <v>46994.841220860013</v>
          </cell>
          <cell r="AF159">
            <v>8296.3674329900005</v>
          </cell>
          <cell r="AG159">
            <v>691902.30516076973</v>
          </cell>
          <cell r="AH159">
            <v>587.05632546000004</v>
          </cell>
          <cell r="AI159" t="str">
            <v>Unclear</v>
          </cell>
          <cell r="AJ159">
            <v>1685322.8887142679</v>
          </cell>
          <cell r="AK159">
            <v>365687.84264591977</v>
          </cell>
          <cell r="AL159">
            <v>6828.4347161099995</v>
          </cell>
          <cell r="AM159">
            <v>156376.30461445008</v>
          </cell>
          <cell r="AN159">
            <v>41792.934707580011</v>
          </cell>
          <cell r="AO159" t="str">
            <v>Fixed Price</v>
          </cell>
          <cell r="AP159">
            <v>1726498.948691057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 t="str">
            <v>Raytheon</v>
          </cell>
          <cell r="AV159">
            <v>0</v>
          </cell>
          <cell r="AW159">
            <v>2004</v>
          </cell>
          <cell r="AX159" t="str">
            <v>PdE</v>
          </cell>
          <cell r="AY159">
            <v>602.17211663321928</v>
          </cell>
          <cell r="AZ159">
            <v>550.29999999999995</v>
          </cell>
          <cell r="BA159">
            <v>0</v>
          </cell>
          <cell r="BB159">
            <v>-373.50962106008734</v>
          </cell>
          <cell r="BC159">
            <v>510.1</v>
          </cell>
          <cell r="BD159" t="str">
            <v/>
          </cell>
          <cell r="BE159">
            <v>2181318262015.4731</v>
          </cell>
          <cell r="BF159">
            <v>1.0764605048778473</v>
          </cell>
        </row>
        <row r="160">
          <cell r="A160" t="str">
            <v>SSGN</v>
          </cell>
          <cell r="B160">
            <v>150.4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147.9</v>
          </cell>
          <cell r="H160">
            <v>2.5</v>
          </cell>
          <cell r="I160">
            <v>0</v>
          </cell>
          <cell r="J160">
            <v>0</v>
          </cell>
          <cell r="K160">
            <v>1.2</v>
          </cell>
          <cell r="L160">
            <v>204041.18677536995</v>
          </cell>
          <cell r="M160">
            <v>232158.67761350988</v>
          </cell>
          <cell r="N160">
            <v>285001.14913036983</v>
          </cell>
          <cell r="O160">
            <v>269313.55681396055</v>
          </cell>
          <cell r="P160">
            <v>358084.57709169737</v>
          </cell>
          <cell r="Q160">
            <v>377899.75884614955</v>
          </cell>
          <cell r="R160">
            <v>4.2419999999999999E-2</v>
          </cell>
          <cell r="S160">
            <v>299881.25952939951</v>
          </cell>
          <cell r="T160" t="str">
            <v/>
          </cell>
          <cell r="U160" t="str">
            <v/>
          </cell>
          <cell r="V160" t="str">
            <v/>
          </cell>
          <cell r="W160" t="str">
            <v/>
          </cell>
          <cell r="X160">
            <v>2421.126281891125</v>
          </cell>
          <cell r="Y160">
            <v>151159.90353845982</v>
          </cell>
          <cell r="Z160" t="str">
            <v/>
          </cell>
          <cell r="AA160" t="str">
            <v/>
          </cell>
          <cell r="AB160">
            <v>866479.76275145903</v>
          </cell>
          <cell r="AC160">
            <v>212923.54556321035</v>
          </cell>
          <cell r="AD160">
            <v>199196.32976570804</v>
          </cell>
          <cell r="AE160">
            <v>46994.841220860013</v>
          </cell>
          <cell r="AF160">
            <v>8296.3674329900005</v>
          </cell>
          <cell r="AG160">
            <v>691902.30516076973</v>
          </cell>
          <cell r="AH160">
            <v>587.05632546000004</v>
          </cell>
          <cell r="AI160" t="str">
            <v>Unclear</v>
          </cell>
          <cell r="AJ160">
            <v>1685322.8887142679</v>
          </cell>
          <cell r="AK160">
            <v>365687.84264591977</v>
          </cell>
          <cell r="AL160">
            <v>6828.4347161099995</v>
          </cell>
          <cell r="AM160">
            <v>156376.30461445008</v>
          </cell>
          <cell r="AN160">
            <v>41792.934707580011</v>
          </cell>
          <cell r="AO160" t="str">
            <v>Fixed Price</v>
          </cell>
          <cell r="AP160">
            <v>1726498.948691057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 t="str">
            <v xml:space="preserve">General Dynamics </v>
          </cell>
          <cell r="AV160">
            <v>0</v>
          </cell>
          <cell r="AW160">
            <v>2002</v>
          </cell>
          <cell r="AX160" t="str">
            <v>PdE</v>
          </cell>
          <cell r="AY160">
            <v>4782.57107540173</v>
          </cell>
          <cell r="AZ160">
            <v>4051.9</v>
          </cell>
          <cell r="BA160">
            <v>0</v>
          </cell>
          <cell r="BB160">
            <v>-10.012360939431396</v>
          </cell>
          <cell r="BC160">
            <v>3869.1</v>
          </cell>
          <cell r="BD160" t="str">
            <v/>
          </cell>
          <cell r="BE160">
            <v>2181318262015.4731</v>
          </cell>
          <cell r="BF160">
            <v>1.0764605048778473</v>
          </cell>
        </row>
        <row r="161">
          <cell r="A161" t="str">
            <v>SSN 774</v>
          </cell>
          <cell r="B161">
            <v>45244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 t="str">
            <v/>
          </cell>
          <cell r="H161">
            <v>0</v>
          </cell>
          <cell r="I161">
            <v>0</v>
          </cell>
          <cell r="J161">
            <v>0</v>
          </cell>
          <cell r="K161">
            <v>38849.599999999999</v>
          </cell>
          <cell r="L161">
            <v>23.093678000000001</v>
          </cell>
          <cell r="M161">
            <v>64.749123999999995</v>
          </cell>
          <cell r="N161">
            <v>8.0915280000000003</v>
          </cell>
          <cell r="O161">
            <v>124.12288278</v>
          </cell>
          <cell r="P161">
            <v>10.03736814</v>
          </cell>
          <cell r="Q161">
            <v>5.8170456799999997</v>
          </cell>
          <cell r="R161">
            <v>3.1999999999999999E-5</v>
          </cell>
          <cell r="S161">
            <v>3697.6709304199999</v>
          </cell>
          <cell r="T161" t="str">
            <v/>
          </cell>
          <cell r="U161" t="str">
            <v/>
          </cell>
          <cell r="V161" t="str">
            <v/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>
            <v>11.535644219999998</v>
          </cell>
          <cell r="AC161">
            <v>26.082422430000001</v>
          </cell>
          <cell r="AD161">
            <v>0.14739651000000001</v>
          </cell>
          <cell r="AE161">
            <v>151.5631573</v>
          </cell>
          <cell r="AF161">
            <v>0</v>
          </cell>
          <cell r="AG161">
            <v>3744.25396856</v>
          </cell>
          <cell r="AH161">
            <v>0</v>
          </cell>
          <cell r="AI161" t="str">
            <v>None</v>
          </cell>
          <cell r="AJ161">
            <v>2642.6638944800002</v>
          </cell>
          <cell r="AK161">
            <v>521.85444321</v>
          </cell>
          <cell r="AL161">
            <v>3330.3866979999998</v>
          </cell>
          <cell r="AM161">
            <v>9.99630756</v>
          </cell>
          <cell r="AN161">
            <v>147.254884</v>
          </cell>
          <cell r="AO161" t="str">
            <v>Combination</v>
          </cell>
          <cell r="AP161">
            <v>45244</v>
          </cell>
          <cell r="AQ161">
            <v>516</v>
          </cell>
          <cell r="AR161" t="str">
            <v>None</v>
          </cell>
          <cell r="AS161" t="str">
            <v>Navy</v>
          </cell>
          <cell r="AT161" t="str">
            <v>Ship / Sub</v>
          </cell>
          <cell r="AU161" t="str">
            <v xml:space="preserve">General Dynamics </v>
          </cell>
          <cell r="AV161" t="str">
            <v>Northrop Grumman</v>
          </cell>
          <cell r="AW161">
            <v>1995</v>
          </cell>
          <cell r="AX161" t="str">
            <v>PdE</v>
          </cell>
          <cell r="AY161">
            <v>89891.884341388461</v>
          </cell>
          <cell r="AZ161">
            <v>93207.3</v>
          </cell>
          <cell r="BA161">
            <v>4853.7</v>
          </cell>
          <cell r="BB161">
            <v>-3765.6097220282168</v>
          </cell>
          <cell r="BC161">
            <v>64353.599999999999</v>
          </cell>
          <cell r="BD161" t="str">
            <v/>
          </cell>
          <cell r="BE161">
            <v>4011251246.4838543</v>
          </cell>
          <cell r="BF161">
            <v>1.0197450176032035</v>
          </cell>
        </row>
        <row r="162">
          <cell r="A162" t="str">
            <v>STRYKER</v>
          </cell>
          <cell r="B162">
            <v>15039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 t="str">
            <v/>
          </cell>
          <cell r="H162">
            <v>0</v>
          </cell>
          <cell r="I162">
            <v>0</v>
          </cell>
          <cell r="J162">
            <v>0</v>
          </cell>
          <cell r="K162">
            <v>179.7</v>
          </cell>
          <cell r="L162">
            <v>768.24835102999998</v>
          </cell>
          <cell r="M162">
            <v>3895.3128660000002</v>
          </cell>
          <cell r="N162">
            <v>2006.793778</v>
          </cell>
          <cell r="O162">
            <v>2619.3849594200001</v>
          </cell>
          <cell r="P162">
            <v>2729.9297920900003</v>
          </cell>
          <cell r="Q162">
            <v>2124.8695072400001</v>
          </cell>
          <cell r="R162">
            <v>6.0000000000000002E-5</v>
          </cell>
          <cell r="S162">
            <v>1229.4146358899998</v>
          </cell>
          <cell r="T162" t="str">
            <v/>
          </cell>
          <cell r="U162" t="str">
            <v/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/>
          </cell>
          <cell r="AA162" t="str">
            <v/>
          </cell>
          <cell r="AB162">
            <v>6902.5673562699994</v>
          </cell>
          <cell r="AC162">
            <v>78.387378130000002</v>
          </cell>
          <cell r="AD162">
            <v>18.326140049999999</v>
          </cell>
          <cell r="AE162">
            <v>2.7343419999999998</v>
          </cell>
          <cell r="AF162">
            <v>733.15935061000005</v>
          </cell>
          <cell r="AG162">
            <v>7638.7655436100013</v>
          </cell>
          <cell r="AH162">
            <v>1.3839000000000001E-2</v>
          </cell>
          <cell r="AI162" t="str">
            <v>Unclear</v>
          </cell>
          <cell r="AJ162">
            <v>7561.5774996399996</v>
          </cell>
          <cell r="AK162">
            <v>8087.0260671600008</v>
          </cell>
          <cell r="AL162">
            <v>0.73975999999999997</v>
          </cell>
          <cell r="AM162">
            <v>1753.8353875299999</v>
          </cell>
          <cell r="AN162">
            <v>38.635892460000001</v>
          </cell>
          <cell r="AO162" t="str">
            <v>Unclear</v>
          </cell>
          <cell r="AP162">
            <v>15039</v>
          </cell>
          <cell r="AQ162">
            <v>299</v>
          </cell>
          <cell r="AR162" t="str">
            <v>None</v>
          </cell>
          <cell r="AS162" t="str">
            <v>Army</v>
          </cell>
          <cell r="AT162" t="str">
            <v>AFV</v>
          </cell>
          <cell r="AU162" t="str">
            <v xml:space="preserve">General Dynamics </v>
          </cell>
          <cell r="AV162">
            <v>0</v>
          </cell>
          <cell r="AW162">
            <v>2004</v>
          </cell>
          <cell r="AX162" t="str">
            <v>PdE</v>
          </cell>
          <cell r="AY162">
            <v>9770.8653051587771</v>
          </cell>
          <cell r="AZ162">
            <v>8534.7000000000007</v>
          </cell>
          <cell r="BA162">
            <v>729</v>
          </cell>
          <cell r="BB162">
            <v>-5272.5770275056075</v>
          </cell>
          <cell r="BC162">
            <v>8276.9</v>
          </cell>
          <cell r="BD162" t="str">
            <v/>
          </cell>
          <cell r="BE162">
            <v>16713411510.299021</v>
          </cell>
          <cell r="BF162">
            <v>1.0871251185618238</v>
          </cell>
        </row>
        <row r="163">
          <cell r="A163" t="str">
            <v>T-45TS</v>
          </cell>
          <cell r="B163">
            <v>32.299999999999997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32.299999999999997</v>
          </cell>
          <cell r="H163" t="str">
            <v>-</v>
          </cell>
          <cell r="I163">
            <v>0</v>
          </cell>
          <cell r="J163">
            <v>0</v>
          </cell>
          <cell r="K163" t="str">
            <v>-</v>
          </cell>
          <cell r="L163">
            <v>408082.3735507399</v>
          </cell>
          <cell r="M163">
            <v>464317.35522701975</v>
          </cell>
          <cell r="N163">
            <v>570002.29826073966</v>
          </cell>
          <cell r="O163">
            <v>538627.11362792109</v>
          </cell>
          <cell r="P163">
            <v>716169.15418339474</v>
          </cell>
          <cell r="Q163">
            <v>755799.51769229909</v>
          </cell>
          <cell r="R163">
            <v>8.4839999999999999E-2</v>
          </cell>
          <cell r="S163">
            <v>599762.51905879902</v>
          </cell>
          <cell r="T163" t="str">
            <v/>
          </cell>
          <cell r="U163" t="str">
            <v/>
          </cell>
          <cell r="V163" t="str">
            <v/>
          </cell>
          <cell r="W163" t="str">
            <v/>
          </cell>
          <cell r="X163">
            <v>22172.419634160829</v>
          </cell>
          <cell r="Y163" t="str">
            <v/>
          </cell>
          <cell r="Z163" t="str">
            <v/>
          </cell>
          <cell r="AA163" t="str">
            <v/>
          </cell>
          <cell r="AB163">
            <v>1732959.5255029181</v>
          </cell>
          <cell r="AC163">
            <v>425847.09112642071</v>
          </cell>
          <cell r="AD163">
            <v>398392.65953141608</v>
          </cell>
          <cell r="AE163">
            <v>93989.682441720026</v>
          </cell>
          <cell r="AF163">
            <v>16592.734865980001</v>
          </cell>
          <cell r="AG163">
            <v>1383804.6103215395</v>
          </cell>
          <cell r="AH163">
            <v>1174.1126509200001</v>
          </cell>
          <cell r="AI163" t="str">
            <v>Unclear</v>
          </cell>
          <cell r="AJ163">
            <v>3370645.7774285357</v>
          </cell>
          <cell r="AK163">
            <v>731375.68529183953</v>
          </cell>
          <cell r="AL163">
            <v>13656.869432219999</v>
          </cell>
          <cell r="AM163">
            <v>312752.60922890017</v>
          </cell>
          <cell r="AN163">
            <v>83585.869415160021</v>
          </cell>
          <cell r="AO163" t="str">
            <v>Fixed Price</v>
          </cell>
          <cell r="AP163">
            <v>3452997.8973821141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1995</v>
          </cell>
          <cell r="AX163" t="str">
            <v>PdE</v>
          </cell>
          <cell r="AY163">
            <v>7721.8885319178662</v>
          </cell>
          <cell r="AZ163">
            <v>5599.5</v>
          </cell>
          <cell r="BA163">
            <v>0</v>
          </cell>
          <cell r="BB163">
            <v>447.12948735856969</v>
          </cell>
          <cell r="BC163">
            <v>5528.1</v>
          </cell>
          <cell r="BD163" t="str">
            <v/>
          </cell>
          <cell r="BE163">
            <v>2181318262015.4731</v>
          </cell>
          <cell r="BF163">
            <v>1.0764605048778473</v>
          </cell>
        </row>
        <row r="164">
          <cell r="A164" t="str">
            <v>TACTICAL TOMAHAWK</v>
          </cell>
          <cell r="B164">
            <v>4076.4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 t="str">
            <v/>
          </cell>
          <cell r="H164">
            <v>0</v>
          </cell>
          <cell r="I164">
            <v>0</v>
          </cell>
          <cell r="J164">
            <v>0</v>
          </cell>
          <cell r="K164">
            <v>2501.9</v>
          </cell>
          <cell r="L164">
            <v>492.833055</v>
          </cell>
          <cell r="M164">
            <v>324.989011</v>
          </cell>
          <cell r="N164">
            <v>84.808452000000003</v>
          </cell>
          <cell r="O164">
            <v>406.003828</v>
          </cell>
          <cell r="P164">
            <v>58.994293910000003</v>
          </cell>
          <cell r="Q164">
            <v>39.364230290000002</v>
          </cell>
          <cell r="R164">
            <v>3.6000000000000001E-5</v>
          </cell>
          <cell r="S164">
            <v>298.36796455000001</v>
          </cell>
          <cell r="T164" t="str">
            <v/>
          </cell>
          <cell r="U164" t="str">
            <v/>
          </cell>
          <cell r="V164" t="str">
            <v/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>
            <v>166.10685133999999</v>
          </cell>
          <cell r="AC164">
            <v>72.887981069999995</v>
          </cell>
          <cell r="AD164">
            <v>0.24083299999999999</v>
          </cell>
          <cell r="AE164">
            <v>8.4424242599999992</v>
          </cell>
          <cell r="AF164">
            <v>-2.4535999999999999E-2</v>
          </cell>
          <cell r="AG164">
            <v>1457.7073170799999</v>
          </cell>
          <cell r="AH164">
            <v>0</v>
          </cell>
          <cell r="AI164" t="str">
            <v>None</v>
          </cell>
          <cell r="AJ164">
            <v>1700.4136090999998</v>
          </cell>
          <cell r="AK164">
            <v>322.68751411</v>
          </cell>
          <cell r="AL164">
            <v>0</v>
          </cell>
          <cell r="AM164">
            <v>38.734900279999998</v>
          </cell>
          <cell r="AN164">
            <v>0.86679300000000004</v>
          </cell>
          <cell r="AO164" t="str">
            <v>Fixed Price</v>
          </cell>
          <cell r="AP164">
            <v>4076.4</v>
          </cell>
          <cell r="AQ164">
            <v>289</v>
          </cell>
          <cell r="AR164" t="str">
            <v>None</v>
          </cell>
          <cell r="AS164" t="str">
            <v>Navy</v>
          </cell>
          <cell r="AT164" t="str">
            <v>Munitions</v>
          </cell>
          <cell r="AU164" t="str">
            <v>Raytheon</v>
          </cell>
          <cell r="AV164">
            <v>0</v>
          </cell>
          <cell r="AW164">
            <v>1999</v>
          </cell>
          <cell r="AX164" t="str">
            <v>PdE</v>
          </cell>
          <cell r="AY164">
            <v>3904.6557377049185</v>
          </cell>
          <cell r="AZ164">
            <v>3290.3</v>
          </cell>
          <cell r="BA164">
            <v>297.60000000000002</v>
          </cell>
          <cell r="BB164">
            <v>1341.7704918032789</v>
          </cell>
          <cell r="BC164">
            <v>2977.3</v>
          </cell>
          <cell r="BD164" t="str">
            <v/>
          </cell>
          <cell r="BE164">
            <v>1888082562.2121046</v>
          </cell>
          <cell r="BF164">
            <v>1.1071454696751342</v>
          </cell>
        </row>
        <row r="165">
          <cell r="A165" t="str">
            <v>T-AKE</v>
          </cell>
          <cell r="B165">
            <v>6841.5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 t="str">
            <v/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19.894197999999999</v>
          </cell>
          <cell r="P165">
            <v>25.60577</v>
          </cell>
          <cell r="Q165">
            <v>33.728406379999996</v>
          </cell>
          <cell r="R165">
            <v>2.0999999999999999E-5</v>
          </cell>
          <cell r="S165">
            <v>46.082736849999996</v>
          </cell>
          <cell r="T165" t="str">
            <v/>
          </cell>
          <cell r="U165" t="str">
            <v/>
          </cell>
          <cell r="V165" t="str">
            <v/>
          </cell>
          <cell r="W165" t="str">
            <v/>
          </cell>
          <cell r="X165" t="str">
            <v/>
          </cell>
          <cell r="Y165" t="str">
            <v/>
          </cell>
          <cell r="Z165" t="str">
            <v/>
          </cell>
          <cell r="AA165" t="str">
            <v/>
          </cell>
          <cell r="AB165">
            <v>8.5406549999999992</v>
          </cell>
          <cell r="AC165">
            <v>99.027822379999989</v>
          </cell>
          <cell r="AD165">
            <v>3.14100745</v>
          </cell>
          <cell r="AE165">
            <v>4.8671411500000001</v>
          </cell>
          <cell r="AF165">
            <v>0</v>
          </cell>
          <cell r="AG165">
            <v>9.7345062500000008</v>
          </cell>
          <cell r="AH165">
            <v>0</v>
          </cell>
          <cell r="AI165" t="str">
            <v>Full and Open -Single Bidder</v>
          </cell>
          <cell r="AJ165">
            <v>84.475944389999981</v>
          </cell>
          <cell r="AK165">
            <v>126.36641437999999</v>
          </cell>
          <cell r="AL165">
            <v>0</v>
          </cell>
          <cell r="AM165">
            <v>4.0488799999999996</v>
          </cell>
          <cell r="AN165">
            <v>0</v>
          </cell>
          <cell r="AO165" t="str">
            <v>Cost (All Other; Including Time and Materials and Labor)</v>
          </cell>
          <cell r="AP165">
            <v>6841.5</v>
          </cell>
          <cell r="AQ165">
            <v>592</v>
          </cell>
          <cell r="AR165" t="str">
            <v>None</v>
          </cell>
          <cell r="AS165" t="str">
            <v>Navy</v>
          </cell>
          <cell r="AT165">
            <v>0</v>
          </cell>
          <cell r="AU165" t="str">
            <v>General Dynamics (NASSCO)</v>
          </cell>
          <cell r="AV165">
            <v>0</v>
          </cell>
          <cell r="AW165">
            <v>2000</v>
          </cell>
          <cell r="AX165" t="str">
            <v>PdE</v>
          </cell>
          <cell r="AY165">
            <v>5481.7386831275717</v>
          </cell>
          <cell r="AZ165">
            <v>4890.2</v>
          </cell>
          <cell r="BA165">
            <v>18</v>
          </cell>
          <cell r="BB165">
            <v>493.18415637860079</v>
          </cell>
          <cell r="BC165">
            <v>4262.6000000000004</v>
          </cell>
          <cell r="BD165" t="str">
            <v/>
          </cell>
          <cell r="BE165">
            <v>129862845.62966867</v>
          </cell>
          <cell r="BF165">
            <v>1.0363232964116413</v>
          </cell>
        </row>
        <row r="166">
          <cell r="A166" t="str">
            <v>TRIDENT II</v>
          </cell>
          <cell r="B166">
            <v>33457.699999999997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 t="str">
            <v/>
          </cell>
          <cell r="H166">
            <v>0</v>
          </cell>
          <cell r="I166">
            <v>0</v>
          </cell>
          <cell r="J166">
            <v>0</v>
          </cell>
          <cell r="K166">
            <v>4907.7</v>
          </cell>
          <cell r="L166">
            <v>693.62902699999995</v>
          </cell>
          <cell r="M166">
            <v>1354.668672</v>
          </cell>
          <cell r="N166">
            <v>24.018823000000001</v>
          </cell>
          <cell r="O166">
            <v>1805.6121490999999</v>
          </cell>
          <cell r="P166">
            <v>25.181803850000001</v>
          </cell>
          <cell r="Q166">
            <v>27.074522000000002</v>
          </cell>
          <cell r="R166">
            <v>1.6699999999999999E-4</v>
          </cell>
          <cell r="S166">
            <v>1633.2273678299994</v>
          </cell>
          <cell r="T166" t="str">
            <v/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>
            <v>180.45560810000003</v>
          </cell>
          <cell r="AC166">
            <v>48.3907241</v>
          </cell>
          <cell r="AD166">
            <v>7.3053008500000001</v>
          </cell>
          <cell r="AE166">
            <v>29.260228609999999</v>
          </cell>
          <cell r="AF166">
            <v>50.749429219999996</v>
          </cell>
          <cell r="AG166">
            <v>5247.2400823999997</v>
          </cell>
          <cell r="AH166">
            <v>1.11585E-2</v>
          </cell>
          <cell r="AI166" t="str">
            <v>None</v>
          </cell>
          <cell r="AJ166">
            <v>1230.1815006900001</v>
          </cell>
          <cell r="AK166">
            <v>5539.2270367499996</v>
          </cell>
          <cell r="AL166">
            <v>1.8638555800000001</v>
          </cell>
          <cell r="AM166">
            <v>508.33452291000003</v>
          </cell>
          <cell r="AN166">
            <v>22.854587819999999</v>
          </cell>
          <cell r="AO166" t="str">
            <v>Cost (All Other; Including Time and Materials and Labor)</v>
          </cell>
          <cell r="AP166">
            <v>33457.699999999997</v>
          </cell>
          <cell r="AQ166">
            <v>178</v>
          </cell>
          <cell r="AR166" t="str">
            <v>None</v>
          </cell>
          <cell r="AS166" t="str">
            <v>Navy</v>
          </cell>
          <cell r="AT166" t="str">
            <v>Missile</v>
          </cell>
          <cell r="AU166" t="str">
            <v>Lockheed Martin</v>
          </cell>
          <cell r="AV166">
            <v>0</v>
          </cell>
          <cell r="AW166">
            <v>1983</v>
          </cell>
          <cell r="AX166" t="str">
            <v>PdE</v>
          </cell>
          <cell r="AY166">
            <v>52638.850346878091</v>
          </cell>
          <cell r="AZ166">
            <v>35518.5</v>
          </cell>
          <cell r="BA166">
            <v>1049.3</v>
          </cell>
          <cell r="BB166">
            <v>7036.4717542120907</v>
          </cell>
          <cell r="BC166">
            <v>26556.3</v>
          </cell>
          <cell r="BD166" t="str">
            <v/>
          </cell>
          <cell r="BE166">
            <v>6044699942.4781227</v>
          </cell>
          <cell r="BF166">
            <v>1.0865093875294802</v>
          </cell>
        </row>
        <row r="167">
          <cell r="A167" t="str">
            <v>TSAT</v>
          </cell>
          <cell r="B167">
            <v>1904</v>
          </cell>
          <cell r="C167">
            <v>0</v>
          </cell>
          <cell r="D167">
            <v>0</v>
          </cell>
          <cell r="E167">
            <v>835.8</v>
          </cell>
          <cell r="F167">
            <v>1068.2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16113.6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 t="str">
            <v/>
          </cell>
          <cell r="U167" t="str">
            <v/>
          </cell>
          <cell r="V167">
            <v>0</v>
          </cell>
          <cell r="W167">
            <v>0</v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Missing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 t="str">
            <v>Missing</v>
          </cell>
          <cell r="AP167">
            <v>1904</v>
          </cell>
          <cell r="AQ167">
            <v>382</v>
          </cell>
          <cell r="AR167" t="str">
            <v>None</v>
          </cell>
          <cell r="AS167" t="str">
            <v>Air Force</v>
          </cell>
          <cell r="AT167">
            <v>0</v>
          </cell>
          <cell r="AU167" t="str">
            <v>Lockheed/Boeing</v>
          </cell>
          <cell r="AV167">
            <v>0</v>
          </cell>
          <cell r="AW167">
            <v>2002</v>
          </cell>
          <cell r="AX167" t="str">
            <v>DE</v>
          </cell>
          <cell r="AY167">
            <v>19218.046971569838</v>
          </cell>
          <cell r="AZ167">
            <v>17661.3</v>
          </cell>
          <cell r="BA167">
            <v>0</v>
          </cell>
          <cell r="BB167">
            <v>-224.22744128553768</v>
          </cell>
          <cell r="BC167">
            <v>15547.4</v>
          </cell>
          <cell r="BD167" t="str">
            <v/>
          </cell>
          <cell r="BE167">
            <v>0</v>
          </cell>
          <cell r="BF167" t="e">
            <v>#DIV/0!</v>
          </cell>
        </row>
        <row r="168">
          <cell r="A168" t="str">
            <v>UH-60M</v>
          </cell>
          <cell r="B168">
            <v>8169.6</v>
          </cell>
          <cell r="C168" t="str">
            <v/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>
            <v>0</v>
          </cell>
          <cell r="J168">
            <v>0</v>
          </cell>
          <cell r="K168">
            <v>17771.3</v>
          </cell>
          <cell r="L168">
            <v>204041.18677536995</v>
          </cell>
          <cell r="M168">
            <v>232158.67761350988</v>
          </cell>
          <cell r="N168">
            <v>285001.14913036983</v>
          </cell>
          <cell r="O168">
            <v>269313.55681396055</v>
          </cell>
          <cell r="P168">
            <v>358084.57709169737</v>
          </cell>
          <cell r="Q168">
            <v>377899.75884614955</v>
          </cell>
          <cell r="R168">
            <v>4.2419999999999999E-2</v>
          </cell>
          <cell r="S168">
            <v>299881.25952939951</v>
          </cell>
          <cell r="T168" t="str">
            <v/>
          </cell>
          <cell r="U168" t="str">
            <v/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>
            <v>866479.76275145903</v>
          </cell>
          <cell r="AC168">
            <v>212923.54556321035</v>
          </cell>
          <cell r="AD168">
            <v>199196.32976570804</v>
          </cell>
          <cell r="AE168">
            <v>46994.841220860013</v>
          </cell>
          <cell r="AF168">
            <v>8296.3674329900005</v>
          </cell>
          <cell r="AG168">
            <v>691902.30516076973</v>
          </cell>
          <cell r="AH168">
            <v>587.05632546000004</v>
          </cell>
          <cell r="AI168" t="str">
            <v>Unclear</v>
          </cell>
          <cell r="AJ168">
            <v>1685322.8887142679</v>
          </cell>
          <cell r="AK168">
            <v>365687.84264591977</v>
          </cell>
          <cell r="AL168">
            <v>6828.4347161099995</v>
          </cell>
          <cell r="AM168">
            <v>156376.30461445008</v>
          </cell>
          <cell r="AN168">
            <v>41792.934707580011</v>
          </cell>
          <cell r="AO168" t="str">
            <v>Fixed Price</v>
          </cell>
          <cell r="AP168">
            <v>1726498.948691057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2005</v>
          </cell>
          <cell r="AX168" t="str">
            <v>PdE</v>
          </cell>
          <cell r="AY168">
            <v>19208.528638390304</v>
          </cell>
          <cell r="AZ168">
            <v>20847.099999999999</v>
          </cell>
          <cell r="BA168">
            <v>1697.5</v>
          </cell>
          <cell r="BB168">
            <v>2946.9532411112377</v>
          </cell>
          <cell r="BC168">
            <v>16801.7</v>
          </cell>
          <cell r="BD168" t="str">
            <v/>
          </cell>
          <cell r="BE168">
            <v>2181318262015.4731</v>
          </cell>
          <cell r="BF168">
            <v>1.0764605048778473</v>
          </cell>
        </row>
        <row r="169">
          <cell r="A169" t="str">
            <v>UH-60M Black Hawk Upgrade</v>
          </cell>
          <cell r="B169">
            <v>2539.8000000000002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1444.5</v>
          </cell>
          <cell r="H169">
            <v>1095.3</v>
          </cell>
          <cell r="I169">
            <v>0</v>
          </cell>
          <cell r="J169">
            <v>0</v>
          </cell>
          <cell r="K169">
            <v>19192.5</v>
          </cell>
          <cell r="L169">
            <v>126.264718</v>
          </cell>
          <cell r="M169">
            <v>240.28896</v>
          </cell>
          <cell r="N169">
            <v>99.122835439999989</v>
          </cell>
          <cell r="O169">
            <v>38.552878060000005</v>
          </cell>
          <cell r="P169">
            <v>17.19814439</v>
          </cell>
          <cell r="Q169">
            <v>12.231046660000001</v>
          </cell>
          <cell r="R169">
            <v>5.0000000000000004E-6</v>
          </cell>
          <cell r="S169">
            <v>11.60397324</v>
          </cell>
          <cell r="T169" t="str">
            <v/>
          </cell>
          <cell r="U169" t="str">
            <v/>
          </cell>
          <cell r="V169" t="str">
            <v/>
          </cell>
          <cell r="W169" t="str">
            <v/>
          </cell>
          <cell r="X169">
            <v>1.1905949733471789E-2</v>
          </cell>
          <cell r="Y169">
            <v>1.1166846215648682E-2</v>
          </cell>
          <cell r="Z169" t="str">
            <v/>
          </cell>
          <cell r="AA169" t="str">
            <v/>
          </cell>
          <cell r="AB169">
            <v>29.115744830000001</v>
          </cell>
          <cell r="AC169">
            <v>25.030286</v>
          </cell>
          <cell r="AD169">
            <v>16.079180000000001</v>
          </cell>
          <cell r="AE169">
            <v>0.14432300000000001</v>
          </cell>
          <cell r="AF169">
            <v>2.8379999999999998E-3</v>
          </cell>
          <cell r="AG169">
            <v>474.89018895999999</v>
          </cell>
          <cell r="AH169">
            <v>0</v>
          </cell>
          <cell r="AI169" t="str">
            <v>None</v>
          </cell>
          <cell r="AJ169">
            <v>117.56753247999998</v>
          </cell>
          <cell r="AK169">
            <v>399.48820735999999</v>
          </cell>
          <cell r="AL169">
            <v>0.44919669000000001</v>
          </cell>
          <cell r="AM169">
            <v>0.57269999999999999</v>
          </cell>
          <cell r="AN169">
            <v>20.575113689999998</v>
          </cell>
          <cell r="AO169" t="str">
            <v>Cost (All Other; Including Time and Materials and Labor)</v>
          </cell>
          <cell r="AP169">
            <v>2539.8000000000002</v>
          </cell>
          <cell r="AQ169">
            <v>341</v>
          </cell>
          <cell r="AR169" t="str">
            <v>None</v>
          </cell>
          <cell r="AS169" t="str">
            <v>Army</v>
          </cell>
          <cell r="AT169" t="str">
            <v>Helicopter</v>
          </cell>
          <cell r="AU169" t="str">
            <v>Sikorsky Aircraft Corporation (UTC)</v>
          </cell>
          <cell r="AV169">
            <v>0</v>
          </cell>
          <cell r="AW169">
            <v>2005</v>
          </cell>
          <cell r="AX169" t="str">
            <v>PdE</v>
          </cell>
          <cell r="AY169">
            <v>19208.528638390304</v>
          </cell>
          <cell r="AZ169">
            <v>20847.099999999999</v>
          </cell>
          <cell r="BA169">
            <v>0</v>
          </cell>
          <cell r="BB169">
            <v>1156.3964787927289</v>
          </cell>
          <cell r="BC169">
            <v>16801.7</v>
          </cell>
          <cell r="BD169" t="str">
            <v/>
          </cell>
          <cell r="BE169">
            <v>619084475.39173663</v>
          </cell>
          <cell r="BF169">
            <v>1.1353878294793984</v>
          </cell>
        </row>
        <row r="170">
          <cell r="A170" t="str">
            <v>V-22</v>
          </cell>
          <cell r="B170">
            <v>35086.800000000003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 t="str">
            <v/>
          </cell>
          <cell r="H170">
            <v>0</v>
          </cell>
          <cell r="I170">
            <v>0</v>
          </cell>
          <cell r="J170">
            <v>0</v>
          </cell>
          <cell r="K170">
            <v>13395.3</v>
          </cell>
          <cell r="L170">
            <v>299.84661699999998</v>
          </cell>
          <cell r="M170">
            <v>1417.027081</v>
          </cell>
          <cell r="N170">
            <v>523.92974600000002</v>
          </cell>
          <cell r="O170">
            <v>2283.3405232799996</v>
          </cell>
          <cell r="P170">
            <v>381.17447406000002</v>
          </cell>
          <cell r="Q170">
            <v>96.836051799999979</v>
          </cell>
          <cell r="R170">
            <v>1.08E-4</v>
          </cell>
          <cell r="S170">
            <v>2937.9358161099995</v>
          </cell>
          <cell r="T170" t="str">
            <v/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>
            <v>373.81278970000005</v>
          </cell>
          <cell r="AC170">
            <v>396.46728661999987</v>
          </cell>
          <cell r="AD170">
            <v>2.1397130099999999</v>
          </cell>
          <cell r="AE170">
            <v>23.04879463</v>
          </cell>
          <cell r="AF170">
            <v>0</v>
          </cell>
          <cell r="AG170">
            <v>7144.6218332900007</v>
          </cell>
          <cell r="AH170">
            <v>0</v>
          </cell>
          <cell r="AI170" t="str">
            <v>None</v>
          </cell>
          <cell r="AJ170">
            <v>8618.6604773300005</v>
          </cell>
          <cell r="AK170">
            <v>1812.2631402000002</v>
          </cell>
          <cell r="AL170">
            <v>-0.23539364000000101</v>
          </cell>
          <cell r="AM170">
            <v>414.8815146</v>
          </cell>
          <cell r="AN170">
            <v>58.058734840000007</v>
          </cell>
          <cell r="AO170" t="str">
            <v>Fixed Price</v>
          </cell>
          <cell r="AP170">
            <v>35086.800000000003</v>
          </cell>
          <cell r="AQ170">
            <v>212</v>
          </cell>
          <cell r="AR170" t="str">
            <v>None</v>
          </cell>
          <cell r="AS170" t="str">
            <v>Navy</v>
          </cell>
          <cell r="AT170" t="str">
            <v>Fixed Wing</v>
          </cell>
          <cell r="AU170" t="str">
            <v>Bell Helicopter (Textron)</v>
          </cell>
          <cell r="AV170" t="str">
            <v>Boeing</v>
          </cell>
          <cell r="AW170">
            <v>2005</v>
          </cell>
          <cell r="AX170" t="str">
            <v>PdE</v>
          </cell>
          <cell r="AY170">
            <v>57448.725277237907</v>
          </cell>
          <cell r="AZ170">
            <v>53253.4</v>
          </cell>
          <cell r="BA170">
            <v>2925.7</v>
          </cell>
          <cell r="BB170">
            <v>-1643.6492511718304</v>
          </cell>
          <cell r="BC170">
            <v>50250.400000000001</v>
          </cell>
          <cell r="BD170" t="str">
            <v/>
          </cell>
          <cell r="BE170">
            <v>8482617785.5916138</v>
          </cell>
          <cell r="BF170">
            <v>1.0683276058372033</v>
          </cell>
        </row>
        <row r="171">
          <cell r="A171" t="str">
            <v>VH-71</v>
          </cell>
          <cell r="B171">
            <v>1273.2</v>
          </cell>
          <cell r="C171" t="str">
            <v/>
          </cell>
          <cell r="D171" t="str">
            <v/>
          </cell>
          <cell r="E171">
            <v>0</v>
          </cell>
          <cell r="F171">
            <v>0</v>
          </cell>
          <cell r="G171">
            <v>225.4</v>
          </cell>
          <cell r="H171">
            <v>1047.8</v>
          </cell>
          <cell r="I171">
            <v>0</v>
          </cell>
          <cell r="J171">
            <v>0</v>
          </cell>
          <cell r="K171">
            <v>3042.3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 t="str">
            <v/>
          </cell>
          <cell r="U171" t="str">
            <v/>
          </cell>
          <cell r="V171" t="str">
            <v/>
          </cell>
          <cell r="W171" t="str">
            <v/>
          </cell>
          <cell r="X171">
            <v>0</v>
          </cell>
          <cell r="Y171">
            <v>0</v>
          </cell>
          <cell r="Z171" t="str">
            <v/>
          </cell>
          <cell r="AA171" t="str">
            <v/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Missing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 t="str">
            <v>Missing</v>
          </cell>
          <cell r="AP171">
            <v>1273.2</v>
          </cell>
          <cell r="AQ171">
            <v>392</v>
          </cell>
          <cell r="AR171" t="str">
            <v>None</v>
          </cell>
          <cell r="AS171" t="str">
            <v>Navy</v>
          </cell>
          <cell r="AT171" t="str">
            <v>Helicopter</v>
          </cell>
          <cell r="AU171" t="str">
            <v>Lockheed Martin</v>
          </cell>
          <cell r="AV171">
            <v>0</v>
          </cell>
          <cell r="AW171">
            <v>2003</v>
          </cell>
          <cell r="AX171" t="str">
            <v>DE</v>
          </cell>
          <cell r="AY171">
            <v>6845.3807967066232</v>
          </cell>
          <cell r="AZ171">
            <v>6547.3</v>
          </cell>
          <cell r="BA171">
            <v>0</v>
          </cell>
          <cell r="BB171">
            <v>-366.38818258869111</v>
          </cell>
          <cell r="BC171">
            <v>5653.6</v>
          </cell>
          <cell r="BD171" t="str">
            <v/>
          </cell>
          <cell r="BE171">
            <v>0</v>
          </cell>
          <cell r="BF171" t="e">
            <v>#DIV/0!</v>
          </cell>
        </row>
        <row r="172">
          <cell r="A172" t="str">
            <v>VTUAV</v>
          </cell>
          <cell r="B172">
            <v>948.5</v>
          </cell>
          <cell r="C172" t="str">
            <v/>
          </cell>
          <cell r="D172" t="str">
            <v/>
          </cell>
          <cell r="E172" t="str">
            <v/>
          </cell>
          <cell r="F172">
            <v>0</v>
          </cell>
          <cell r="G172" t="str">
            <v/>
          </cell>
          <cell r="H172">
            <v>0</v>
          </cell>
          <cell r="I172">
            <v>0</v>
          </cell>
          <cell r="J172">
            <v>0</v>
          </cell>
          <cell r="K172">
            <v>1856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 t="str">
            <v/>
          </cell>
          <cell r="U172" t="str">
            <v/>
          </cell>
          <cell r="V172" t="str">
            <v/>
          </cell>
          <cell r="W172" t="str">
            <v/>
          </cell>
          <cell r="X172" t="str">
            <v/>
          </cell>
          <cell r="Y172" t="str">
            <v/>
          </cell>
          <cell r="Z172" t="str">
            <v/>
          </cell>
          <cell r="AA172" t="str">
            <v/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Missing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 t="str">
            <v>Missing</v>
          </cell>
          <cell r="AP172">
            <v>948.5</v>
          </cell>
          <cell r="AQ172">
            <v>253</v>
          </cell>
          <cell r="AR172" t="str">
            <v>None</v>
          </cell>
          <cell r="AS172" t="str">
            <v>Navy</v>
          </cell>
          <cell r="AT172">
            <v>0</v>
          </cell>
          <cell r="AU172" t="str">
            <v>Northrop Grumman</v>
          </cell>
          <cell r="AV172">
            <v>0</v>
          </cell>
          <cell r="AW172">
            <v>2006</v>
          </cell>
          <cell r="AX172" t="str">
            <v>PdE</v>
          </cell>
          <cell r="AY172">
            <v>2615.6737039902732</v>
          </cell>
          <cell r="AZ172">
            <v>2787.1</v>
          </cell>
          <cell r="BA172">
            <v>44.2</v>
          </cell>
          <cell r="BB172">
            <v>-73.394495412844051</v>
          </cell>
          <cell r="BC172">
            <v>2366.4</v>
          </cell>
          <cell r="BD172" t="str">
            <v/>
          </cell>
          <cell r="BE172">
            <v>0</v>
          </cell>
          <cell r="BF172" t="e">
            <v>#DIV/0!</v>
          </cell>
        </row>
        <row r="173">
          <cell r="A173" t="str">
            <v>WGS</v>
          </cell>
          <cell r="B173">
            <v>2679.3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 t="str">
            <v/>
          </cell>
          <cell r="H173">
            <v>0</v>
          </cell>
          <cell r="I173">
            <v>0</v>
          </cell>
          <cell r="J173">
            <v>0</v>
          </cell>
          <cell r="K173">
            <v>359.4</v>
          </cell>
          <cell r="L173">
            <v>0.90634800000000004</v>
          </cell>
          <cell r="M173">
            <v>17.765785999999999</v>
          </cell>
          <cell r="N173">
            <v>12.1449</v>
          </cell>
          <cell r="O173">
            <v>424.28547300000002</v>
          </cell>
          <cell r="P173">
            <v>24.138102780000001</v>
          </cell>
          <cell r="Q173">
            <v>7.9399896200000013</v>
          </cell>
          <cell r="R173">
            <v>6.9999999999999999E-6</v>
          </cell>
          <cell r="S173">
            <v>540.38534561000006</v>
          </cell>
          <cell r="T173" t="str">
            <v/>
          </cell>
          <cell r="U173" t="str">
            <v/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>
            <v>35.875765999999999</v>
          </cell>
          <cell r="AC173">
            <v>42.446643399999999</v>
          </cell>
          <cell r="AD173">
            <v>9.5322279999999999</v>
          </cell>
          <cell r="AE173">
            <v>8.1871343200000002</v>
          </cell>
          <cell r="AF173">
            <v>0</v>
          </cell>
          <cell r="AG173">
            <v>931.52418029</v>
          </cell>
          <cell r="AH173">
            <v>0</v>
          </cell>
          <cell r="AI173" t="str">
            <v>None</v>
          </cell>
          <cell r="AJ173">
            <v>1208.80136662</v>
          </cell>
          <cell r="AK173">
            <v>38.431187399999999</v>
          </cell>
          <cell r="AL173">
            <v>1.2938229999999999</v>
          </cell>
          <cell r="AM173">
            <v>0.19131500000000001</v>
          </cell>
          <cell r="AN173">
            <v>3.3158627900000002</v>
          </cell>
          <cell r="AO173" t="str">
            <v>Fixed Price</v>
          </cell>
          <cell r="AP173">
            <v>2679.3</v>
          </cell>
          <cell r="AQ173">
            <v>326</v>
          </cell>
          <cell r="AR173" t="str">
            <v>None</v>
          </cell>
          <cell r="AS173" t="str">
            <v>Air Force</v>
          </cell>
          <cell r="AT173">
            <v>0</v>
          </cell>
          <cell r="AU173" t="str">
            <v>Boeing</v>
          </cell>
          <cell r="AV173">
            <v>0</v>
          </cell>
          <cell r="AW173">
            <v>2010</v>
          </cell>
          <cell r="AX173" t="str">
            <v>PdE</v>
          </cell>
          <cell r="AY173">
            <v>3709.6475906709134</v>
          </cell>
          <cell r="AZ173">
            <v>3539.7</v>
          </cell>
          <cell r="BA173">
            <v>792.9</v>
          </cell>
          <cell r="BB173">
            <v>-102.53775814240214</v>
          </cell>
          <cell r="BC173">
            <v>3610.6</v>
          </cell>
          <cell r="BD173" t="str">
            <v/>
          </cell>
          <cell r="BE173">
            <v>1071527155.3493568</v>
          </cell>
          <cell r="BF173">
            <v>1.0427818800860083</v>
          </cell>
        </row>
        <row r="174">
          <cell r="A174" t="str">
            <v>WIN-T Increment 1</v>
          </cell>
          <cell r="B174">
            <v>3759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 t="str">
            <v/>
          </cell>
          <cell r="H174" t="str">
            <v/>
          </cell>
          <cell r="I174">
            <v>0</v>
          </cell>
          <cell r="J174">
            <v>0</v>
          </cell>
          <cell r="K174">
            <v>316.2</v>
          </cell>
          <cell r="L174">
            <v>7.6771640000000003</v>
          </cell>
          <cell r="M174">
            <v>58.067965000000001</v>
          </cell>
          <cell r="N174">
            <v>69.482997999999995</v>
          </cell>
          <cell r="O174">
            <v>4.9709247000000003</v>
          </cell>
          <cell r="P174">
            <v>7.4385640000000004</v>
          </cell>
          <cell r="Q174">
            <v>12.52799823</v>
          </cell>
          <cell r="R174">
            <v>5.0000000000000004E-6</v>
          </cell>
          <cell r="S174">
            <v>-5.0021570399999993</v>
          </cell>
          <cell r="T174" t="str">
            <v/>
          </cell>
          <cell r="U174" t="str">
            <v/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/>
          </cell>
          <cell r="AA174" t="str">
            <v/>
          </cell>
          <cell r="AB174">
            <v>149.97293488999998</v>
          </cell>
          <cell r="AC174">
            <v>2.3437389999999998</v>
          </cell>
          <cell r="AD174">
            <v>0.90091500000000002</v>
          </cell>
          <cell r="AE174">
            <v>0.186832</v>
          </cell>
          <cell r="AF174">
            <v>0</v>
          </cell>
          <cell r="AG174">
            <v>1.7590410000000001</v>
          </cell>
          <cell r="AH174">
            <v>0</v>
          </cell>
          <cell r="AI174" t="str">
            <v>Full and Open -Multiple Bidders</v>
          </cell>
          <cell r="AJ174">
            <v>156.87945009000001</v>
          </cell>
          <cell r="AK174">
            <v>2.0684459999999998</v>
          </cell>
          <cell r="AL174">
            <v>0</v>
          </cell>
          <cell r="AM174">
            <v>-5.0535870399999991</v>
          </cell>
          <cell r="AN174">
            <v>0.108942</v>
          </cell>
          <cell r="AO174" t="str">
            <v>Fixed Price</v>
          </cell>
          <cell r="AP174">
            <v>3759</v>
          </cell>
          <cell r="AQ174">
            <v>346</v>
          </cell>
          <cell r="AR174" t="str">
            <v>None</v>
          </cell>
          <cell r="AS174" t="str">
            <v>Army</v>
          </cell>
          <cell r="AT174">
            <v>0</v>
          </cell>
          <cell r="AU174" t="str">
            <v>General Dynamics</v>
          </cell>
          <cell r="AV174">
            <v>0</v>
          </cell>
          <cell r="AW174">
            <v>2007</v>
          </cell>
          <cell r="AX174" t="str">
            <v>PdE</v>
          </cell>
          <cell r="AY174">
            <v>4075.5445863290056</v>
          </cell>
          <cell r="AZ174">
            <v>3879.7</v>
          </cell>
          <cell r="BA174">
            <v>48</v>
          </cell>
          <cell r="BB174">
            <v>-200.12876918124263</v>
          </cell>
          <cell r="BC174">
            <v>3798</v>
          </cell>
          <cell r="BD174" t="str">
            <v/>
          </cell>
          <cell r="BE174">
            <v>178369913.58730003</v>
          </cell>
          <cell r="BF174">
            <v>1.1495613169146213</v>
          </cell>
        </row>
        <row r="175">
          <cell r="A175" t="str">
            <v>WIN-T Increment 2</v>
          </cell>
          <cell r="B175">
            <v>1183.7</v>
          </cell>
          <cell r="C175" t="str">
            <v/>
          </cell>
          <cell r="D175" t="str">
            <v/>
          </cell>
          <cell r="E175" t="str">
            <v/>
          </cell>
          <cell r="F175">
            <v>0</v>
          </cell>
          <cell r="G175" t="str">
            <v/>
          </cell>
          <cell r="H175" t="str">
            <v/>
          </cell>
          <cell r="I175">
            <v>0</v>
          </cell>
          <cell r="J175">
            <v>0</v>
          </cell>
          <cell r="K175">
            <v>3651.5</v>
          </cell>
          <cell r="L175">
            <v>62.478867000000001</v>
          </cell>
          <cell r="M175">
            <v>178.49690699999999</v>
          </cell>
          <cell r="N175">
            <v>290.93316075000001</v>
          </cell>
          <cell r="O175">
            <v>267.0715612699999</v>
          </cell>
          <cell r="P175">
            <v>207.89996686000001</v>
          </cell>
          <cell r="Q175">
            <v>104.38308380999999</v>
          </cell>
          <cell r="R175">
            <v>8.5000000000000006E-5</v>
          </cell>
          <cell r="S175">
            <v>124.35786804999999</v>
          </cell>
          <cell r="T175" t="str">
            <v/>
          </cell>
          <cell r="U175" t="str">
            <v/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Z175" t="str">
            <v/>
          </cell>
          <cell r="AA175" t="str">
            <v/>
          </cell>
          <cell r="AB175">
            <v>937.11746275999997</v>
          </cell>
          <cell r="AC175">
            <v>136.18133866999997</v>
          </cell>
          <cell r="AD175">
            <v>109.47902447000001</v>
          </cell>
          <cell r="AE175">
            <v>4.3459737399999998</v>
          </cell>
          <cell r="AF175">
            <v>0</v>
          </cell>
          <cell r="AG175">
            <v>48.497700100000003</v>
          </cell>
          <cell r="AH175">
            <v>0</v>
          </cell>
          <cell r="AI175" t="str">
            <v>Full and Open -Multiple Bidders</v>
          </cell>
          <cell r="AJ175">
            <v>969.76069381999991</v>
          </cell>
          <cell r="AK175">
            <v>288.25692392999997</v>
          </cell>
          <cell r="AL175">
            <v>0</v>
          </cell>
          <cell r="AM175">
            <v>118.62110344999999</v>
          </cell>
          <cell r="AN175">
            <v>5.2872794000000001</v>
          </cell>
          <cell r="AO175" t="str">
            <v>Fixed Price</v>
          </cell>
          <cell r="AP175">
            <v>1183.7</v>
          </cell>
          <cell r="AQ175">
            <v>349</v>
          </cell>
          <cell r="AR175" t="str">
            <v>None</v>
          </cell>
          <cell r="AS175" t="str">
            <v>Army</v>
          </cell>
          <cell r="AT175">
            <v>0</v>
          </cell>
          <cell r="AU175" t="str">
            <v>General Dynamics</v>
          </cell>
          <cell r="AV175">
            <v>0</v>
          </cell>
          <cell r="AW175">
            <v>2010</v>
          </cell>
          <cell r="AX175" t="str">
            <v>PdE</v>
          </cell>
          <cell r="AY175">
            <v>4814.548443439844</v>
          </cell>
          <cell r="AZ175">
            <v>4996.8999999999996</v>
          </cell>
          <cell r="BA175">
            <v>837.4</v>
          </cell>
          <cell r="BB175">
            <v>-80.447960546594061</v>
          </cell>
          <cell r="BC175">
            <v>4686</v>
          </cell>
          <cell r="BD175" t="str">
            <v/>
          </cell>
          <cell r="BE175">
            <v>1338415838.1571999</v>
          </cell>
          <cell r="BF175">
            <v>1.0831924164793423</v>
          </cell>
        </row>
        <row r="176">
          <cell r="A176" t="str">
            <v>WIN-T Increment 3</v>
          </cell>
          <cell r="B176">
            <v>1260.5</v>
          </cell>
          <cell r="C176" t="str">
            <v/>
          </cell>
          <cell r="D176" t="str">
            <v/>
          </cell>
          <cell r="E176" t="str">
            <v/>
          </cell>
          <cell r="F176" t="str">
            <v/>
          </cell>
          <cell r="G176" t="str">
            <v/>
          </cell>
          <cell r="H176" t="str">
            <v/>
          </cell>
          <cell r="I176">
            <v>0</v>
          </cell>
          <cell r="J176">
            <v>0</v>
          </cell>
          <cell r="K176">
            <v>12747</v>
          </cell>
          <cell r="L176">
            <v>0</v>
          </cell>
          <cell r="M176">
            <v>1.5716000000000001E-2</v>
          </cell>
          <cell r="N176">
            <v>5.5580999999999998E-2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 t="str">
            <v/>
          </cell>
          <cell r="U176" t="str">
            <v/>
          </cell>
          <cell r="V176" t="str">
            <v/>
          </cell>
          <cell r="W176" t="str">
            <v/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>
            <v>0</v>
          </cell>
          <cell r="AC176">
            <v>7.1296999999999999E-2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Full and Open -Single Bidder</v>
          </cell>
          <cell r="AJ176">
            <v>5.5580999999999998E-2</v>
          </cell>
          <cell r="AK176">
            <v>0</v>
          </cell>
          <cell r="AL176">
            <v>0</v>
          </cell>
          <cell r="AM176">
            <v>0</v>
          </cell>
          <cell r="AN176">
            <v>1.5716000000000001E-2</v>
          </cell>
          <cell r="AO176" t="str">
            <v>Fixed Price</v>
          </cell>
          <cell r="AP176">
            <v>1260.5</v>
          </cell>
          <cell r="AQ176">
            <v>350</v>
          </cell>
          <cell r="AR176" t="str">
            <v>None</v>
          </cell>
          <cell r="AS176" t="str">
            <v>Army</v>
          </cell>
          <cell r="AT176">
            <v>0</v>
          </cell>
          <cell r="AU176" t="str">
            <v>General Dynamics</v>
          </cell>
          <cell r="AV176">
            <v>0</v>
          </cell>
          <cell r="AW176">
            <v>2009</v>
          </cell>
          <cell r="AX176" t="str">
            <v>DE</v>
          </cell>
          <cell r="AY176">
            <v>16364.285714285714</v>
          </cell>
          <cell r="AZ176">
            <v>18813.2</v>
          </cell>
          <cell r="BA176">
            <v>172.8</v>
          </cell>
          <cell r="BB176">
            <v>-1434.7826086956522</v>
          </cell>
          <cell r="BC176">
            <v>15807.9</v>
          </cell>
          <cell r="BD176" t="str">
            <v/>
          </cell>
          <cell r="BE176">
            <v>79403.138158793197</v>
          </cell>
          <cell r="BF176">
            <v>1.1136953610782108</v>
          </cell>
        </row>
        <row r="177">
          <cell r="AB177" t="str">
            <v>Full and Open -Multiple Bidders</v>
          </cell>
          <cell r="AC177" t="str">
            <v>Full and Open -Single Bidder</v>
          </cell>
          <cell r="AD177" t="str">
            <v>Partial -Multiple Bidders</v>
          </cell>
          <cell r="AE177" t="str">
            <v>Partial -Single Bidder</v>
          </cell>
          <cell r="AF177" t="str">
            <v>Follow-On</v>
          </cell>
          <cell r="AG177" t="str">
            <v>None</v>
          </cell>
          <cell r="AH177" t="str">
            <v>Unclear Competition</v>
          </cell>
          <cell r="AJ177" t="str">
            <v>Fixed Price</v>
          </cell>
          <cell r="AK177" t="str">
            <v>Cost (All Other; Including Time and Materials and Labor)</v>
          </cell>
          <cell r="AL177" t="str">
            <v>Combination</v>
          </cell>
          <cell r="AM177" t="str">
            <v>Cost Plus Award/Incentive</v>
          </cell>
          <cell r="AN177" t="str">
            <v>Unclear Type</v>
          </cell>
        </row>
        <row r="178">
          <cell r="T178">
            <v>2</v>
          </cell>
          <cell r="U178">
            <v>2</v>
          </cell>
          <cell r="V178">
            <v>8</v>
          </cell>
          <cell r="W178">
            <v>8</v>
          </cell>
          <cell r="X178">
            <v>13</v>
          </cell>
          <cell r="Y178">
            <v>9</v>
          </cell>
          <cell r="Z178">
            <v>0</v>
          </cell>
          <cell r="AB178">
            <v>60734063.480948582</v>
          </cell>
          <cell r="AC178">
            <v>14911468.958194431</v>
          </cell>
          <cell r="AD178">
            <v>13953091.964959107</v>
          </cell>
          <cell r="AE178">
            <v>3292714.7434791778</v>
          </cell>
          <cell r="AF178">
            <v>582954.44199856964</v>
          </cell>
          <cell r="AG178">
            <v>48584886.371199153</v>
          </cell>
          <cell r="AH178">
            <v>41094.787320699957</v>
          </cell>
          <cell r="AJ178">
            <v>118179912.20650004</v>
          </cell>
          <cell r="AK178">
            <v>25657553.146986868</v>
          </cell>
          <cell r="AL178">
            <v>483846.75197269011</v>
          </cell>
          <cell r="AM178">
            <v>10967076.228976158</v>
          </cell>
          <cell r="AN178">
            <v>2931378.8237062404</v>
          </cell>
          <cell r="AQ178">
            <v>0.5</v>
          </cell>
        </row>
        <row r="179">
          <cell r="B179">
            <v>1071020.4999999998</v>
          </cell>
          <cell r="C179">
            <v>1383.1000000000001</v>
          </cell>
          <cell r="D179">
            <v>1694.6</v>
          </cell>
          <cell r="E179">
            <v>10422.9</v>
          </cell>
          <cell r="F179">
            <v>11886</v>
          </cell>
          <cell r="L179">
            <v>14299860.732649628</v>
          </cell>
          <cell r="M179">
            <v>16282753.79620949</v>
          </cell>
          <cell r="N179">
            <v>19967353.882144403</v>
          </cell>
          <cell r="O179">
            <v>18916892.501072105</v>
          </cell>
          <cell r="P179">
            <v>25113745.353118911</v>
          </cell>
          <cell r="Q179">
            <v>26469378.257635925</v>
          </cell>
          <cell r="R179">
            <v>2.9730319999999959</v>
          </cell>
          <cell r="Y179">
            <v>8</v>
          </cell>
          <cell r="Z179">
            <v>0</v>
          </cell>
          <cell r="AQ179">
            <v>1</v>
          </cell>
        </row>
        <row r="180">
          <cell r="Y180">
            <v>8</v>
          </cell>
          <cell r="Z180">
            <v>0</v>
          </cell>
          <cell r="AQ180">
            <v>1.33</v>
          </cell>
        </row>
        <row r="181">
          <cell r="Q181">
            <v>121049984.52283046</v>
          </cell>
          <cell r="R181">
            <v>106750126.76321283</v>
          </cell>
          <cell r="Y181">
            <v>10</v>
          </cell>
          <cell r="Z181">
            <v>0</v>
          </cell>
          <cell r="AH181">
            <v>142100274.74809971</v>
          </cell>
          <cell r="AN181">
            <v>158219767.15814197</v>
          </cell>
          <cell r="AQ181">
            <v>0.33333000000000002</v>
          </cell>
        </row>
      </sheetData>
      <sheetData sheetId="6">
        <row r="2">
          <cell r="A2" t="str">
            <v>Shorthand</v>
          </cell>
          <cell r="B2" t="str">
            <v>Program name</v>
          </cell>
          <cell r="C2" t="str">
            <v>Pretty Name</v>
          </cell>
          <cell r="D2" t="str">
            <v>GAO Name</v>
          </cell>
          <cell r="E2">
            <v>2000</v>
          </cell>
          <cell r="F2">
            <v>2001</v>
          </cell>
          <cell r="G2">
            <v>2002</v>
          </cell>
          <cell r="H2">
            <v>2003</v>
          </cell>
          <cell r="I2">
            <v>2004</v>
          </cell>
          <cell r="J2">
            <v>2005</v>
          </cell>
          <cell r="K2">
            <v>2006</v>
          </cell>
          <cell r="L2">
            <v>2007</v>
          </cell>
          <cell r="M2">
            <v>2008</v>
          </cell>
          <cell r="N2">
            <v>2009</v>
          </cell>
          <cell r="O2">
            <v>2010</v>
          </cell>
          <cell r="P2">
            <v>2011</v>
          </cell>
          <cell r="Q2">
            <v>2012</v>
          </cell>
          <cell r="R2">
            <v>2013</v>
          </cell>
          <cell r="S2">
            <v>2014</v>
          </cell>
          <cell r="T2" t="str">
            <v>Shorthand</v>
          </cell>
          <cell r="V2" t="str">
            <v>(Lookup_Date_To_PNO)</v>
          </cell>
          <cell r="Z2" t="str">
            <v>(Lookup_PNO_Columns)</v>
          </cell>
        </row>
        <row r="3">
          <cell r="A3" t="str">
            <v>AB3 APACHE Block III</v>
          </cell>
          <cell r="B3" t="str">
            <v>AB3 APACHE Block III (Longbow Apache Block III)</v>
          </cell>
          <cell r="C3" t="str">
            <v>AB3 Apache Block III (Longbow Apache Block III)</v>
          </cell>
          <cell r="D3" t="str">
            <v>Apache Block IIIA (AB3A)</v>
          </cell>
          <cell r="K3" t="str">
            <v>LB APACHE BLOCK III</v>
          </cell>
          <cell r="L3" t="str">
            <v>APACHE BLOCK III (AB3)</v>
          </cell>
          <cell r="M3" t="str">
            <v>APACHE BLOCK III (AB3)</v>
          </cell>
          <cell r="N3" t="str">
            <v>AB3</v>
          </cell>
          <cell r="Q3" t="str">
            <v xml:space="preserve"> - </v>
          </cell>
          <cell r="R3" t="str">
            <v xml:space="preserve"> - </v>
          </cell>
          <cell r="S3" t="str">
            <v xml:space="preserve"> - </v>
          </cell>
          <cell r="T3" t="str">
            <v>AB3 APACHE Block III</v>
          </cell>
          <cell r="V3">
            <v>36861</v>
          </cell>
          <cell r="W3" t="str">
            <v>LOOKUP_PNO_2000</v>
          </cell>
          <cell r="X3">
            <v>16</v>
          </cell>
          <cell r="Z3" t="str">
            <v>LOOKUP_PNO_2000</v>
          </cell>
          <cell r="AA3">
            <v>16</v>
          </cell>
        </row>
        <row r="4">
          <cell r="A4" t="str">
            <v>AB3A REMANUFACTURE</v>
          </cell>
          <cell r="B4" t="str">
            <v>AB3A REMANUFACTURE</v>
          </cell>
          <cell r="O4" t="str">
            <v>AB3A REMANUFACTURE</v>
          </cell>
          <cell r="P4" t="str">
            <v>AB3A REMANUFACTURE</v>
          </cell>
          <cell r="Q4" t="str">
            <v xml:space="preserve"> - </v>
          </cell>
          <cell r="R4" t="str">
            <v xml:space="preserve"> - </v>
          </cell>
          <cell r="S4" t="str">
            <v xml:space="preserve"> - </v>
          </cell>
          <cell r="T4" t="str">
            <v>AB3A REMANUFACTURE</v>
          </cell>
          <cell r="V4">
            <v>37135</v>
          </cell>
          <cell r="W4" t="str">
            <v>LOOKUP_PNO_2001</v>
          </cell>
          <cell r="X4">
            <v>15</v>
          </cell>
          <cell r="Z4" t="str">
            <v>LOOKUP_PNO_2001</v>
          </cell>
          <cell r="AA4">
            <v>15</v>
          </cell>
        </row>
        <row r="5">
          <cell r="A5" t="str">
            <v>AB3B NEW BUILD</v>
          </cell>
          <cell r="B5" t="str">
            <v>AB3B NEW BUILD</v>
          </cell>
          <cell r="D5" t="str">
            <v>Apache Block IIIB New Build</v>
          </cell>
          <cell r="O5" t="str">
            <v>AB3B NEW BUILD</v>
          </cell>
          <cell r="P5" t="str">
            <v>AB3B NEW BUILD</v>
          </cell>
          <cell r="Q5" t="str">
            <v xml:space="preserve"> - </v>
          </cell>
          <cell r="R5" t="str">
            <v xml:space="preserve"> - </v>
          </cell>
          <cell r="S5" t="str">
            <v xml:space="preserve"> - </v>
          </cell>
          <cell r="T5" t="str">
            <v>AB3B NEW BUILD</v>
          </cell>
          <cell r="V5">
            <v>37226</v>
          </cell>
          <cell r="W5" t="str">
            <v>LOOKUP_PNO_2001</v>
          </cell>
          <cell r="X5">
            <v>15</v>
          </cell>
          <cell r="Z5" t="str">
            <v>LOOKUP_PNO_2002</v>
          </cell>
          <cell r="AA5">
            <v>14</v>
          </cell>
        </row>
        <row r="6">
          <cell r="A6" t="str">
            <v>ACS</v>
          </cell>
          <cell r="B6" t="str">
            <v>ACS</v>
          </cell>
          <cell r="C6" t="str">
            <v/>
          </cell>
          <cell r="D6" t="str">
            <v/>
          </cell>
          <cell r="I6" t="str">
            <v>ACS</v>
          </cell>
          <cell r="J6" t="str">
            <v>ACS</v>
          </cell>
          <cell r="Q6" t="str">
            <v xml:space="preserve"> - </v>
          </cell>
          <cell r="R6" t="str">
            <v xml:space="preserve"> - </v>
          </cell>
          <cell r="S6" t="str">
            <v xml:space="preserve"> - </v>
          </cell>
          <cell r="T6" t="str">
            <v>ACS</v>
          </cell>
          <cell r="V6">
            <v>37408</v>
          </cell>
          <cell r="W6" t="str">
            <v>LOOKUP_PNO_2002</v>
          </cell>
          <cell r="X6">
            <v>14</v>
          </cell>
          <cell r="Z6" t="str">
            <v>LOOKUP_PNO_2003</v>
          </cell>
          <cell r="AA6">
            <v>13</v>
          </cell>
        </row>
        <row r="7">
          <cell r="A7" t="str">
            <v>ADS Increment Alpha</v>
          </cell>
          <cell r="B7" t="str">
            <v>ADS</v>
          </cell>
          <cell r="K7" t="str">
            <v>ADS</v>
          </cell>
          <cell r="L7" t="str">
            <v>ADS (AN/WQR-3)</v>
          </cell>
          <cell r="Q7" t="str">
            <v xml:space="preserve"> - </v>
          </cell>
          <cell r="R7" t="str">
            <v xml:space="preserve"> - </v>
          </cell>
          <cell r="S7" t="str">
            <v xml:space="preserve"> - </v>
          </cell>
          <cell r="T7" t="str">
            <v>ADS Increment Alpha</v>
          </cell>
          <cell r="V7">
            <v>37500</v>
          </cell>
          <cell r="W7" t="str">
            <v>LOOKUP_PNO_2002</v>
          </cell>
          <cell r="X7">
            <v>14</v>
          </cell>
          <cell r="Z7" t="str">
            <v>LOOKUP_PNO_2004</v>
          </cell>
          <cell r="AA7">
            <v>12</v>
          </cell>
        </row>
        <row r="8">
          <cell r="A8" t="str">
            <v>AEHF</v>
          </cell>
          <cell r="B8" t="str">
            <v>AEHF</v>
          </cell>
          <cell r="C8" t="str">
            <v>AEHF</v>
          </cell>
          <cell r="D8" t="str">
            <v>Advanced Extremely High Frequency (AEHF) Satellite</v>
          </cell>
          <cell r="F8" t="str">
            <v>AEHF</v>
          </cell>
          <cell r="G8" t="str">
            <v>AEHF</v>
          </cell>
          <cell r="H8" t="str">
            <v>AEHF</v>
          </cell>
          <cell r="I8" t="str">
            <v>AEHF</v>
          </cell>
          <cell r="J8" t="str">
            <v>AEHF</v>
          </cell>
          <cell r="K8" t="str">
            <v>AEHF</v>
          </cell>
          <cell r="L8" t="str">
            <v>AEHF</v>
          </cell>
          <cell r="M8" t="str">
            <v>AEHF</v>
          </cell>
          <cell r="N8" t="str">
            <v>AEHF</v>
          </cell>
          <cell r="O8" t="str">
            <v>AEHF</v>
          </cell>
          <cell r="P8" t="str">
            <v>AEHF</v>
          </cell>
          <cell r="Q8" t="str">
            <v xml:space="preserve"> - </v>
          </cell>
          <cell r="R8" t="str">
            <v xml:space="preserve"> - </v>
          </cell>
          <cell r="S8" t="str">
            <v xml:space="preserve"> - </v>
          </cell>
          <cell r="T8" t="str">
            <v>AEHF</v>
          </cell>
          <cell r="V8">
            <v>37591</v>
          </cell>
          <cell r="W8" t="str">
            <v>LOOKUP_PNO_2002</v>
          </cell>
          <cell r="X8">
            <v>14</v>
          </cell>
          <cell r="Z8" t="str">
            <v>LOOKUP_PNO_2005</v>
          </cell>
          <cell r="AA8">
            <v>11</v>
          </cell>
        </row>
        <row r="9">
          <cell r="A9" t="str">
            <v>AESA</v>
          </cell>
          <cell r="B9" t="str">
            <v>AESA</v>
          </cell>
          <cell r="D9" t="str">
            <v/>
          </cell>
          <cell r="F9" t="str">
            <v>AESA</v>
          </cell>
          <cell r="G9" t="str">
            <v>AESA (RDT&amp;E)</v>
          </cell>
          <cell r="H9" t="str">
            <v>AESA (RDT&amp;E)</v>
          </cell>
          <cell r="I9" t="str">
            <v>AESA (RDT&amp;E)</v>
          </cell>
          <cell r="J9" t="str">
            <v>AESA</v>
          </cell>
          <cell r="Q9" t="str">
            <v xml:space="preserve"> - </v>
          </cell>
          <cell r="R9" t="str">
            <v xml:space="preserve"> - </v>
          </cell>
          <cell r="S9" t="str">
            <v xml:space="preserve"> - </v>
          </cell>
          <cell r="T9" t="str">
            <v>AESA</v>
          </cell>
          <cell r="V9">
            <v>37773</v>
          </cell>
          <cell r="W9" t="str">
            <v>LOOKUP_PNO_2003</v>
          </cell>
          <cell r="X9">
            <v>13</v>
          </cell>
          <cell r="Z9" t="str">
            <v>LOOKUP_PNO_2006</v>
          </cell>
          <cell r="AA9">
            <v>10</v>
          </cell>
        </row>
        <row r="10">
          <cell r="A10" t="str">
            <v>AGM-88E</v>
          </cell>
          <cell r="B10" t="str">
            <v>AGM-88E</v>
          </cell>
          <cell r="C10" t="str">
            <v>AGM-88E</v>
          </cell>
          <cell r="D10" t="str">
            <v>AGM-88E Advanced Anti-Radiation Guided Missile (AARGM)</v>
          </cell>
          <cell r="H10" t="str">
            <v>AGM-88E (AARGM)</v>
          </cell>
          <cell r="I10" t="str">
            <v>AGM-88E (AARGM)</v>
          </cell>
          <cell r="J10" t="str">
            <v>AGM-88E (AARGM)</v>
          </cell>
          <cell r="K10" t="str">
            <v>AGM-88E (AARGM)</v>
          </cell>
          <cell r="L10" t="str">
            <v>AGM-88E AARGM</v>
          </cell>
          <cell r="M10" t="str">
            <v>AGM-88E AARGM</v>
          </cell>
          <cell r="N10" t="str">
            <v>AGM-88E AARGM</v>
          </cell>
          <cell r="O10" t="str">
            <v>AGM-88E AARGM</v>
          </cell>
          <cell r="P10" t="str">
            <v>AGM-88E AARGM</v>
          </cell>
          <cell r="Q10" t="str">
            <v xml:space="preserve"> - </v>
          </cell>
          <cell r="R10" t="str">
            <v xml:space="preserve"> - </v>
          </cell>
          <cell r="S10" t="str">
            <v xml:space="preserve"> - </v>
          </cell>
          <cell r="T10" t="str">
            <v>AGM-88E</v>
          </cell>
          <cell r="V10">
            <v>37865</v>
          </cell>
          <cell r="W10" t="str">
            <v>LOOKUP_PNO_2003</v>
          </cell>
          <cell r="X10">
            <v>13</v>
          </cell>
          <cell r="Z10" t="str">
            <v>LOOKUP_PNO_2007</v>
          </cell>
          <cell r="AA10">
            <v>9</v>
          </cell>
        </row>
        <row r="11">
          <cell r="A11" t="str">
            <v>AIM-9X</v>
          </cell>
          <cell r="B11" t="str">
            <v>AIM-9X</v>
          </cell>
          <cell r="C11" t="str">
            <v>AIM-9X</v>
          </cell>
          <cell r="D11" t="str">
            <v>AIM-9X/Air-to-Air Missile</v>
          </cell>
          <cell r="F11" t="str">
            <v>AIM-9X</v>
          </cell>
          <cell r="G11" t="str">
            <v>AIM-9X</v>
          </cell>
          <cell r="H11" t="str">
            <v>AIM-9X</v>
          </cell>
          <cell r="I11" t="str">
            <v>AIM-9X</v>
          </cell>
          <cell r="J11" t="str">
            <v>AIM-9X</v>
          </cell>
          <cell r="K11" t="str">
            <v>AIM-9X</v>
          </cell>
          <cell r="L11" t="str">
            <v>AIM-9X</v>
          </cell>
          <cell r="M11" t="str">
            <v>AIM-9X</v>
          </cell>
          <cell r="N11" t="str">
            <v>AIM-9X</v>
          </cell>
          <cell r="O11" t="str">
            <v>AIM-9X</v>
          </cell>
          <cell r="Q11" t="str">
            <v xml:space="preserve"> - </v>
          </cell>
          <cell r="R11" t="str">
            <v xml:space="preserve"> - </v>
          </cell>
          <cell r="S11" t="str">
            <v xml:space="preserve"> - </v>
          </cell>
          <cell r="T11" t="str">
            <v>AIM-9X</v>
          </cell>
          <cell r="V11">
            <v>37956</v>
          </cell>
          <cell r="W11" t="str">
            <v>LOOKUP_PNO_2003</v>
          </cell>
          <cell r="X11">
            <v>13</v>
          </cell>
          <cell r="Z11" t="str">
            <v>LOOKUP_PNO_2008</v>
          </cell>
          <cell r="AA11">
            <v>8</v>
          </cell>
        </row>
        <row r="12">
          <cell r="A12" t="str">
            <v>AIM-9X Block I</v>
          </cell>
          <cell r="B12" t="str">
            <v>AIM-9X Block I</v>
          </cell>
          <cell r="C12" t="str">
            <v>AIM-9X Block I</v>
          </cell>
          <cell r="P12" t="str">
            <v>AIM-9X Block I</v>
          </cell>
          <cell r="Q12" t="str">
            <v xml:space="preserve"> - </v>
          </cell>
          <cell r="R12" t="str">
            <v xml:space="preserve"> - </v>
          </cell>
          <cell r="S12" t="str">
            <v xml:space="preserve"> - </v>
          </cell>
          <cell r="T12" t="str">
            <v>AIM-9X Block I</v>
          </cell>
          <cell r="V12">
            <v>38139</v>
          </cell>
          <cell r="W12" t="str">
            <v>LOOKUP_PNO_2004</v>
          </cell>
          <cell r="X12">
            <v>12</v>
          </cell>
          <cell r="Z12" t="str">
            <v>LOOKUP_PNO_2009</v>
          </cell>
          <cell r="AA12">
            <v>7</v>
          </cell>
        </row>
        <row r="13">
          <cell r="A13" t="str">
            <v>AMF JTRS</v>
          </cell>
          <cell r="B13" t="str">
            <v>AMF JTRS** (Cluster 3)</v>
          </cell>
          <cell r="D13" t="str">
            <v>Airborne and Maritime/Fixed Station Joint Tactical Radio System (AMF JTRS)</v>
          </cell>
          <cell r="O13" t="str">
            <v>AMF JTRS</v>
          </cell>
          <cell r="P13" t="str">
            <v>AMF JTRS</v>
          </cell>
          <cell r="Q13" t="str">
            <v xml:space="preserve"> - </v>
          </cell>
          <cell r="R13" t="str">
            <v xml:space="preserve"> - </v>
          </cell>
          <cell r="S13" t="str">
            <v xml:space="preserve"> - </v>
          </cell>
          <cell r="T13" t="str">
            <v>AMF JTRS</v>
          </cell>
          <cell r="V13">
            <v>38231</v>
          </cell>
          <cell r="W13" t="str">
            <v>LOOKUP_PNO_2004</v>
          </cell>
          <cell r="X13">
            <v>12</v>
          </cell>
          <cell r="Z13" t="str">
            <v>LOOKUP_PNO_2010</v>
          </cell>
          <cell r="AA13">
            <v>6</v>
          </cell>
        </row>
        <row r="14">
          <cell r="A14" t="str">
            <v>AMRAAM</v>
          </cell>
          <cell r="B14" t="str">
            <v>AMRAAM (AIM-120)</v>
          </cell>
          <cell r="C14" t="str">
            <v>AMRAAM (AIM-120)</v>
          </cell>
          <cell r="D14" t="str">
            <v>AIM-120 Advanced Medium Range Air-to-Air Missile (AMRAAM)</v>
          </cell>
          <cell r="F14" t="str">
            <v>AMRAAM</v>
          </cell>
          <cell r="G14" t="str">
            <v>AMRAAM</v>
          </cell>
          <cell r="H14" t="str">
            <v>AMRAAM</v>
          </cell>
          <cell r="I14" t="str">
            <v>AMRAAM</v>
          </cell>
          <cell r="J14" t="str">
            <v>AMRAAM</v>
          </cell>
          <cell r="K14" t="str">
            <v>AMRAAM</v>
          </cell>
          <cell r="L14" t="str">
            <v>AMRAAM</v>
          </cell>
          <cell r="M14" t="str">
            <v>AMRAAM</v>
          </cell>
          <cell r="N14" t="str">
            <v>AMRAAM</v>
          </cell>
          <cell r="O14" t="str">
            <v>AMRAAM</v>
          </cell>
          <cell r="P14" t="str">
            <v>AMRAAM</v>
          </cell>
          <cell r="Q14" t="str">
            <v xml:space="preserve"> - </v>
          </cell>
          <cell r="R14" t="str">
            <v xml:space="preserve"> - </v>
          </cell>
          <cell r="S14" t="str">
            <v xml:space="preserve"> - </v>
          </cell>
          <cell r="T14" t="str">
            <v>AMRAAM</v>
          </cell>
          <cell r="V14">
            <v>38322</v>
          </cell>
          <cell r="W14" t="str">
            <v>LOOKUP_PNO_2004</v>
          </cell>
          <cell r="X14">
            <v>12</v>
          </cell>
          <cell r="Z14" t="str">
            <v>LOOKUP_PNO_2011</v>
          </cell>
          <cell r="AA14">
            <v>5</v>
          </cell>
        </row>
        <row r="15">
          <cell r="A15" t="str">
            <v>ARH</v>
          </cell>
          <cell r="B15" t="str">
            <v>ARH (Cancelled October 16, 2008)</v>
          </cell>
          <cell r="C15" t="str">
            <v>ARH</v>
          </cell>
          <cell r="J15" t="str">
            <v>ARH</v>
          </cell>
          <cell r="K15" t="str">
            <v>ARH</v>
          </cell>
          <cell r="L15" t="str">
            <v>ARH</v>
          </cell>
          <cell r="M15" t="str">
            <v>ARH</v>
          </cell>
          <cell r="Q15" t="str">
            <v xml:space="preserve"> - </v>
          </cell>
          <cell r="R15" t="str">
            <v xml:space="preserve"> - </v>
          </cell>
          <cell r="S15" t="str">
            <v xml:space="preserve"> - </v>
          </cell>
          <cell r="T15" t="str">
            <v>ARH</v>
          </cell>
          <cell r="V15">
            <v>38504</v>
          </cell>
          <cell r="W15" t="str">
            <v>LOOKUP_PNO_2005</v>
          </cell>
          <cell r="X15">
            <v>11</v>
          </cell>
          <cell r="Z15" t="str">
            <v>LOOKUP_PNO_2012</v>
          </cell>
          <cell r="AA15">
            <v>4</v>
          </cell>
        </row>
        <row r="16">
          <cell r="A16" t="str">
            <v>ASDS</v>
          </cell>
          <cell r="B16" t="str">
            <v>ASDS</v>
          </cell>
          <cell r="H16" t="str">
            <v>ASDS</v>
          </cell>
          <cell r="I16" t="str">
            <v>ASDS</v>
          </cell>
          <cell r="J16" t="str">
            <v>ASDS</v>
          </cell>
          <cell r="Q16" t="str">
            <v xml:space="preserve"> - </v>
          </cell>
          <cell r="R16" t="str">
            <v xml:space="preserve"> - </v>
          </cell>
          <cell r="S16" t="str">
            <v xml:space="preserve"> - </v>
          </cell>
          <cell r="T16" t="str">
            <v>ASDS</v>
          </cell>
          <cell r="V16">
            <v>38596</v>
          </cell>
          <cell r="W16" t="str">
            <v>LOOKUP_PNO_2005</v>
          </cell>
          <cell r="X16">
            <v>11</v>
          </cell>
          <cell r="Z16" t="str">
            <v>LOOKUP_PNO_2013</v>
          </cell>
          <cell r="AA16">
            <v>3</v>
          </cell>
        </row>
        <row r="17">
          <cell r="A17" t="str">
            <v>ASIP</v>
          </cell>
          <cell r="B17" t="str">
            <v>ASIP</v>
          </cell>
          <cell r="D17" t="str">
            <v>Airborne Signals Intelligence Payload (ASIP) – Baseline</v>
          </cell>
          <cell r="O17" t="str">
            <v>ASIP</v>
          </cell>
          <cell r="Q17" t="str">
            <v xml:space="preserve"> - </v>
          </cell>
          <cell r="R17" t="str">
            <v xml:space="preserve"> - </v>
          </cell>
          <cell r="S17" t="str">
            <v xml:space="preserve"> - </v>
          </cell>
          <cell r="T17" t="str">
            <v>ASIP</v>
          </cell>
          <cell r="V17">
            <v>38687</v>
          </cell>
          <cell r="W17" t="str">
            <v>LOOKUP_PNO_2005</v>
          </cell>
          <cell r="X17">
            <v>11</v>
          </cell>
          <cell r="Z17" t="str">
            <v>LOOKUP_PNO_2014</v>
          </cell>
          <cell r="AA17">
            <v>2</v>
          </cell>
        </row>
        <row r="18">
          <cell r="A18" t="str">
            <v>ATACMS-BAT</v>
          </cell>
          <cell r="B18" t="str">
            <v>ATACMS-BAT</v>
          </cell>
          <cell r="F18" t="str">
            <v>ATACMS-BAT</v>
          </cell>
          <cell r="G18" t="str">
            <v>ATACMS-BAT</v>
          </cell>
          <cell r="T18" t="str">
            <v>ATACMS-BAT</v>
          </cell>
          <cell r="V18">
            <v>38869</v>
          </cell>
          <cell r="W18" t="str">
            <v>LOOKUP_PNO_2006</v>
          </cell>
          <cell r="X18">
            <v>10</v>
          </cell>
        </row>
        <row r="19">
          <cell r="A19" t="str">
            <v>ATIRCM/CMWS</v>
          </cell>
          <cell r="B19" t="str">
            <v>ATIRCM/CMWS (Advanced Threat Infrared Countermeasures/Common Missile Warning System)</v>
          </cell>
          <cell r="C19" t="str">
            <v>ATIRCM/CMWS (Advanced Threat Infrared Countermeasures/Common Missile Warning System)</v>
          </cell>
          <cell r="D19" t="str">
            <v>Advanced Threat Infrared Countermeasure/Common Missile Warning System (ATIRCM/CMWS)</v>
          </cell>
          <cell r="F19" t="str">
            <v>ATIRCM/CMWS</v>
          </cell>
          <cell r="G19" t="str">
            <v>ATIRCM/CMWS</v>
          </cell>
          <cell r="H19" t="str">
            <v>ATIRCM/CMWS</v>
          </cell>
          <cell r="I19" t="str">
            <v>ATIRCM/CMWS</v>
          </cell>
          <cell r="J19" t="str">
            <v>ATIRCM/CMWS</v>
          </cell>
          <cell r="K19" t="str">
            <v>ATIRCM/CMWS</v>
          </cell>
          <cell r="L19" t="str">
            <v>ATIRCM/CMWS</v>
          </cell>
          <cell r="M19" t="str">
            <v>ATIRCM/CMWS</v>
          </cell>
          <cell r="Q19" t="str">
            <v xml:space="preserve"> - </v>
          </cell>
          <cell r="R19" t="str">
            <v xml:space="preserve"> - </v>
          </cell>
          <cell r="S19" t="str">
            <v xml:space="preserve"> - </v>
          </cell>
          <cell r="T19" t="str">
            <v>ATIRCM/CMWS</v>
          </cell>
          <cell r="V19">
            <v>38961</v>
          </cell>
          <cell r="W19" t="str">
            <v>LOOKUP_PNO_2006</v>
          </cell>
          <cell r="X19">
            <v>10</v>
          </cell>
        </row>
        <row r="20">
          <cell r="A20" t="str">
            <v>ATIRCM/CMWS SPLIT</v>
          </cell>
          <cell r="B20" t="str">
            <v/>
          </cell>
          <cell r="C20" t="str">
            <v/>
          </cell>
          <cell r="N20" t="str">
            <v>ATIRCM/CMWS: CMWS</v>
          </cell>
          <cell r="O20" t="str">
            <v>ATIRCM/CMWS - CMWS</v>
          </cell>
          <cell r="Q20" t="str">
            <v xml:space="preserve"> - </v>
          </cell>
          <cell r="R20" t="str">
            <v xml:space="preserve"> - </v>
          </cell>
          <cell r="S20" t="str">
            <v xml:space="preserve"> - </v>
          </cell>
          <cell r="T20" t="str">
            <v>ATIRCM/CMWS SPLIT</v>
          </cell>
          <cell r="V20">
            <v>39052</v>
          </cell>
          <cell r="W20" t="str">
            <v>LOOKUP_PNO_2006</v>
          </cell>
          <cell r="X20">
            <v>10</v>
          </cell>
        </row>
        <row r="21">
          <cell r="A21" t="str">
            <v>ATIRCM/CMWS SPLIT</v>
          </cell>
          <cell r="B21" t="str">
            <v/>
          </cell>
          <cell r="D21" t="str">
            <v/>
          </cell>
          <cell r="N21" t="str">
            <v>ATIRCM/CMWS: QRC</v>
          </cell>
          <cell r="O21" t="str">
            <v>ATIRCM/CMWS - ATIRCM QRC</v>
          </cell>
          <cell r="Q21" t="str">
            <v xml:space="preserve"> - </v>
          </cell>
          <cell r="R21" t="str">
            <v xml:space="preserve"> - </v>
          </cell>
          <cell r="S21" t="str">
            <v xml:space="preserve"> - </v>
          </cell>
          <cell r="T21" t="str">
            <v>ATIRCM/CMWS SPLIT</v>
          </cell>
          <cell r="V21">
            <v>39234</v>
          </cell>
          <cell r="W21" t="str">
            <v>LOOKUP_PNO_2007</v>
          </cell>
          <cell r="X21">
            <v>9</v>
          </cell>
        </row>
        <row r="22">
          <cell r="A22" t="str">
            <v>AV-8B REMANUFACTURE</v>
          </cell>
          <cell r="F22" t="str">
            <v>AV-8B REMAN</v>
          </cell>
          <cell r="G22" t="str">
            <v>AV-8B REMANUFACTURE</v>
          </cell>
          <cell r="Q22" t="str">
            <v xml:space="preserve"> - </v>
          </cell>
          <cell r="R22" t="str">
            <v xml:space="preserve"> - </v>
          </cell>
          <cell r="S22" t="str">
            <v xml:space="preserve"> - </v>
          </cell>
          <cell r="T22" t="str">
            <v>AV-8B REMANUFACTURE</v>
          </cell>
          <cell r="V22">
            <v>39326</v>
          </cell>
          <cell r="W22" t="str">
            <v>LOOKUP_PNO_2007</v>
          </cell>
          <cell r="X22">
            <v>9</v>
          </cell>
        </row>
        <row r="23">
          <cell r="A23" t="str">
            <v>AWACS Upgrade</v>
          </cell>
          <cell r="B23" t="str">
            <v>AWACS upgrade**</v>
          </cell>
          <cell r="F23" t="str">
            <v>AWACS RSIP (E-3)</v>
          </cell>
          <cell r="G23" t="str">
            <v>AWACS RSIP (E-3)</v>
          </cell>
          <cell r="H23" t="str">
            <v>AWACS RSIP (E-3)</v>
          </cell>
          <cell r="Q23" t="str">
            <v xml:space="preserve"> - </v>
          </cell>
          <cell r="R23" t="str">
            <v xml:space="preserve"> - </v>
          </cell>
          <cell r="S23" t="str">
            <v xml:space="preserve"> - </v>
          </cell>
          <cell r="T23" t="str">
            <v>AWACS Upgrade</v>
          </cell>
          <cell r="V23">
            <v>39417</v>
          </cell>
          <cell r="W23" t="str">
            <v>LOOKUP_PNO_2007</v>
          </cell>
          <cell r="X23">
            <v>9</v>
          </cell>
        </row>
        <row r="24">
          <cell r="A24" t="str">
            <v>B-1B CMUP</v>
          </cell>
          <cell r="B24" t="str">
            <v/>
          </cell>
          <cell r="F24" t="str">
            <v>B-1B CMUP</v>
          </cell>
          <cell r="G24" t="str">
            <v>B-1B CMUP</v>
          </cell>
          <cell r="H24" t="str">
            <v>B-1B CMUP</v>
          </cell>
          <cell r="I24" t="str">
            <v>B-1B CMUP</v>
          </cell>
          <cell r="Q24" t="str">
            <v xml:space="preserve"> - </v>
          </cell>
          <cell r="R24" t="str">
            <v xml:space="preserve"> - </v>
          </cell>
          <cell r="S24" t="str">
            <v xml:space="preserve"> - </v>
          </cell>
          <cell r="T24" t="str">
            <v>B-1B CMUP</v>
          </cell>
          <cell r="V24">
            <v>39600</v>
          </cell>
          <cell r="W24" t="str">
            <v>LOOKUP_PNO_2008</v>
          </cell>
          <cell r="X24">
            <v>8</v>
          </cell>
        </row>
        <row r="25">
          <cell r="A25" t="str">
            <v>B-2 EHF Increment I</v>
          </cell>
          <cell r="B25" t="str">
            <v>B-2 EHF Increment I</v>
          </cell>
          <cell r="C25" t="str">
            <v>B-2 EHF Increment I</v>
          </cell>
          <cell r="D25" t="str">
            <v>B-2 Extremely High Frequency SATCOM Capability, Increment 1</v>
          </cell>
          <cell r="L25" t="str">
            <v>B-2 EHF INCREMENT 1</v>
          </cell>
          <cell r="M25" t="str">
            <v>B-2 EHF INCREMENT 1</v>
          </cell>
          <cell r="N25" t="str">
            <v>B-2 EHF SATCOM AND COMPUTER INCREMENT I</v>
          </cell>
          <cell r="O25" t="str">
            <v>B-2 EHF SATCOM AND COMPUTER INCREMENT I</v>
          </cell>
          <cell r="P25" t="str">
            <v>B-2 EHF SATCOM AND COMPUTER INCREMENT I</v>
          </cell>
          <cell r="Q25" t="str">
            <v xml:space="preserve"> - </v>
          </cell>
          <cell r="R25" t="str">
            <v xml:space="preserve"> - </v>
          </cell>
          <cell r="S25" t="str">
            <v xml:space="preserve"> - </v>
          </cell>
          <cell r="T25" t="str">
            <v>B-2 EHF Increment I</v>
          </cell>
          <cell r="V25">
            <v>39692</v>
          </cell>
          <cell r="W25" t="str">
            <v>LOOKUP_PNO_2008</v>
          </cell>
          <cell r="X25">
            <v>8</v>
          </cell>
        </row>
        <row r="26">
          <cell r="A26" t="str">
            <v>B-2 RMP</v>
          </cell>
          <cell r="B26" t="str">
            <v>B-2 RMP</v>
          </cell>
          <cell r="C26" t="str">
            <v>B-2 RMP</v>
          </cell>
          <cell r="D26" t="str">
            <v>B-2 Radar Modernization Program (RMP)</v>
          </cell>
          <cell r="I26" t="str">
            <v>B-2 RMP</v>
          </cell>
          <cell r="J26" t="str">
            <v>B-2 RMP</v>
          </cell>
          <cell r="K26" t="str">
            <v>B-2 RMP</v>
          </cell>
          <cell r="L26" t="str">
            <v>B-2 RMP</v>
          </cell>
          <cell r="M26" t="str">
            <v>B-2 RMP</v>
          </cell>
          <cell r="N26" t="str">
            <v>B-2 RMP</v>
          </cell>
          <cell r="O26" t="str">
            <v>B-2 RMP</v>
          </cell>
          <cell r="Q26" t="str">
            <v xml:space="preserve"> - </v>
          </cell>
          <cell r="R26" t="str">
            <v xml:space="preserve"> - </v>
          </cell>
          <cell r="S26" t="str">
            <v xml:space="preserve"> - </v>
          </cell>
          <cell r="T26" t="str">
            <v>B-2 RMP</v>
          </cell>
          <cell r="V26">
            <v>40148</v>
          </cell>
          <cell r="W26" t="str">
            <v>LOOKUP_PNO_2009</v>
          </cell>
          <cell r="X26">
            <v>7</v>
          </cell>
        </row>
        <row r="27">
          <cell r="A27" t="str">
            <v>BAMS</v>
          </cell>
          <cell r="B27" t="str">
            <v>BAMS**</v>
          </cell>
          <cell r="D27" t="str">
            <v>Broad Area Maritime Surveillance (BAMS) Unmanned Aircraft System (UAS)</v>
          </cell>
          <cell r="O27" t="str">
            <v>MQ-4C UAS BAMS</v>
          </cell>
          <cell r="P27" t="str">
            <v>MQ-4C UAS BAMS</v>
          </cell>
          <cell r="Q27" t="str">
            <v xml:space="preserve"> - </v>
          </cell>
          <cell r="R27" t="str">
            <v xml:space="preserve"> - </v>
          </cell>
          <cell r="S27" t="str">
            <v xml:space="preserve"> - </v>
          </cell>
          <cell r="T27" t="str">
            <v>BAMS</v>
          </cell>
          <cell r="V27">
            <v>40330</v>
          </cell>
          <cell r="W27" t="str">
            <v>LOOKUP_PNO_2010</v>
          </cell>
          <cell r="X27">
            <v>6</v>
          </cell>
        </row>
        <row r="28">
          <cell r="A28" t="str">
            <v>BDMS (RDT&amp;E)</v>
          </cell>
          <cell r="B28" t="str">
            <v>BMDS (Ballistic Missile Defense System)</v>
          </cell>
          <cell r="C28" t="str">
            <v>BMDS (Ballistic Missile Defense System)</v>
          </cell>
          <cell r="D28" t="str">
            <v/>
          </cell>
          <cell r="G28" t="str">
            <v xml:space="preserve">BMDS (RDT&amp;E Only) </v>
          </cell>
          <cell r="H28" t="str">
            <v>BMDS (RDT&amp;E)</v>
          </cell>
          <cell r="I28" t="str">
            <v>BMDS (RDT&amp;E) CHEM</v>
          </cell>
          <cell r="Q28" t="str">
            <v xml:space="preserve"> - </v>
          </cell>
          <cell r="R28" t="str">
            <v xml:space="preserve"> - </v>
          </cell>
          <cell r="S28" t="str">
            <v xml:space="preserve"> - </v>
          </cell>
          <cell r="T28" t="str">
            <v>BDMS (RDT&amp;E)</v>
          </cell>
          <cell r="V28">
            <v>40513</v>
          </cell>
          <cell r="W28" t="str">
            <v>LOOKUP_PNO_2010</v>
          </cell>
          <cell r="X28">
            <v>6</v>
          </cell>
        </row>
        <row r="29">
          <cell r="A29" t="str">
            <v>BMDS</v>
          </cell>
          <cell r="B29" t="str">
            <v/>
          </cell>
          <cell r="C29" t="str">
            <v/>
          </cell>
          <cell r="D29" t="str">
            <v/>
          </cell>
          <cell r="I29" t="str">
            <v>BMDS</v>
          </cell>
          <cell r="J29" t="str">
            <v>BMDS</v>
          </cell>
          <cell r="K29" t="str">
            <v>BMDS</v>
          </cell>
          <cell r="L29" t="str">
            <v>BMDS</v>
          </cell>
          <cell r="M29" t="str">
            <v>BMDS</v>
          </cell>
          <cell r="N29" t="str">
            <v>BMDS</v>
          </cell>
          <cell r="O29" t="str">
            <v>BMDS</v>
          </cell>
          <cell r="P29" t="str">
            <v>BMDS</v>
          </cell>
          <cell r="Q29" t="str">
            <v xml:space="preserve"> - </v>
          </cell>
          <cell r="R29" t="str">
            <v xml:space="preserve"> - </v>
          </cell>
          <cell r="S29" t="str">
            <v xml:space="preserve"> - </v>
          </cell>
          <cell r="T29" t="str">
            <v>BMDS</v>
          </cell>
          <cell r="V29">
            <v>40878</v>
          </cell>
          <cell r="W29" t="str">
            <v>LOOKUP_PNO_2011</v>
          </cell>
          <cell r="X29">
            <v>5</v>
          </cell>
        </row>
        <row r="30">
          <cell r="A30" t="str">
            <v>BRADLEY UPGRADE</v>
          </cell>
          <cell r="B30" t="str">
            <v>Bradley Upgrade</v>
          </cell>
          <cell r="C30" t="str">
            <v>Bradley Upgrade</v>
          </cell>
          <cell r="D30" t="str">
            <v>Bradley Fighting Vehicle Systems (BFVS) A3 Upgrade</v>
          </cell>
          <cell r="F30" t="str">
            <v>BRADLEY UPGRADE</v>
          </cell>
          <cell r="G30" t="str">
            <v>BRADLEY UPGRADE</v>
          </cell>
          <cell r="H30" t="str">
            <v>BRADLEY UPGRADE</v>
          </cell>
          <cell r="I30" t="str">
            <v>BRADLEY UPGRADE</v>
          </cell>
          <cell r="J30" t="str">
            <v>BRADLEY UPGRADE</v>
          </cell>
          <cell r="K30" t="str">
            <v>BRADLEY UPGRADE</v>
          </cell>
          <cell r="L30" t="str">
            <v>BRADLEY UPGRADE</v>
          </cell>
          <cell r="M30" t="str">
            <v>BRADLEY UPGRADE</v>
          </cell>
          <cell r="N30" t="str">
            <v>BRADLEY</v>
          </cell>
          <cell r="Q30" t="str">
            <v xml:space="preserve"> - </v>
          </cell>
          <cell r="R30" t="str">
            <v xml:space="preserve"> - </v>
          </cell>
          <cell r="S30" t="str">
            <v xml:space="preserve"> - </v>
          </cell>
          <cell r="T30" t="str">
            <v>BRADLEY UPGRADE</v>
          </cell>
          <cell r="V30">
            <v>41061</v>
          </cell>
          <cell r="W30" t="str">
            <v>LOOKUP_PNO_2012</v>
          </cell>
          <cell r="X30">
            <v>4</v>
          </cell>
        </row>
        <row r="31">
          <cell r="A31" t="str">
            <v>C-130AMP</v>
          </cell>
          <cell r="B31" t="str">
            <v>C-130AMP</v>
          </cell>
          <cell r="C31" t="str">
            <v>C-130AMP</v>
          </cell>
          <cell r="D31" t="str">
            <v>C-130 Avionics Modernization Program (AMP)</v>
          </cell>
          <cell r="G31" t="str">
            <v>C-130 AMP</v>
          </cell>
          <cell r="H31" t="str">
            <v>C-130 AMP</v>
          </cell>
          <cell r="I31" t="str">
            <v>C-130 AMP</v>
          </cell>
          <cell r="J31" t="str">
            <v>C-130 AMP</v>
          </cell>
          <cell r="K31" t="str">
            <v>C-130 AMP</v>
          </cell>
          <cell r="L31" t="str">
            <v>C-130 AMP</v>
          </cell>
          <cell r="M31" t="str">
            <v>C-130 AMP</v>
          </cell>
          <cell r="N31" t="str">
            <v>C-130 AMP</v>
          </cell>
          <cell r="O31" t="str">
            <v>C-130 AMP</v>
          </cell>
          <cell r="P31" t="str">
            <v>C-130 AMP</v>
          </cell>
          <cell r="Q31" t="str">
            <v xml:space="preserve"> - </v>
          </cell>
          <cell r="R31" t="str">
            <v xml:space="preserve"> - </v>
          </cell>
          <cell r="S31" t="str">
            <v xml:space="preserve"> - </v>
          </cell>
          <cell r="T31" t="str">
            <v>C-130AMP</v>
          </cell>
          <cell r="V31">
            <v>41153</v>
          </cell>
          <cell r="W31" t="str">
            <v>LOOKUP_PNO_2012</v>
          </cell>
          <cell r="X31">
            <v>4</v>
          </cell>
        </row>
        <row r="32">
          <cell r="A32" t="str">
            <v>C-130J</v>
          </cell>
          <cell r="B32" t="str">
            <v>C-130J</v>
          </cell>
          <cell r="C32" t="str">
            <v>C-130J</v>
          </cell>
          <cell r="D32" t="str">
            <v>C-130J Hercules</v>
          </cell>
          <cell r="F32" t="str">
            <v>C-130J</v>
          </cell>
          <cell r="G32" t="str">
            <v>C-130J</v>
          </cell>
          <cell r="H32" t="str">
            <v>C-130J</v>
          </cell>
          <cell r="I32" t="str">
            <v>C-130J</v>
          </cell>
          <cell r="J32" t="str">
            <v>C-130J</v>
          </cell>
          <cell r="K32" t="str">
            <v>C-130J</v>
          </cell>
          <cell r="L32" t="str">
            <v>C-130J</v>
          </cell>
          <cell r="M32" t="str">
            <v>C-130J</v>
          </cell>
          <cell r="N32" t="str">
            <v>C-130J</v>
          </cell>
          <cell r="O32" t="str">
            <v>C-130J</v>
          </cell>
          <cell r="P32" t="str">
            <v>C-130J</v>
          </cell>
          <cell r="Q32" t="str">
            <v xml:space="preserve"> - </v>
          </cell>
          <cell r="R32" t="str">
            <v xml:space="preserve"> - </v>
          </cell>
          <cell r="S32" t="str">
            <v xml:space="preserve"> - </v>
          </cell>
          <cell r="T32" t="str">
            <v>C-130J</v>
          </cell>
          <cell r="V32">
            <v>41244</v>
          </cell>
          <cell r="W32" t="str">
            <v>LOOKUP_PNO_2012</v>
          </cell>
          <cell r="X32">
            <v>4</v>
          </cell>
        </row>
        <row r="33">
          <cell r="A33" t="str">
            <v>C-17A</v>
          </cell>
          <cell r="B33" t="str">
            <v>C-17A</v>
          </cell>
          <cell r="C33" t="str">
            <v>C-17A</v>
          </cell>
          <cell r="D33" t="str">
            <v>C-17A Globemaster III</v>
          </cell>
          <cell r="F33" t="str">
            <v>C-17A</v>
          </cell>
          <cell r="G33" t="str">
            <v>C-17A</v>
          </cell>
          <cell r="H33" t="str">
            <v>C-17A</v>
          </cell>
          <cell r="I33" t="str">
            <v>C-17A</v>
          </cell>
          <cell r="J33" t="str">
            <v>C-17A</v>
          </cell>
          <cell r="K33" t="str">
            <v>C-17A</v>
          </cell>
          <cell r="L33" t="str">
            <v>C-17A</v>
          </cell>
          <cell r="M33" t="str">
            <v>C-17A</v>
          </cell>
          <cell r="N33" t="str">
            <v>C-17A</v>
          </cell>
          <cell r="Q33" t="str">
            <v xml:space="preserve"> - </v>
          </cell>
          <cell r="R33" t="str">
            <v xml:space="preserve"> - </v>
          </cell>
          <cell r="S33" t="str">
            <v xml:space="preserve"> - </v>
          </cell>
          <cell r="T33" t="str">
            <v>C-17A</v>
          </cell>
          <cell r="V33">
            <v>41518</v>
          </cell>
          <cell r="W33" t="str">
            <v>LOOKUP_PNO_2013</v>
          </cell>
          <cell r="X33">
            <v>3</v>
          </cell>
        </row>
        <row r="34">
          <cell r="A34" t="str">
            <v>C-5 AMP</v>
          </cell>
          <cell r="B34" t="str">
            <v>C-5 AMP</v>
          </cell>
          <cell r="C34" t="str">
            <v>C-5 AMP</v>
          </cell>
          <cell r="D34" t="str">
            <v>C-5 Avionics Modernization Program (AMP)</v>
          </cell>
          <cell r="K34" t="str">
            <v>C-5 AMP</v>
          </cell>
          <cell r="L34" t="str">
            <v>C-5 AMP</v>
          </cell>
          <cell r="M34" t="str">
            <v>C-5 AMP</v>
          </cell>
          <cell r="N34" t="str">
            <v>C-5 AMP</v>
          </cell>
          <cell r="O34" t="str">
            <v>C-5 AMP</v>
          </cell>
          <cell r="Q34" t="str">
            <v xml:space="preserve"> - </v>
          </cell>
          <cell r="R34" t="str">
            <v xml:space="preserve"> - </v>
          </cell>
          <cell r="S34" t="str">
            <v xml:space="preserve"> - </v>
          </cell>
          <cell r="T34" t="str">
            <v>C-5 AMP</v>
          </cell>
          <cell r="V34">
            <v>41609</v>
          </cell>
          <cell r="W34" t="str">
            <v>LOOKUP_PNO_2013</v>
          </cell>
          <cell r="X34">
            <v>3</v>
          </cell>
        </row>
        <row r="35">
          <cell r="A35" t="str">
            <v>C-5 RERP</v>
          </cell>
          <cell r="B35" t="str">
            <v>C-5 RERP</v>
          </cell>
          <cell r="C35" t="str">
            <v>C-5 RERP</v>
          </cell>
          <cell r="D35" t="str">
            <v>C-5 Reliability Enhancement and Reengining Program (RERP)</v>
          </cell>
          <cell r="G35" t="str">
            <v>C-5 RERP</v>
          </cell>
          <cell r="H35" t="str">
            <v>C-5 RERP</v>
          </cell>
          <cell r="I35" t="str">
            <v>C-5 RERP</v>
          </cell>
          <cell r="J35" t="str">
            <v>C-5 RERP</v>
          </cell>
          <cell r="K35" t="str">
            <v>C-5 RERP</v>
          </cell>
          <cell r="L35" t="str">
            <v>C-5 RERP</v>
          </cell>
          <cell r="M35" t="str">
            <v>C-5 RERP</v>
          </cell>
          <cell r="N35" t="str">
            <v>C-5 RERP</v>
          </cell>
          <cell r="O35" t="str">
            <v>C-5 RERP</v>
          </cell>
          <cell r="P35" t="str">
            <v>C-5 RERP</v>
          </cell>
          <cell r="Q35" t="str">
            <v xml:space="preserve"> - </v>
          </cell>
          <cell r="R35" t="str">
            <v xml:space="preserve"> - </v>
          </cell>
          <cell r="S35" t="str">
            <v xml:space="preserve"> - </v>
          </cell>
          <cell r="T35" t="str">
            <v>C-5 RERP</v>
          </cell>
          <cell r="V35">
            <v>41791</v>
          </cell>
          <cell r="W35" t="str">
            <v>LOOKUP_PNO_2014</v>
          </cell>
          <cell r="X35">
            <v>2</v>
          </cell>
        </row>
        <row r="36">
          <cell r="A36" t="str">
            <v>CEC</v>
          </cell>
          <cell r="B36" t="str">
            <v>CEC (Cooperative Engagement Capability)</v>
          </cell>
          <cell r="C36" t="str">
            <v>CEC (Cooperative Engagement Capability)</v>
          </cell>
          <cell r="D36" t="str">
            <v>Cooperative Engagement Capability (CEC)</v>
          </cell>
          <cell r="F36" t="str">
            <v>CEC</v>
          </cell>
          <cell r="G36" t="str">
            <v>CEC</v>
          </cell>
          <cell r="H36" t="str">
            <v>CEC</v>
          </cell>
          <cell r="I36" t="str">
            <v>CEC</v>
          </cell>
          <cell r="J36" t="str">
            <v>CEC</v>
          </cell>
          <cell r="K36" t="str">
            <v>CEC</v>
          </cell>
          <cell r="L36" t="str">
            <v>CEC</v>
          </cell>
          <cell r="M36" t="str">
            <v>CEC</v>
          </cell>
          <cell r="N36" t="str">
            <v>CEC</v>
          </cell>
          <cell r="O36" t="str">
            <v>CEC</v>
          </cell>
          <cell r="P36" t="str">
            <v>CEC</v>
          </cell>
          <cell r="Q36" t="str">
            <v xml:space="preserve"> - </v>
          </cell>
          <cell r="R36" t="str">
            <v xml:space="preserve"> - </v>
          </cell>
          <cell r="S36" t="str">
            <v xml:space="preserve"> - </v>
          </cell>
          <cell r="T36" t="str">
            <v>CEC</v>
          </cell>
          <cell r="V36">
            <v>41883</v>
          </cell>
          <cell r="W36" t="str">
            <v>LOOKUP_PNO_2014</v>
          </cell>
          <cell r="X36">
            <v>2</v>
          </cell>
        </row>
        <row r="37">
          <cell r="A37" t="str">
            <v>CH-47F</v>
          </cell>
          <cell r="B37" t="str">
            <v>CH-47F</v>
          </cell>
          <cell r="C37" t="str">
            <v>CH-47F</v>
          </cell>
          <cell r="D37" t="str">
            <v>CH-47F Improved Cargo Helicopter (CH-47F)</v>
          </cell>
          <cell r="F37" t="str">
            <v>CH-47F</v>
          </cell>
          <cell r="G37" t="str">
            <v>CH-47F</v>
          </cell>
          <cell r="H37" t="str">
            <v>CH-47F</v>
          </cell>
          <cell r="I37" t="str">
            <v>CH-47F</v>
          </cell>
          <cell r="J37" t="str">
            <v>CH-47F</v>
          </cell>
          <cell r="K37" t="str">
            <v>CH-47F</v>
          </cell>
          <cell r="L37" t="str">
            <v>CH-47F</v>
          </cell>
          <cell r="M37" t="str">
            <v>CH-47F</v>
          </cell>
          <cell r="N37" t="str">
            <v>CH-47F</v>
          </cell>
          <cell r="O37" t="str">
            <v>CH-47F</v>
          </cell>
          <cell r="P37" t="str">
            <v>CH-47F</v>
          </cell>
          <cell r="Q37" t="str">
            <v xml:space="preserve"> - </v>
          </cell>
          <cell r="R37" t="str">
            <v xml:space="preserve"> - </v>
          </cell>
          <cell r="S37" t="str">
            <v xml:space="preserve"> - </v>
          </cell>
          <cell r="T37" t="str">
            <v>CH-47F</v>
          </cell>
          <cell r="V37">
            <v>41974</v>
          </cell>
          <cell r="W37" t="str">
            <v>LOOKUP_PNO_2014</v>
          </cell>
          <cell r="X37">
            <v>2</v>
          </cell>
        </row>
        <row r="38">
          <cell r="A38" t="str">
            <v>CH-53K</v>
          </cell>
          <cell r="B38" t="str">
            <v>CH-53K (HLR)</v>
          </cell>
          <cell r="C38" t="str">
            <v>CH-53K (HLR)</v>
          </cell>
          <cell r="D38" t="str">
            <v>CH-53K - Heavy Lift Replacement</v>
          </cell>
          <cell r="K38" t="str">
            <v>CH-53K (HLR)</v>
          </cell>
          <cell r="L38" t="str">
            <v>CH-53K</v>
          </cell>
          <cell r="M38" t="str">
            <v>CH-53K</v>
          </cell>
          <cell r="N38" t="str">
            <v>CH-53K</v>
          </cell>
          <cell r="O38" t="str">
            <v>CH-53K</v>
          </cell>
          <cell r="P38" t="str">
            <v>CH-53K</v>
          </cell>
          <cell r="Q38" t="str">
            <v xml:space="preserve"> - </v>
          </cell>
          <cell r="R38" t="str">
            <v xml:space="preserve"> - </v>
          </cell>
          <cell r="S38" t="str">
            <v xml:space="preserve"> - </v>
          </cell>
          <cell r="T38" t="str">
            <v>CH-53K</v>
          </cell>
        </row>
        <row r="39">
          <cell r="A39" t="str">
            <v>CHEM DEMIL-ACWA</v>
          </cell>
          <cell r="B39" t="str">
            <v>CHEM DEMIL-ACWA</v>
          </cell>
          <cell r="C39" t="str">
            <v>CHEM DEMIL-ACWA</v>
          </cell>
          <cell r="D39" t="str">
            <v>Chemical Demilitarization-Assembled Chemical Weapons Alternatives (Chem Demil-ACWA)</v>
          </cell>
          <cell r="I39" t="str">
            <v>DEMIL-ACWA CHEM</v>
          </cell>
          <cell r="J39" t="str">
            <v>CHEM DEMIL-ACWA</v>
          </cell>
          <cell r="K39" t="str">
            <v>CHEM DEMIL-ACWA</v>
          </cell>
          <cell r="L39" t="str">
            <v>CHEM DEMIL-ACWA</v>
          </cell>
          <cell r="M39" t="str">
            <v>CHEM DEMIL-ACWA</v>
          </cell>
          <cell r="N39" t="str">
            <v>CHEM DEMIL-ACWA</v>
          </cell>
          <cell r="O39" t="str">
            <v>CHEM DEMIL-ACWA</v>
          </cell>
          <cell r="P39" t="str">
            <v>CHEM DEMIL-ACWA</v>
          </cell>
          <cell r="Q39" t="str">
            <v xml:space="preserve"> - </v>
          </cell>
          <cell r="R39" t="str">
            <v xml:space="preserve"> - </v>
          </cell>
          <cell r="S39" t="str">
            <v xml:space="preserve"> - </v>
          </cell>
          <cell r="T39" t="str">
            <v>CHEM DEMIL-ACWA</v>
          </cell>
        </row>
        <row r="40">
          <cell r="A40" t="str">
            <v>CHEM DEMIL-CMA</v>
          </cell>
          <cell r="B40" t="str">
            <v>CHEM DEMIL-CMA</v>
          </cell>
          <cell r="C40" t="str">
            <v>CHEM DEMIL-CMA</v>
          </cell>
          <cell r="D40" t="str">
            <v>Chemical Demilitarization-U.S. Army Chemical Materials Agency (Chem Demil-CMA)</v>
          </cell>
          <cell r="I40" t="str">
            <v>DEMIL--CMA CHEM</v>
          </cell>
          <cell r="J40" t="str">
            <v>CHEM DEMIL--CMA</v>
          </cell>
          <cell r="K40" t="str">
            <v>CHEM DEMIL-CMA</v>
          </cell>
          <cell r="L40" t="str">
            <v>CHEM DEMIL-CMA</v>
          </cell>
          <cell r="M40" t="str">
            <v>CHEM DEMIL-CMA</v>
          </cell>
          <cell r="N40" t="str">
            <v>CHEM DEMIL-CMA</v>
          </cell>
          <cell r="O40" t="str">
            <v>CHEM DEMIL-CMA</v>
          </cell>
          <cell r="P40" t="str">
            <v>CHEM DEMIL-CMA</v>
          </cell>
          <cell r="Q40" t="str">
            <v xml:space="preserve"> - </v>
          </cell>
          <cell r="R40" t="str">
            <v xml:space="preserve"> - </v>
          </cell>
          <cell r="S40" t="str">
            <v xml:space="preserve"> - </v>
          </cell>
          <cell r="T40" t="str">
            <v>CHEM DEMIL-CMA</v>
          </cell>
        </row>
        <row r="41">
          <cell r="A41" t="str">
            <v>CHEM DEMIL-NEWPORT</v>
          </cell>
          <cell r="B41" t="str">
            <v/>
          </cell>
          <cell r="D41" t="str">
            <v/>
          </cell>
          <cell r="I41" t="str">
            <v>DEMIL-NEWPORT</v>
          </cell>
          <cell r="J41" t="str">
            <v>CHEM DEMIL-NEWPORT</v>
          </cell>
          <cell r="K41" t="str">
            <v>CHEM DEMIL-NEWPORT</v>
          </cell>
          <cell r="Q41" t="str">
            <v xml:space="preserve"> - </v>
          </cell>
          <cell r="R41" t="str">
            <v xml:space="preserve"> - </v>
          </cell>
          <cell r="S41" t="str">
            <v xml:space="preserve"> - </v>
          </cell>
          <cell r="T41" t="str">
            <v>CHEM DEMIL-NEWPORT</v>
          </cell>
        </row>
        <row r="42">
          <cell r="A42" t="str">
            <v>COBRA JUDY REPLACEMENT</v>
          </cell>
          <cell r="B42" t="str">
            <v>Cobra Judy replacement</v>
          </cell>
          <cell r="C42" t="str">
            <v>Cobra Judy replacement</v>
          </cell>
          <cell r="D42" t="str">
            <v>Cobra Judy Replacement (CJR)</v>
          </cell>
          <cell r="I42" t="str">
            <v>COBRA JUDY (RDT&amp;E)</v>
          </cell>
          <cell r="J42" t="str">
            <v>COBRA JUDY</v>
          </cell>
          <cell r="K42" t="str">
            <v>COBRA JUDY</v>
          </cell>
          <cell r="L42" t="str">
            <v>COBRA JUDY REPLACEMENT</v>
          </cell>
          <cell r="M42" t="str">
            <v>COBRA JUDY REPLACEMENT</v>
          </cell>
          <cell r="N42" t="str">
            <v>COBRA JUDY REPLACEMENT</v>
          </cell>
          <cell r="O42" t="str">
            <v>COBRA JUDY REPLACEMENT</v>
          </cell>
          <cell r="P42" t="str">
            <v>COBRA JUDY REPLACEMENT</v>
          </cell>
          <cell r="Q42" t="str">
            <v xml:space="preserve"> - </v>
          </cell>
          <cell r="R42" t="str">
            <v xml:space="preserve"> - </v>
          </cell>
          <cell r="S42" t="str">
            <v xml:space="preserve"> - </v>
          </cell>
          <cell r="T42" t="str">
            <v>COBRA JUDY REPLACEMENT</v>
          </cell>
        </row>
        <row r="43">
          <cell r="A43" t="str">
            <v>COMANCHE</v>
          </cell>
          <cell r="B43" t="str">
            <v/>
          </cell>
          <cell r="C43" t="str">
            <v>COMANCHE (RAH-66)</v>
          </cell>
          <cell r="D43" t="str">
            <v/>
          </cell>
          <cell r="F43" t="str">
            <v>COMANCHE</v>
          </cell>
          <cell r="G43" t="str">
            <v>COMANCHE</v>
          </cell>
          <cell r="H43" t="str">
            <v>COMANCHE</v>
          </cell>
          <cell r="Q43" t="str">
            <v xml:space="preserve"> - </v>
          </cell>
          <cell r="R43" t="str">
            <v xml:space="preserve"> - </v>
          </cell>
          <cell r="S43" t="str">
            <v xml:space="preserve"> - </v>
          </cell>
          <cell r="T43" t="str">
            <v>COMANCHE</v>
          </cell>
        </row>
        <row r="44">
          <cell r="A44" t="str">
            <v>CRUSADER</v>
          </cell>
          <cell r="B44" t="str">
            <v/>
          </cell>
          <cell r="C44" t="str">
            <v>Crusader</v>
          </cell>
          <cell r="D44" t="str">
            <v/>
          </cell>
          <cell r="F44" t="str">
            <v>CRUSADER (RDT&amp;E)</v>
          </cell>
          <cell r="Q44" t="str">
            <v xml:space="preserve"> - </v>
          </cell>
          <cell r="R44" t="str">
            <v xml:space="preserve"> - </v>
          </cell>
          <cell r="S44" t="str">
            <v xml:space="preserve"> - </v>
          </cell>
          <cell r="T44" t="str">
            <v>CRUSADER</v>
          </cell>
        </row>
        <row r="45">
          <cell r="A45" t="str">
            <v>CSAR-X</v>
          </cell>
          <cell r="B45" t="str">
            <v>CSAR-X (cancelled April 6, 2009)</v>
          </cell>
          <cell r="D45" t="str">
            <v/>
          </cell>
          <cell r="Q45" t="str">
            <v xml:space="preserve"> - </v>
          </cell>
          <cell r="R45" t="str">
            <v xml:space="preserve"> - </v>
          </cell>
          <cell r="S45" t="str">
            <v xml:space="preserve"> - </v>
          </cell>
          <cell r="T45" t="str">
            <v>CSAR-X</v>
          </cell>
        </row>
        <row r="46">
          <cell r="A46" t="str">
            <v>CVN 21</v>
          </cell>
          <cell r="B46" t="str">
            <v>CVN 21</v>
          </cell>
          <cell r="C46" t="str">
            <v>CVN 21</v>
          </cell>
          <cell r="D46" t="str">
            <v>CVN 21 Future Aircraft Carrier</v>
          </cell>
          <cell r="G46" t="str">
            <v>CVN 21 (RDT&amp;E Only)</v>
          </cell>
          <cell r="H46" t="str">
            <v>CVN 21 (RDT&amp;E Only)</v>
          </cell>
          <cell r="I46" t="str">
            <v>CVN 21</v>
          </cell>
          <cell r="J46" t="str">
            <v>CVN 21</v>
          </cell>
          <cell r="K46" t="str">
            <v>CVN 21</v>
          </cell>
          <cell r="L46" t="str">
            <v>CVN 21</v>
          </cell>
          <cell r="M46" t="str">
            <v>CVN 21</v>
          </cell>
          <cell r="Q46" t="str">
            <v xml:space="preserve"> - </v>
          </cell>
          <cell r="R46" t="str">
            <v xml:space="preserve"> - </v>
          </cell>
          <cell r="S46" t="str">
            <v xml:space="preserve"> - </v>
          </cell>
          <cell r="T46" t="str">
            <v>CVN 21</v>
          </cell>
        </row>
        <row r="47">
          <cell r="A47" t="str">
            <v>CVN 68</v>
          </cell>
          <cell r="B47" t="str">
            <v>CVN 68</v>
          </cell>
          <cell r="C47" t="str">
            <v>CVN 68</v>
          </cell>
          <cell r="D47" t="str">
            <v>CVN-68 Class / Carrier Replacement Program (CVN 77)</v>
          </cell>
          <cell r="F47" t="str">
            <v>CVN-68 Class</v>
          </cell>
          <cell r="G47" t="str">
            <v>CVN 68</v>
          </cell>
          <cell r="H47" t="str">
            <v>CVN-68</v>
          </cell>
          <cell r="I47" t="str">
            <v>CVN-68</v>
          </cell>
          <cell r="J47" t="str">
            <v>CVN-68</v>
          </cell>
          <cell r="K47" t="str">
            <v>CVN 68</v>
          </cell>
          <cell r="L47" t="str">
            <v>CVN 68</v>
          </cell>
          <cell r="M47" t="str">
            <v>CVN 68</v>
          </cell>
          <cell r="N47" t="str">
            <v>CVN 68</v>
          </cell>
          <cell r="Q47" t="str">
            <v xml:space="preserve"> - </v>
          </cell>
          <cell r="R47" t="str">
            <v xml:space="preserve"> - </v>
          </cell>
          <cell r="S47" t="str">
            <v xml:space="preserve"> - </v>
          </cell>
          <cell r="T47" t="str">
            <v>CVN 68</v>
          </cell>
        </row>
        <row r="48">
          <cell r="A48" t="str">
            <v>CVN 78</v>
          </cell>
          <cell r="B48" t="str">
            <v>CVN 78</v>
          </cell>
          <cell r="D48" t="str">
            <v>CVN 78 Class</v>
          </cell>
          <cell r="F48" t="str">
            <v>DD(X) (RDT&amp;E)</v>
          </cell>
          <cell r="N48" t="str">
            <v>CVN 78</v>
          </cell>
          <cell r="O48" t="str">
            <v>CVN 78 CLASS</v>
          </cell>
          <cell r="P48" t="str">
            <v>CVN 78 CLASS</v>
          </cell>
          <cell r="Q48" t="str">
            <v xml:space="preserve"> - </v>
          </cell>
          <cell r="R48" t="str">
            <v xml:space="preserve"> - </v>
          </cell>
          <cell r="S48" t="str">
            <v xml:space="preserve"> - </v>
          </cell>
          <cell r="T48" t="str">
            <v>CVN 78</v>
          </cell>
        </row>
        <row r="49">
          <cell r="A49" t="str">
            <v>DDG 1000</v>
          </cell>
          <cell r="B49" t="str">
            <v/>
          </cell>
          <cell r="C49" t="str">
            <v/>
          </cell>
          <cell r="D49" t="str">
            <v>DDG 1000 Destroyer</v>
          </cell>
          <cell r="J49" t="str">
            <v>DD(X)</v>
          </cell>
          <cell r="K49" t="str">
            <v>DDG 1000 (DD(X))</v>
          </cell>
          <cell r="L49" t="str">
            <v>DDG 1000</v>
          </cell>
          <cell r="M49" t="str">
            <v>DDG 1000</v>
          </cell>
          <cell r="N49" t="str">
            <v>DDG 1000</v>
          </cell>
          <cell r="O49" t="str">
            <v>DDG 1000</v>
          </cell>
          <cell r="P49" t="str">
            <v>DDG 1000</v>
          </cell>
          <cell r="Q49" t="str">
            <v xml:space="preserve"> - </v>
          </cell>
          <cell r="R49" t="str">
            <v xml:space="preserve"> - </v>
          </cell>
          <cell r="S49" t="str">
            <v xml:space="preserve"> - </v>
          </cell>
          <cell r="T49" t="str">
            <v>DDG 1000</v>
          </cell>
        </row>
        <row r="50">
          <cell r="A50" t="str">
            <v>DDG 1000 (RDT&amp;E)</v>
          </cell>
          <cell r="B50" t="str">
            <v>DDG 1000 (DD(X))</v>
          </cell>
          <cell r="C50" t="str">
            <v>DDG 1000 (DD(X))</v>
          </cell>
          <cell r="F50" t="str">
            <v>DD(X) (RDT&amp;E)</v>
          </cell>
          <cell r="G50" t="str">
            <v>DD(X) (RDT&amp;E Only)</v>
          </cell>
          <cell r="H50" t="str">
            <v>DD(X) (RDT&amp;E Only)</v>
          </cell>
          <cell r="I50" t="str">
            <v>DD(X) (RDT&amp;E)</v>
          </cell>
          <cell r="Q50" t="str">
            <v xml:space="preserve"> - </v>
          </cell>
          <cell r="R50" t="str">
            <v xml:space="preserve"> - </v>
          </cell>
          <cell r="S50" t="str">
            <v xml:space="preserve"> - </v>
          </cell>
          <cell r="T50" t="str">
            <v>DDG 1000 (RDT&amp;E)</v>
          </cell>
        </row>
        <row r="51">
          <cell r="A51" t="str">
            <v>DDG 51</v>
          </cell>
          <cell r="B51" t="str">
            <v>DDG 51</v>
          </cell>
          <cell r="C51" t="str">
            <v>DDG 51</v>
          </cell>
          <cell r="D51" t="str">
            <v>DDG 51 Destroyer</v>
          </cell>
          <cell r="F51" t="str">
            <v>DDG 51</v>
          </cell>
          <cell r="G51" t="str">
            <v>DDG 51</v>
          </cell>
          <cell r="H51" t="str">
            <v>DDG 51</v>
          </cell>
          <cell r="I51" t="str">
            <v>DDG 51</v>
          </cell>
          <cell r="J51" t="str">
            <v>DDG 51</v>
          </cell>
          <cell r="K51" t="str">
            <v>DDG 51</v>
          </cell>
          <cell r="L51" t="str">
            <v>DDG 51</v>
          </cell>
          <cell r="M51" t="str">
            <v>DDG 51</v>
          </cell>
          <cell r="N51" t="str">
            <v>DDG 51</v>
          </cell>
          <cell r="O51" t="str">
            <v>DDG 51</v>
          </cell>
          <cell r="P51" t="str">
            <v>DDG 51</v>
          </cell>
          <cell r="Q51" t="str">
            <v xml:space="preserve"> - </v>
          </cell>
          <cell r="R51" t="str">
            <v xml:space="preserve"> - </v>
          </cell>
          <cell r="S51" t="str">
            <v xml:space="preserve"> - </v>
          </cell>
          <cell r="T51" t="str">
            <v>DDG 51</v>
          </cell>
        </row>
        <row r="52">
          <cell r="A52" t="str">
            <v>DIMHRS</v>
          </cell>
          <cell r="B52" t="str">
            <v>DIMHRS (PERS/PAY)*</v>
          </cell>
          <cell r="C52" t="str">
            <v>DIMHRS (PERS/PAY)*</v>
          </cell>
          <cell r="L52" t="str">
            <v>DIMHRS</v>
          </cell>
          <cell r="Q52" t="str">
            <v xml:space="preserve"> - </v>
          </cell>
          <cell r="R52" t="str">
            <v xml:space="preserve"> - </v>
          </cell>
          <cell r="S52" t="str">
            <v xml:space="preserve"> - </v>
          </cell>
          <cell r="T52" t="str">
            <v>DIMHRS</v>
          </cell>
        </row>
        <row r="53">
          <cell r="A53" t="str">
            <v>DON-LAIRCM</v>
          </cell>
          <cell r="B53" t="str">
            <v>DON-LAIRCM (Department of Navy-Large Aircraft Infrared Countermeasures)</v>
          </cell>
          <cell r="D53" t="str">
            <v/>
          </cell>
          <cell r="Q53" t="str">
            <v xml:space="preserve"> - </v>
          </cell>
          <cell r="R53" t="str">
            <v xml:space="preserve"> - </v>
          </cell>
          <cell r="S53" t="str">
            <v xml:space="preserve"> - </v>
          </cell>
          <cell r="T53" t="str">
            <v>DON-LAIRCM</v>
          </cell>
        </row>
        <row r="54">
          <cell r="A54" t="str">
            <v>E-2C REPRODUCTION</v>
          </cell>
          <cell r="B54" t="str">
            <v/>
          </cell>
          <cell r="D54" t="str">
            <v/>
          </cell>
          <cell r="F54" t="str">
            <v>E-2C REPRO</v>
          </cell>
          <cell r="G54" t="str">
            <v>E-2C REPRODUCTION</v>
          </cell>
          <cell r="H54" t="str">
            <v>E-2C REPRODUCTION</v>
          </cell>
          <cell r="I54" t="str">
            <v>E-2C REPRODUCTION</v>
          </cell>
          <cell r="J54" t="str">
            <v>E-2C REPRODUCTION</v>
          </cell>
          <cell r="K54" t="str">
            <v>E-2C REPRODUCTION</v>
          </cell>
          <cell r="Q54" t="str">
            <v xml:space="preserve"> - </v>
          </cell>
          <cell r="R54" t="str">
            <v xml:space="preserve"> - </v>
          </cell>
          <cell r="S54" t="str">
            <v xml:space="preserve"> - </v>
          </cell>
          <cell r="T54" t="str">
            <v>E-2C REPRODUCTION</v>
          </cell>
        </row>
        <row r="55">
          <cell r="A55" t="str">
            <v>E-2D AHE</v>
          </cell>
          <cell r="B55" t="str">
            <v>E-2D AHE</v>
          </cell>
          <cell r="C55" t="str">
            <v>E-2D AHE</v>
          </cell>
          <cell r="D55" t="str">
            <v>E-2D Advanced Hawkeye (E-2D AHE)</v>
          </cell>
          <cell r="H55" t="str">
            <v>E-2 ADV HAWKEYE</v>
          </cell>
          <cell r="I55" t="str">
            <v>E-2 ADV HAWKEYE</v>
          </cell>
          <cell r="J55" t="str">
            <v>E-2 ADV HAWKEYE</v>
          </cell>
          <cell r="K55" t="str">
            <v>E-2D AHE</v>
          </cell>
          <cell r="L55" t="str">
            <v>E-2D AHE</v>
          </cell>
          <cell r="M55" t="str">
            <v>E-2D AHE</v>
          </cell>
          <cell r="N55" t="str">
            <v>E-2D AHE</v>
          </cell>
          <cell r="O55" t="str">
            <v>E-2D AHE</v>
          </cell>
          <cell r="P55" t="str">
            <v>E-2D AHE</v>
          </cell>
          <cell r="Q55" t="str">
            <v xml:space="preserve"> - </v>
          </cell>
          <cell r="R55" t="str">
            <v xml:space="preserve"> - </v>
          </cell>
          <cell r="S55" t="str">
            <v xml:space="preserve"> - </v>
          </cell>
          <cell r="T55" t="str">
            <v>E-2D AHE</v>
          </cell>
        </row>
        <row r="56">
          <cell r="A56" t="str">
            <v>E-8 JSTARS</v>
          </cell>
          <cell r="F56" t="str">
            <v>JSTARS</v>
          </cell>
          <cell r="G56" t="str">
            <v>JSTARS</v>
          </cell>
          <cell r="H56" t="str">
            <v>JSTARS</v>
          </cell>
          <cell r="T56" t="str">
            <v>E-8 JSTARS</v>
          </cell>
        </row>
        <row r="57">
          <cell r="A57" t="str">
            <v>EA-18G</v>
          </cell>
          <cell r="B57" t="str">
            <v>EA-18G</v>
          </cell>
          <cell r="C57" t="str">
            <v>EA-18G</v>
          </cell>
          <cell r="D57" t="str">
            <v>EA-18G Growler</v>
          </cell>
          <cell r="H57" t="str">
            <v>EA-18G</v>
          </cell>
          <cell r="I57" t="str">
            <v>EA-18G</v>
          </cell>
          <cell r="J57" t="str">
            <v>EA-18G</v>
          </cell>
          <cell r="K57" t="str">
            <v>EA-18G</v>
          </cell>
          <cell r="L57" t="str">
            <v>EA-18G</v>
          </cell>
          <cell r="M57" t="str">
            <v>EA-18G</v>
          </cell>
          <cell r="N57" t="str">
            <v>EA-18G</v>
          </cell>
          <cell r="O57" t="str">
            <v>EA-18G</v>
          </cell>
          <cell r="P57" t="str">
            <v>EA-18G</v>
          </cell>
          <cell r="Q57" t="str">
            <v xml:space="preserve"> - </v>
          </cell>
          <cell r="R57" t="str">
            <v xml:space="preserve"> - </v>
          </cell>
          <cell r="S57" t="str">
            <v xml:space="preserve"> - </v>
          </cell>
          <cell r="T57" t="str">
            <v>EA-18G</v>
          </cell>
        </row>
        <row r="58">
          <cell r="A58" t="str">
            <v>EA-6B ICAP III</v>
          </cell>
          <cell r="B58" t="str">
            <v>EA-6B ICAP III</v>
          </cell>
          <cell r="C58" t="str">
            <v>EA-6B ICAP III</v>
          </cell>
          <cell r="D58" t="str">
            <v>EA-6B Improved Capability (ICAP) III</v>
          </cell>
          <cell r="M58" t="str">
            <v>EA-6B ICAP III</v>
          </cell>
          <cell r="N58" t="str">
            <v>EA-6B ICAP III</v>
          </cell>
          <cell r="Q58" t="str">
            <v xml:space="preserve"> - </v>
          </cell>
          <cell r="R58" t="str">
            <v xml:space="preserve"> - </v>
          </cell>
          <cell r="S58" t="str">
            <v xml:space="preserve"> - </v>
          </cell>
          <cell r="T58" t="str">
            <v>EA-6B ICAP III</v>
          </cell>
        </row>
        <row r="59">
          <cell r="A59" t="str">
            <v>EELV</v>
          </cell>
          <cell r="B59" t="str">
            <v/>
          </cell>
          <cell r="D59" t="str">
            <v/>
          </cell>
          <cell r="F59" t="str">
            <v>EELV</v>
          </cell>
          <cell r="G59" t="str">
            <v>EELV</v>
          </cell>
          <cell r="H59" t="str">
            <v>EELV</v>
          </cell>
          <cell r="I59" t="str">
            <v>EELV</v>
          </cell>
          <cell r="J59" t="str">
            <v>EELV</v>
          </cell>
          <cell r="K59" t="str">
            <v>EELV</v>
          </cell>
          <cell r="Q59" t="str">
            <v xml:space="preserve"> - </v>
          </cell>
          <cell r="R59" t="str">
            <v xml:space="preserve"> - </v>
          </cell>
          <cell r="S59" t="str">
            <v xml:space="preserve"> - </v>
          </cell>
          <cell r="T59" t="str">
            <v>EELV</v>
          </cell>
        </row>
        <row r="60">
          <cell r="A60" t="str">
            <v>EFV</v>
          </cell>
          <cell r="B60" t="str">
            <v>EFV</v>
          </cell>
          <cell r="C60" t="str">
            <v>EFV</v>
          </cell>
          <cell r="D60" t="str">
            <v>Expeditionary Fighting Vehicle (EFV)</v>
          </cell>
          <cell r="F60" t="str">
            <v>AAAV</v>
          </cell>
          <cell r="G60" t="str">
            <v>AAAV</v>
          </cell>
          <cell r="H60" t="str">
            <v>EFV (AAAV)</v>
          </cell>
          <cell r="I60" t="str">
            <v>EFV (AAAV)</v>
          </cell>
          <cell r="J60" t="str">
            <v>EFV (AAAV)</v>
          </cell>
          <cell r="K60" t="str">
            <v>EFV</v>
          </cell>
          <cell r="L60" t="str">
            <v>EFV</v>
          </cell>
          <cell r="M60" t="str">
            <v>EFV</v>
          </cell>
          <cell r="N60" t="str">
            <v>EFV</v>
          </cell>
          <cell r="O60" t="str">
            <v>EFV</v>
          </cell>
          <cell r="Q60" t="str">
            <v xml:space="preserve"> - </v>
          </cell>
          <cell r="R60" t="str">
            <v xml:space="preserve"> - </v>
          </cell>
          <cell r="S60" t="str">
            <v xml:space="preserve"> - </v>
          </cell>
          <cell r="T60" t="str">
            <v>EFV</v>
          </cell>
        </row>
        <row r="61">
          <cell r="A61" t="str">
            <v>E-IBCT</v>
          </cell>
          <cell r="B61" t="str">
            <v>INCREMENT 1 E-IBCT</v>
          </cell>
          <cell r="C61" t="str">
            <v>INCREMENT 1 E-IBCT</v>
          </cell>
          <cell r="D61" t="str">
            <v>Increment 1 Early-Infantry Brigade Combat Team</v>
          </cell>
          <cell r="O61" t="str">
            <v>INCREMENT 1 E-IBCT</v>
          </cell>
          <cell r="Q61" t="str">
            <v xml:space="preserve"> - </v>
          </cell>
          <cell r="R61" t="str">
            <v xml:space="preserve"> - </v>
          </cell>
          <cell r="S61" t="str">
            <v xml:space="preserve"> - </v>
          </cell>
          <cell r="T61" t="str">
            <v>E-IBCT</v>
          </cell>
        </row>
        <row r="62">
          <cell r="A62" t="str">
            <v>ER/MP UAS</v>
          </cell>
          <cell r="B62" t="str">
            <v>Sky Warrior**</v>
          </cell>
          <cell r="D62" t="str">
            <v/>
          </cell>
          <cell r="Q62" t="str">
            <v xml:space="preserve"> - </v>
          </cell>
          <cell r="R62" t="str">
            <v xml:space="preserve"> - </v>
          </cell>
          <cell r="S62" t="str">
            <v xml:space="preserve"> - </v>
          </cell>
          <cell r="T62" t="str">
            <v>ER/MP UAS</v>
          </cell>
        </row>
        <row r="63">
          <cell r="A63" t="str">
            <v>ERM</v>
          </cell>
          <cell r="B63" t="str">
            <v>ERM**** (Extended Range Munition) (funding was stopped March 19, 2008)</v>
          </cell>
          <cell r="C63" t="str">
            <v>ERM**** (Extended Range Munition) (funding was stopped March 19, 2008)</v>
          </cell>
          <cell r="D63" t="str">
            <v/>
          </cell>
          <cell r="L63" t="str">
            <v>ERM</v>
          </cell>
          <cell r="Q63" t="str">
            <v xml:space="preserve"> - </v>
          </cell>
          <cell r="R63" t="str">
            <v xml:space="preserve"> - </v>
          </cell>
          <cell r="S63" t="str">
            <v xml:space="preserve"> - </v>
          </cell>
          <cell r="T63" t="str">
            <v>ERM</v>
          </cell>
        </row>
        <row r="64">
          <cell r="A64" t="str">
            <v>EXCALIBUR</v>
          </cell>
          <cell r="B64" t="str">
            <v>Excalibur</v>
          </cell>
          <cell r="C64" t="str">
            <v>Excalibur</v>
          </cell>
          <cell r="D64" t="str">
            <v>M982 155mm Precision Guided Extended Range Artillery Projectile (Excalibur)</v>
          </cell>
          <cell r="H64" t="str">
            <v>EXCALIBUR</v>
          </cell>
          <cell r="I64" t="str">
            <v>EXCALIBUR</v>
          </cell>
          <cell r="J64" t="str">
            <v>EXCALIBUR</v>
          </cell>
          <cell r="K64" t="str">
            <v>EXCALIBUR</v>
          </cell>
          <cell r="L64" t="str">
            <v>EXCALIBUR</v>
          </cell>
          <cell r="M64" t="str">
            <v>EXCALIBUR</v>
          </cell>
          <cell r="N64" t="str">
            <v>EXCALIBUR</v>
          </cell>
          <cell r="O64" t="str">
            <v>EXCALIBUR</v>
          </cell>
          <cell r="P64" t="str">
            <v>EXCALIBUR</v>
          </cell>
          <cell r="Q64" t="str">
            <v xml:space="preserve"> - </v>
          </cell>
          <cell r="R64" t="str">
            <v xml:space="preserve"> - </v>
          </cell>
          <cell r="S64" t="str">
            <v xml:space="preserve"> - </v>
          </cell>
          <cell r="T64" t="str">
            <v>EXCALIBUR</v>
          </cell>
        </row>
        <row r="65">
          <cell r="A65" t="str">
            <v>F/A-18E/F</v>
          </cell>
          <cell r="B65" t="str">
            <v>F/A-18E/F</v>
          </cell>
          <cell r="C65" t="str">
            <v>F/A-18E/F</v>
          </cell>
          <cell r="D65" t="str">
            <v>F/A-18E/F Super Hornet</v>
          </cell>
          <cell r="F65" t="str">
            <v>F/A-18 E/F</v>
          </cell>
          <cell r="G65" t="str">
            <v>F/A-18 E/F</v>
          </cell>
          <cell r="H65" t="str">
            <v>F/A-18E/F</v>
          </cell>
          <cell r="I65" t="str">
            <v>F/A-18E/F</v>
          </cell>
          <cell r="J65" t="str">
            <v>F/A-18E/F</v>
          </cell>
          <cell r="K65" t="str">
            <v>F/A-18E/F</v>
          </cell>
          <cell r="L65" t="str">
            <v>F/A-18E/F</v>
          </cell>
          <cell r="M65" t="str">
            <v>F/A-18E/F</v>
          </cell>
          <cell r="N65" t="str">
            <v>F/A-18E/F</v>
          </cell>
          <cell r="O65" t="str">
            <v>F/A-18E/F</v>
          </cell>
          <cell r="P65" t="str">
            <v>F/A-18E/F</v>
          </cell>
          <cell r="Q65" t="str">
            <v xml:space="preserve"> - </v>
          </cell>
          <cell r="R65" t="str">
            <v xml:space="preserve"> - </v>
          </cell>
          <cell r="S65" t="str">
            <v xml:space="preserve"> - </v>
          </cell>
          <cell r="T65" t="str">
            <v>F/A-18E/F</v>
          </cell>
        </row>
        <row r="66">
          <cell r="A66" t="str">
            <v>F-22</v>
          </cell>
          <cell r="B66" t="str">
            <v>F-22</v>
          </cell>
          <cell r="C66" t="str">
            <v>F-22</v>
          </cell>
          <cell r="D66" t="str">
            <v>F-22 Raptor</v>
          </cell>
          <cell r="F66" t="str">
            <v>F-22</v>
          </cell>
          <cell r="G66" t="str">
            <v>F/A-22</v>
          </cell>
          <cell r="H66" t="str">
            <v>F/A-22</v>
          </cell>
          <cell r="I66" t="str">
            <v>F/A-22</v>
          </cell>
          <cell r="J66" t="str">
            <v>F/A-22</v>
          </cell>
          <cell r="K66" t="str">
            <v>F-22A</v>
          </cell>
          <cell r="L66" t="str">
            <v>F-22</v>
          </cell>
          <cell r="M66" t="str">
            <v>F-22</v>
          </cell>
          <cell r="N66" t="str">
            <v>F-22</v>
          </cell>
          <cell r="O66" t="str">
            <v>F-22</v>
          </cell>
          <cell r="Q66" t="str">
            <v xml:space="preserve"> - </v>
          </cell>
          <cell r="R66" t="str">
            <v xml:space="preserve"> - </v>
          </cell>
          <cell r="S66" t="str">
            <v xml:space="preserve"> - </v>
          </cell>
          <cell r="T66" t="str">
            <v>F-22</v>
          </cell>
        </row>
        <row r="67">
          <cell r="A67" t="str">
            <v>F-35</v>
          </cell>
          <cell r="B67" t="str">
            <v>F-35</v>
          </cell>
          <cell r="C67" t="str">
            <v>F-35</v>
          </cell>
          <cell r="D67" t="str">
            <v>F-35 Lightning II (Joint Strike Fighter)</v>
          </cell>
          <cell r="F67" t="str">
            <v>JSF</v>
          </cell>
          <cell r="G67" t="str">
            <v>JSF (F-35)</v>
          </cell>
          <cell r="H67" t="str">
            <v>JSF (F-35)</v>
          </cell>
          <cell r="I67" t="str">
            <v>JSF (F-35)</v>
          </cell>
          <cell r="J67" t="str">
            <v>JSF (F-35)</v>
          </cell>
          <cell r="K67" t="str">
            <v>F-35 (JSF)</v>
          </cell>
          <cell r="L67" t="str">
            <v>F-35 (JSF)</v>
          </cell>
          <cell r="M67" t="str">
            <v>F-35 (JSF)</v>
          </cell>
          <cell r="N67" t="str">
            <v>F-35</v>
          </cell>
          <cell r="O67" t="str">
            <v>F-35</v>
          </cell>
          <cell r="Q67" t="str">
            <v xml:space="preserve"> - </v>
          </cell>
          <cell r="R67" t="str">
            <v xml:space="preserve"> - </v>
          </cell>
          <cell r="S67" t="str">
            <v xml:space="preserve"> - </v>
          </cell>
          <cell r="T67" t="str">
            <v>F-35</v>
          </cell>
        </row>
        <row r="68">
          <cell r="A68" t="str">
            <v>F-35 Aircraft</v>
          </cell>
          <cell r="B68" t="str">
            <v>F-35 Aircraft</v>
          </cell>
          <cell r="C68" t="str">
            <v>F-35 Aircraft</v>
          </cell>
          <cell r="P68" t="str">
            <v>F-35 Aircraft</v>
          </cell>
          <cell r="Q68" t="str">
            <v xml:space="preserve"> - </v>
          </cell>
          <cell r="R68" t="str">
            <v xml:space="preserve"> - </v>
          </cell>
          <cell r="S68" t="str">
            <v xml:space="preserve"> - </v>
          </cell>
          <cell r="T68" t="str">
            <v>F-35 Aircraft</v>
          </cell>
        </row>
        <row r="69">
          <cell r="A69" t="str">
            <v>F-35 Engine</v>
          </cell>
          <cell r="B69" t="str">
            <v>F-35 Engine</v>
          </cell>
          <cell r="C69" t="str">
            <v>F-35 Engine</v>
          </cell>
          <cell r="P69" t="str">
            <v>F-35 Engine</v>
          </cell>
          <cell r="Q69" t="str">
            <v xml:space="preserve"> - </v>
          </cell>
          <cell r="R69" t="str">
            <v xml:space="preserve"> - </v>
          </cell>
          <cell r="S69" t="str">
            <v xml:space="preserve"> - </v>
          </cell>
          <cell r="T69" t="str">
            <v>F-35 Engine</v>
          </cell>
        </row>
        <row r="70">
          <cell r="A70" t="str">
            <v>FAB-T</v>
          </cell>
          <cell r="B70" t="str">
            <v>FAB-T</v>
          </cell>
          <cell r="C70" t="str">
            <v>FAB-T</v>
          </cell>
          <cell r="D70" t="str">
            <v>Family of Advanced Beyond Line-of-Sight Terminals (FAB-T)</v>
          </cell>
          <cell r="L70" t="str">
            <v>FAB-T</v>
          </cell>
          <cell r="M70" t="str">
            <v>FAB-T</v>
          </cell>
          <cell r="N70" t="str">
            <v>FAB-T</v>
          </cell>
          <cell r="O70" t="str">
            <v>FAB-T</v>
          </cell>
          <cell r="P70" t="str">
            <v>FAB-T</v>
          </cell>
          <cell r="Q70" t="str">
            <v xml:space="preserve"> - </v>
          </cell>
          <cell r="R70" t="str">
            <v xml:space="preserve"> - </v>
          </cell>
          <cell r="S70" t="str">
            <v xml:space="preserve"> - </v>
          </cell>
          <cell r="T70" t="str">
            <v>FAB-T</v>
          </cell>
        </row>
        <row r="71">
          <cell r="A71" t="str">
            <v>FBCB2</v>
          </cell>
          <cell r="B71" t="str">
            <v>FBCB2</v>
          </cell>
          <cell r="C71" t="str">
            <v>FBCB2</v>
          </cell>
          <cell r="D71" t="str">
            <v>Force XXI Battle Command Brigade and Below (FBCB2)</v>
          </cell>
          <cell r="F71" t="str">
            <v>FBCB2</v>
          </cell>
          <cell r="G71" t="str">
            <v>FBCB2</v>
          </cell>
          <cell r="H71" t="str">
            <v>FBCB2</v>
          </cell>
          <cell r="I71" t="str">
            <v>FBCB2</v>
          </cell>
          <cell r="J71" t="str">
            <v>FBCB2</v>
          </cell>
          <cell r="K71" t="str">
            <v>FBCB2</v>
          </cell>
          <cell r="L71" t="str">
            <v>FBCB2</v>
          </cell>
          <cell r="M71" t="str">
            <v>FBCB2</v>
          </cell>
          <cell r="N71" t="str">
            <v>FBCB2</v>
          </cell>
          <cell r="O71" t="str">
            <v>FBCB2</v>
          </cell>
          <cell r="Q71" t="str">
            <v xml:space="preserve"> - </v>
          </cell>
          <cell r="R71" t="str">
            <v xml:space="preserve"> - </v>
          </cell>
          <cell r="S71" t="str">
            <v xml:space="preserve"> - </v>
          </cell>
          <cell r="T71" t="str">
            <v>FBCB2</v>
          </cell>
        </row>
        <row r="72">
          <cell r="A72" t="str">
            <v>FCS</v>
          </cell>
          <cell r="B72" t="str">
            <v>FCS</v>
          </cell>
          <cell r="C72" t="str">
            <v>FCS</v>
          </cell>
          <cell r="D72" t="str">
            <v/>
          </cell>
          <cell r="H72" t="str">
            <v>FCS</v>
          </cell>
          <cell r="I72" t="str">
            <v>FCS</v>
          </cell>
          <cell r="J72" t="str">
            <v>FCS</v>
          </cell>
          <cell r="K72" t="str">
            <v>FCS</v>
          </cell>
          <cell r="L72" t="str">
            <v>FCS</v>
          </cell>
          <cell r="M72" t="str">
            <v>FCS</v>
          </cell>
          <cell r="Q72" t="str">
            <v xml:space="preserve"> - </v>
          </cell>
          <cell r="R72" t="str">
            <v xml:space="preserve"> - </v>
          </cell>
          <cell r="S72" t="str">
            <v xml:space="preserve"> - </v>
          </cell>
          <cell r="T72" t="str">
            <v>FCS</v>
          </cell>
        </row>
        <row r="73">
          <cell r="A73" t="str">
            <v>FMTV</v>
          </cell>
          <cell r="B73" t="str">
            <v>FMTV</v>
          </cell>
          <cell r="C73" t="str">
            <v>FMTV</v>
          </cell>
          <cell r="D73" t="str">
            <v>Family of Medium Tactical Vehicles (FMTV)</v>
          </cell>
          <cell r="F73" t="str">
            <v>FMTV</v>
          </cell>
          <cell r="G73" t="str">
            <v>FMTV</v>
          </cell>
          <cell r="H73" t="str">
            <v>FMTV</v>
          </cell>
          <cell r="I73" t="str">
            <v>FMTV</v>
          </cell>
          <cell r="J73" t="str">
            <v>FMTV</v>
          </cell>
          <cell r="K73" t="str">
            <v>FMTV</v>
          </cell>
          <cell r="L73" t="str">
            <v>FMTV</v>
          </cell>
          <cell r="M73" t="str">
            <v>FMTV</v>
          </cell>
          <cell r="N73" t="str">
            <v>FMTV</v>
          </cell>
          <cell r="O73" t="str">
            <v>FMTV</v>
          </cell>
          <cell r="P73" t="str">
            <v>FMTV</v>
          </cell>
          <cell r="Q73" t="str">
            <v xml:space="preserve"> - </v>
          </cell>
          <cell r="R73" t="str">
            <v xml:space="preserve"> - </v>
          </cell>
          <cell r="S73" t="str">
            <v xml:space="preserve"> - </v>
          </cell>
          <cell r="T73" t="str">
            <v>FMTV</v>
          </cell>
        </row>
        <row r="74">
          <cell r="A74" t="str">
            <v>GBS</v>
          </cell>
          <cell r="B74" t="str">
            <v>GBS (Global Broadcast Service)</v>
          </cell>
          <cell r="C74" t="str">
            <v>GBS (Global Broadcast Service)</v>
          </cell>
          <cell r="D74" t="str">
            <v>Global Broadcast Service (GBS)</v>
          </cell>
          <cell r="F74" t="str">
            <v>GBS</v>
          </cell>
          <cell r="G74" t="str">
            <v>GBS</v>
          </cell>
          <cell r="H74" t="str">
            <v>GBS</v>
          </cell>
          <cell r="I74" t="str">
            <v>GBS</v>
          </cell>
          <cell r="J74" t="str">
            <v>GBS</v>
          </cell>
          <cell r="K74" t="str">
            <v>GBS</v>
          </cell>
          <cell r="L74" t="str">
            <v>GBS</v>
          </cell>
          <cell r="M74" t="str">
            <v>GBS</v>
          </cell>
          <cell r="N74" t="str">
            <v>GBS</v>
          </cell>
          <cell r="O74" t="str">
            <v>GBS</v>
          </cell>
          <cell r="P74" t="str">
            <v>GBS</v>
          </cell>
          <cell r="Q74" t="str">
            <v xml:space="preserve"> - </v>
          </cell>
          <cell r="R74" t="str">
            <v xml:space="preserve"> - </v>
          </cell>
          <cell r="S74" t="str">
            <v xml:space="preserve"> - </v>
          </cell>
          <cell r="T74" t="str">
            <v>GBS</v>
          </cell>
        </row>
        <row r="75">
          <cell r="A75" t="str">
            <v>GCSS Army</v>
          </cell>
          <cell r="B75" t="str">
            <v>GCSS Army (Global Combat Support System Army)</v>
          </cell>
          <cell r="D75" t="str">
            <v/>
          </cell>
          <cell r="Q75" t="str">
            <v xml:space="preserve"> - </v>
          </cell>
          <cell r="R75" t="str">
            <v xml:space="preserve"> - </v>
          </cell>
          <cell r="S75" t="str">
            <v xml:space="preserve"> - </v>
          </cell>
          <cell r="T75" t="str">
            <v>GCSS Army</v>
          </cell>
        </row>
        <row r="76">
          <cell r="A76" t="str">
            <v>GMLRS</v>
          </cell>
          <cell r="B76" t="str">
            <v>GMLRS (Guided Multiple Launch Rocket System)</v>
          </cell>
          <cell r="C76" t="str">
            <v>GMLRS (Guided Multiple Launch Rocket System)</v>
          </cell>
          <cell r="D76" t="str">
            <v>Guided Multiple Launch Rocket System (GMLRS)</v>
          </cell>
          <cell r="G76" t="str">
            <v>GMLRS</v>
          </cell>
          <cell r="H76" t="str">
            <v>GMLRS</v>
          </cell>
          <cell r="I76" t="str">
            <v>GMLRS</v>
          </cell>
          <cell r="J76" t="str">
            <v>GMLRS</v>
          </cell>
          <cell r="K76" t="str">
            <v>GMLRS</v>
          </cell>
          <cell r="L76" t="str">
            <v>GMLRS</v>
          </cell>
          <cell r="M76" t="str">
            <v>GMLRS</v>
          </cell>
          <cell r="N76" t="str">
            <v>GMLRS</v>
          </cell>
          <cell r="O76" t="str">
            <v>GMLRS/GMLRS AW</v>
          </cell>
          <cell r="P76" t="str">
            <v>GMLRS/GMLRS AW</v>
          </cell>
          <cell r="Q76" t="str">
            <v xml:space="preserve"> - </v>
          </cell>
          <cell r="R76" t="str">
            <v xml:space="preserve"> - </v>
          </cell>
          <cell r="S76" t="str">
            <v xml:space="preserve"> - </v>
          </cell>
          <cell r="T76" t="str">
            <v>GMLRS</v>
          </cell>
        </row>
        <row r="77">
          <cell r="A77" t="str">
            <v>GPS IIIA</v>
          </cell>
          <cell r="B77" t="str">
            <v>GPS IIIA</v>
          </cell>
          <cell r="C77" t="str">
            <v>GPS IIIA</v>
          </cell>
          <cell r="D77" t="str">
            <v>Global Positioning System (GPS) III</v>
          </cell>
          <cell r="M77" t="str">
            <v>GPS IIIA</v>
          </cell>
          <cell r="N77" t="str">
            <v>GPS-IIIA</v>
          </cell>
          <cell r="O77" t="str">
            <v>GPS IIIA</v>
          </cell>
          <cell r="P77" t="str">
            <v>GPS III</v>
          </cell>
          <cell r="Q77" t="str">
            <v xml:space="preserve"> - </v>
          </cell>
          <cell r="R77" t="str">
            <v xml:space="preserve"> - </v>
          </cell>
          <cell r="S77" t="str">
            <v xml:space="preserve"> - </v>
          </cell>
          <cell r="T77" t="str">
            <v>GPS IIIA</v>
          </cell>
        </row>
        <row r="78">
          <cell r="A78" t="str">
            <v>H-1 Upgrades</v>
          </cell>
          <cell r="B78" t="str">
            <v>H-1 Upgrades (4BW/4BN)</v>
          </cell>
          <cell r="C78" t="str">
            <v>H-1 Upgrades (4BW/4BN</v>
          </cell>
          <cell r="D78" t="str">
            <v>H-1 Upgrades (4BW/4BN)</v>
          </cell>
          <cell r="F78" t="str">
            <v>USMC H-1 UPGRADES</v>
          </cell>
          <cell r="G78" t="str">
            <v>USMC H-1 UPGRADES</v>
          </cell>
          <cell r="H78" t="str">
            <v>H-1 UPGRADES</v>
          </cell>
          <cell r="I78" t="str">
            <v>H-1 UPGRADES</v>
          </cell>
          <cell r="J78" t="str">
            <v>H-1 UPGRADES</v>
          </cell>
          <cell r="K78" t="str">
            <v>H-1 UPGRADES</v>
          </cell>
          <cell r="L78" t="str">
            <v>H-1 UPGRADES (4BW/4BN)</v>
          </cell>
          <cell r="M78" t="str">
            <v>H-1 UPGRADES (4BW/4BN)</v>
          </cell>
          <cell r="N78" t="str">
            <v>H-1 UPGRADES (4BW/4BN)</v>
          </cell>
          <cell r="O78" t="str">
            <v>H-1 UPGRADES (4BW/4BN)</v>
          </cell>
          <cell r="P78" t="str">
            <v>H-1 UPGRADES (4BW/4BN)</v>
          </cell>
          <cell r="Q78" t="str">
            <v xml:space="preserve"> - </v>
          </cell>
          <cell r="R78" t="str">
            <v xml:space="preserve"> - </v>
          </cell>
          <cell r="S78" t="str">
            <v xml:space="preserve"> - </v>
          </cell>
          <cell r="T78" t="str">
            <v>H-1 Upgrades</v>
          </cell>
        </row>
        <row r="79">
          <cell r="A79" t="str">
            <v>HC/MC-130 RECAP</v>
          </cell>
          <cell r="B79" t="str">
            <v/>
          </cell>
          <cell r="C79" t="str">
            <v/>
          </cell>
          <cell r="D79" t="str">
            <v>HC/MC-130 Recapitalization Program</v>
          </cell>
          <cell r="O79" t="str">
            <v>HC/MC-130 RECAPITALIZATION</v>
          </cell>
          <cell r="P79" t="str">
            <v>HC/MC-130 RECAPITALIZATION</v>
          </cell>
          <cell r="Q79" t="str">
            <v xml:space="preserve"> - </v>
          </cell>
          <cell r="R79" t="str">
            <v xml:space="preserve"> - </v>
          </cell>
          <cell r="S79" t="str">
            <v xml:space="preserve"> - </v>
          </cell>
          <cell r="T79" t="str">
            <v>HC/MC-130 RECAP</v>
          </cell>
        </row>
        <row r="80">
          <cell r="A80" t="str">
            <v>HIMARS</v>
          </cell>
          <cell r="B80" t="str">
            <v>HIMARS</v>
          </cell>
          <cell r="C80" t="str">
            <v>HIMARS</v>
          </cell>
          <cell r="D80" t="str">
            <v>High Mobility Artillery Rocket System (HIMARS)</v>
          </cell>
          <cell r="H80" t="str">
            <v>HIMARS</v>
          </cell>
          <cell r="I80" t="str">
            <v>HIMARS</v>
          </cell>
          <cell r="J80" t="str">
            <v>HIMARS</v>
          </cell>
          <cell r="K80" t="str">
            <v>HIMARS</v>
          </cell>
          <cell r="L80" t="str">
            <v>HIMARS</v>
          </cell>
          <cell r="M80" t="str">
            <v>HIMARS</v>
          </cell>
          <cell r="N80" t="str">
            <v>HIMARS</v>
          </cell>
          <cell r="O80" t="str">
            <v>HIMARS</v>
          </cell>
          <cell r="P80" t="str">
            <v>HIMARS</v>
          </cell>
          <cell r="Q80" t="str">
            <v xml:space="preserve"> - </v>
          </cell>
          <cell r="R80" t="str">
            <v xml:space="preserve"> - </v>
          </cell>
          <cell r="S80" t="str">
            <v xml:space="preserve"> - </v>
          </cell>
          <cell r="T80" t="str">
            <v>HIMARS</v>
          </cell>
        </row>
        <row r="81">
          <cell r="A81" t="str">
            <v>HLR</v>
          </cell>
          <cell r="B81" t="str">
            <v/>
          </cell>
          <cell r="D81" t="str">
            <v/>
          </cell>
          <cell r="Q81" t="str">
            <v xml:space="preserve"> - </v>
          </cell>
          <cell r="R81" t="str">
            <v xml:space="preserve"> - </v>
          </cell>
          <cell r="S81" t="str">
            <v xml:space="preserve"> - </v>
          </cell>
          <cell r="T81" t="str">
            <v>HLR</v>
          </cell>
        </row>
        <row r="82">
          <cell r="A82" t="str">
            <v>HPCM</v>
          </cell>
          <cell r="B82" t="str">
            <v>HPCM** (High Performance Computer Modernization)</v>
          </cell>
          <cell r="D82" t="str">
            <v/>
          </cell>
          <cell r="Q82" t="str">
            <v xml:space="preserve"> - </v>
          </cell>
          <cell r="R82" t="str">
            <v xml:space="preserve"> - </v>
          </cell>
          <cell r="S82" t="str">
            <v xml:space="preserve"> - </v>
          </cell>
          <cell r="T82" t="str">
            <v>HPCM</v>
          </cell>
        </row>
        <row r="83">
          <cell r="A83" t="str">
            <v>IAMD</v>
          </cell>
          <cell r="B83" t="str">
            <v>IAMD</v>
          </cell>
          <cell r="C83" t="str">
            <v>IAMD</v>
          </cell>
          <cell r="D83" t="str">
            <v>Army Integrated Air &amp; Missile Defense (Army IAMD)</v>
          </cell>
          <cell r="O83" t="str">
            <v>IAMD</v>
          </cell>
          <cell r="P83" t="str">
            <v>IAMD</v>
          </cell>
          <cell r="Q83" t="str">
            <v xml:space="preserve"> - </v>
          </cell>
          <cell r="R83" t="str">
            <v xml:space="preserve"> - </v>
          </cell>
          <cell r="S83" t="str">
            <v xml:space="preserve"> - </v>
          </cell>
          <cell r="T83" t="str">
            <v>IAMD</v>
          </cell>
        </row>
        <row r="84">
          <cell r="A84" t="str">
            <v>IDECM</v>
          </cell>
          <cell r="B84" t="str">
            <v>IDECM</v>
          </cell>
          <cell r="C84" t="str">
            <v>IDECM</v>
          </cell>
          <cell r="D84" t="str">
            <v>Integrated Defensive Electronic Countermeasures (IDECM)</v>
          </cell>
          <cell r="Q84" t="str">
            <v xml:space="preserve"> - </v>
          </cell>
          <cell r="R84" t="str">
            <v xml:space="preserve"> - </v>
          </cell>
          <cell r="S84" t="str">
            <v xml:space="preserve"> - </v>
          </cell>
          <cell r="T84" t="str">
            <v>IDECM</v>
          </cell>
        </row>
        <row r="85">
          <cell r="A85" t="str">
            <v>IDECM Split</v>
          </cell>
          <cell r="B85" t="str">
            <v>IDECM (Block 2/3)</v>
          </cell>
          <cell r="D85" t="str">
            <v>Integrated Defensive Electronic Countermeasures (IDECM) Blocks 2/3</v>
          </cell>
          <cell r="M85" t="str">
            <v>IDECM-Blocks 2/3</v>
          </cell>
          <cell r="N85" t="str">
            <v>IDECM Block 2/3</v>
          </cell>
          <cell r="O85" t="str">
            <v>IDECM - IDECM Blocks 2/3</v>
          </cell>
          <cell r="P85" t="str">
            <v>IDECM - IDECM Blocks 2/3</v>
          </cell>
          <cell r="Q85" t="str">
            <v xml:space="preserve"> - </v>
          </cell>
          <cell r="R85" t="str">
            <v xml:space="preserve"> - </v>
          </cell>
          <cell r="S85" t="str">
            <v xml:space="preserve"> - </v>
          </cell>
          <cell r="T85" t="str">
            <v>IDECM Split</v>
          </cell>
        </row>
        <row r="86">
          <cell r="A86" t="str">
            <v>IDECM Split</v>
          </cell>
          <cell r="B86" t="str">
            <v>IDECM (Block 4)</v>
          </cell>
          <cell r="D86" t="str">
            <v>Integrated Defensive Electronic Countermeasures (IDECM) Block 4</v>
          </cell>
          <cell r="M86" t="str">
            <v>IDECM-Blocks 4</v>
          </cell>
          <cell r="N86" t="str">
            <v>IDECM Block 4</v>
          </cell>
          <cell r="O86" t="str">
            <v>IDECM - IDECM Block 4</v>
          </cell>
          <cell r="P86" t="str">
            <v>IDECM - IDECM Block 4</v>
          </cell>
          <cell r="Q86" t="str">
            <v xml:space="preserve"> - </v>
          </cell>
          <cell r="R86" t="str">
            <v xml:space="preserve"> - </v>
          </cell>
          <cell r="S86" t="str">
            <v xml:space="preserve"> - </v>
          </cell>
          <cell r="T86" t="str">
            <v>IDECM Split</v>
          </cell>
        </row>
        <row r="87">
          <cell r="A87" t="str">
            <v>JASSM</v>
          </cell>
          <cell r="B87" t="str">
            <v>JASSM</v>
          </cell>
          <cell r="C87" t="str">
            <v>JASSM</v>
          </cell>
          <cell r="D87" t="str">
            <v>Joint Air-to-Surface Standoff Missile (JASSM)</v>
          </cell>
          <cell r="F87" t="str">
            <v>JASSM</v>
          </cell>
          <cell r="G87" t="str">
            <v>JASSM</v>
          </cell>
          <cell r="H87" t="str">
            <v>JASSM</v>
          </cell>
          <cell r="I87" t="str">
            <v>JASSM</v>
          </cell>
          <cell r="J87" t="str">
            <v>JASSM</v>
          </cell>
          <cell r="K87" t="str">
            <v>JASSM</v>
          </cell>
          <cell r="L87" t="str">
            <v>JASSM</v>
          </cell>
          <cell r="M87" t="str">
            <v>JASSM</v>
          </cell>
          <cell r="N87" t="str">
            <v>JASSM (JASSM/JASSM-ER)</v>
          </cell>
          <cell r="Q87" t="str">
            <v xml:space="preserve"> - </v>
          </cell>
          <cell r="R87" t="str">
            <v xml:space="preserve"> - </v>
          </cell>
          <cell r="S87" t="str">
            <v xml:space="preserve"> - </v>
          </cell>
          <cell r="T87" t="str">
            <v>JASSM</v>
          </cell>
        </row>
        <row r="88">
          <cell r="A88" t="str">
            <v>JASSM Split</v>
          </cell>
          <cell r="B88" t="str">
            <v>JASSM</v>
          </cell>
          <cell r="C88" t="str">
            <v>JASSM</v>
          </cell>
          <cell r="D88" t="str">
            <v>Joint Air-to-Surface Standoff Missile (JASSM)</v>
          </cell>
          <cell r="O88" t="str">
            <v>JASSM Baseline</v>
          </cell>
          <cell r="P88" t="str">
            <v>JASSM - JASSM Baseline</v>
          </cell>
          <cell r="Q88" t="str">
            <v xml:space="preserve"> - </v>
          </cell>
          <cell r="R88" t="str">
            <v xml:space="preserve"> - </v>
          </cell>
          <cell r="S88" t="str">
            <v xml:space="preserve"> - </v>
          </cell>
          <cell r="T88" t="str">
            <v>JASSM Split</v>
          </cell>
        </row>
        <row r="89">
          <cell r="A89" t="str">
            <v>JASSM Split</v>
          </cell>
          <cell r="B89" t="str">
            <v>JASSM</v>
          </cell>
          <cell r="C89" t="str">
            <v>JASSM</v>
          </cell>
          <cell r="D89" t="str">
            <v>Joint Air-to-Surface Standoff Missile (JASSM)</v>
          </cell>
          <cell r="O89" t="str">
            <v>JASSM -ER</v>
          </cell>
          <cell r="P89" t="str">
            <v>JASSM - JASSM-ER</v>
          </cell>
          <cell r="Q89" t="str">
            <v xml:space="preserve"> - </v>
          </cell>
          <cell r="R89" t="str">
            <v xml:space="preserve"> - </v>
          </cell>
          <cell r="S89" t="str">
            <v xml:space="preserve"> - </v>
          </cell>
          <cell r="T89" t="str">
            <v>JASSM Split</v>
          </cell>
        </row>
        <row r="90">
          <cell r="A90" t="str">
            <v>JAVELIN</v>
          </cell>
          <cell r="B90" t="str">
            <v/>
          </cell>
          <cell r="D90" t="str">
            <v/>
          </cell>
          <cell r="F90" t="str">
            <v>JAVELIN</v>
          </cell>
          <cell r="G90" t="str">
            <v>JAVELIN</v>
          </cell>
          <cell r="H90" t="str">
            <v>JAVELIN</v>
          </cell>
          <cell r="I90" t="str">
            <v>JAVELIN</v>
          </cell>
          <cell r="J90" t="str">
            <v>JAVELIN</v>
          </cell>
          <cell r="K90" t="str">
            <v>JAVELIN</v>
          </cell>
          <cell r="L90" t="str">
            <v>JAVELIN</v>
          </cell>
          <cell r="Q90" t="str">
            <v xml:space="preserve"> - </v>
          </cell>
          <cell r="R90" t="str">
            <v xml:space="preserve"> - </v>
          </cell>
          <cell r="S90" t="str">
            <v xml:space="preserve"> - </v>
          </cell>
          <cell r="T90" t="str">
            <v>JAVELIN</v>
          </cell>
        </row>
        <row r="91">
          <cell r="A91" t="str">
            <v>JCA</v>
          </cell>
          <cell r="B91" t="str">
            <v>JCA (C-27J Spartan)</v>
          </cell>
          <cell r="C91" t="str">
            <v>JCA (C-27J Spartan)</v>
          </cell>
          <cell r="D91" t="str">
            <v>C-27J Spartan</v>
          </cell>
          <cell r="M91" t="str">
            <v>JCA</v>
          </cell>
          <cell r="N91" t="str">
            <v>JCA</v>
          </cell>
          <cell r="O91" t="str">
            <v>C-27J</v>
          </cell>
          <cell r="Q91" t="str">
            <v xml:space="preserve"> - </v>
          </cell>
          <cell r="R91" t="str">
            <v xml:space="preserve"> - </v>
          </cell>
          <cell r="S91" t="str">
            <v xml:space="preserve"> - </v>
          </cell>
          <cell r="T91" t="str">
            <v>JCA</v>
          </cell>
        </row>
        <row r="92">
          <cell r="A92" t="str">
            <v>JCM</v>
          </cell>
          <cell r="B92" t="str">
            <v/>
          </cell>
          <cell r="D92" t="str">
            <v/>
          </cell>
          <cell r="I92" t="str">
            <v>JCM</v>
          </cell>
          <cell r="Q92" t="str">
            <v xml:space="preserve"> - </v>
          </cell>
          <cell r="R92" t="str">
            <v xml:space="preserve"> - </v>
          </cell>
          <cell r="S92" t="str">
            <v xml:space="preserve"> - </v>
          </cell>
          <cell r="T92" t="str">
            <v>JCM</v>
          </cell>
        </row>
        <row r="93">
          <cell r="A93" t="str">
            <v>JDAM</v>
          </cell>
          <cell r="B93" t="str">
            <v>JDAM</v>
          </cell>
          <cell r="C93" t="str">
            <v>JDAM</v>
          </cell>
          <cell r="D93" t="str">
            <v>Joint Direct Attack Munition</v>
          </cell>
          <cell r="F93" t="str">
            <v>JDAM</v>
          </cell>
          <cell r="G93" t="str">
            <v>JDAM</v>
          </cell>
          <cell r="H93" t="str">
            <v>JDAM</v>
          </cell>
          <cell r="I93" t="str">
            <v>JDAM</v>
          </cell>
          <cell r="J93" t="str">
            <v>JDAM</v>
          </cell>
          <cell r="K93" t="str">
            <v>JDAM</v>
          </cell>
          <cell r="L93" t="str">
            <v>JDAM</v>
          </cell>
          <cell r="M93" t="str">
            <v>JDAM</v>
          </cell>
          <cell r="N93" t="str">
            <v>JDAM</v>
          </cell>
          <cell r="O93" t="str">
            <v>JDAM</v>
          </cell>
          <cell r="P93" t="str">
            <v>JDAM</v>
          </cell>
          <cell r="Q93" t="str">
            <v xml:space="preserve"> - </v>
          </cell>
          <cell r="R93" t="str">
            <v xml:space="preserve"> - </v>
          </cell>
          <cell r="S93" t="str">
            <v xml:space="preserve"> - </v>
          </cell>
          <cell r="T93" t="str">
            <v>JDAM</v>
          </cell>
        </row>
        <row r="94">
          <cell r="A94" t="str">
            <v>JDAM JPATS</v>
          </cell>
          <cell r="B94" t="str">
            <v/>
          </cell>
          <cell r="C94" t="str">
            <v/>
          </cell>
          <cell r="Q94" t="str">
            <v xml:space="preserve"> - </v>
          </cell>
          <cell r="R94" t="str">
            <v xml:space="preserve"> - </v>
          </cell>
          <cell r="S94" t="str">
            <v xml:space="preserve"> - </v>
          </cell>
          <cell r="T94" t="str">
            <v>JDAM JPATS</v>
          </cell>
        </row>
        <row r="95">
          <cell r="A95" t="str">
            <v>JHSV</v>
          </cell>
          <cell r="B95" t="str">
            <v>JHSV (Joint High Speed Vessel)</v>
          </cell>
          <cell r="D95" t="str">
            <v>Joint High Speed Vessel (JHSV)</v>
          </cell>
          <cell r="O95" t="str">
            <v>JHSV</v>
          </cell>
          <cell r="P95" t="str">
            <v>JHSV</v>
          </cell>
          <cell r="Q95" t="str">
            <v xml:space="preserve"> - </v>
          </cell>
          <cell r="R95" t="str">
            <v xml:space="preserve"> - </v>
          </cell>
          <cell r="S95" t="str">
            <v xml:space="preserve"> - </v>
          </cell>
          <cell r="T95" t="str">
            <v>JHSV</v>
          </cell>
        </row>
        <row r="96">
          <cell r="A96" t="str">
            <v>JLENS</v>
          </cell>
          <cell r="B96" t="str">
            <v>JLENS (Joint Land Attack Cruise Missile Defense Elevated Netted Sensor)</v>
          </cell>
          <cell r="C96" t="str">
            <v>JLENS (Joint Land Attack Cruise Missile Defense Elevated Netted Sensor)</v>
          </cell>
          <cell r="D96" t="str">
            <v>Joint Land Attack Cruise Missile Defense Elevated Netted Sensor System (JLENS)</v>
          </cell>
          <cell r="J96" t="str">
            <v>JLENS</v>
          </cell>
          <cell r="K96" t="str">
            <v>JLENS</v>
          </cell>
          <cell r="L96" t="str">
            <v>JLENS</v>
          </cell>
          <cell r="M96" t="str">
            <v>JLENS</v>
          </cell>
          <cell r="N96" t="str">
            <v>JLENS</v>
          </cell>
          <cell r="O96" t="str">
            <v>JLENS</v>
          </cell>
          <cell r="P96" t="str">
            <v>JLENS</v>
          </cell>
          <cell r="Q96" t="str">
            <v xml:space="preserve"> - </v>
          </cell>
          <cell r="R96" t="str">
            <v xml:space="preserve"> - </v>
          </cell>
          <cell r="S96" t="str">
            <v xml:space="preserve"> - </v>
          </cell>
          <cell r="T96" t="str">
            <v>JLENS</v>
          </cell>
        </row>
        <row r="97">
          <cell r="A97" t="str">
            <v>Joint MRAP</v>
          </cell>
          <cell r="B97" t="str">
            <v>Joint MRAP</v>
          </cell>
          <cell r="C97" t="str">
            <v>Joint MRAP</v>
          </cell>
          <cell r="D97" t="str">
            <v>Joint Mine Resistant Ambush Protected (MRAP)</v>
          </cell>
          <cell r="M97" t="str">
            <v>JOINT MRAP</v>
          </cell>
          <cell r="N97" t="str">
            <v>JOINT MRAP</v>
          </cell>
          <cell r="O97" t="str">
            <v>JOINT MRAP</v>
          </cell>
          <cell r="Q97" t="str">
            <v xml:space="preserve"> - </v>
          </cell>
          <cell r="R97" t="str">
            <v xml:space="preserve"> - </v>
          </cell>
          <cell r="S97" t="str">
            <v xml:space="preserve"> - </v>
          </cell>
          <cell r="T97" t="str">
            <v>Joint MRAP</v>
          </cell>
        </row>
        <row r="98">
          <cell r="A98" t="str">
            <v>JPALS</v>
          </cell>
          <cell r="B98" t="str">
            <v>JPALS (Joint Precision Approach and Landing System)</v>
          </cell>
          <cell r="D98" t="str">
            <v>Joint Precision Approach and Landing System (JPALS)</v>
          </cell>
          <cell r="O98" t="str">
            <v>JPALS</v>
          </cell>
          <cell r="P98" t="str">
            <v>JPALS Increment 1A</v>
          </cell>
          <cell r="Q98" t="str">
            <v xml:space="preserve"> - </v>
          </cell>
          <cell r="R98" t="str">
            <v xml:space="preserve"> - </v>
          </cell>
          <cell r="S98" t="str">
            <v xml:space="preserve"> - </v>
          </cell>
          <cell r="T98" t="str">
            <v>JPALS</v>
          </cell>
        </row>
        <row r="99">
          <cell r="A99" t="str">
            <v>JPATS</v>
          </cell>
          <cell r="B99" t="str">
            <v>JPATS (Joint Primary Aircraft Training System)</v>
          </cell>
          <cell r="C99" t="str">
            <v>JPATS (Joint Primary Aircraft Training System)</v>
          </cell>
          <cell r="D99" t="str">
            <v>Joint Primary Aircraft Training System (JPATS)</v>
          </cell>
          <cell r="F99" t="str">
            <v>JPATS</v>
          </cell>
          <cell r="G99" t="str">
            <v>JPATS</v>
          </cell>
          <cell r="H99" t="str">
            <v>JPATS</v>
          </cell>
          <cell r="I99" t="str">
            <v>JPATS</v>
          </cell>
          <cell r="J99" t="str">
            <v>JPATS</v>
          </cell>
          <cell r="K99" t="str">
            <v>JPATS</v>
          </cell>
          <cell r="L99" t="str">
            <v>JPATS</v>
          </cell>
          <cell r="M99" t="str">
            <v>JPATS</v>
          </cell>
          <cell r="N99" t="str">
            <v>JPATS</v>
          </cell>
          <cell r="O99" t="str">
            <v>JPATS</v>
          </cell>
          <cell r="P99" t="str">
            <v>JPATS</v>
          </cell>
          <cell r="Q99" t="str">
            <v xml:space="preserve"> - </v>
          </cell>
          <cell r="R99" t="str">
            <v xml:space="preserve"> - </v>
          </cell>
          <cell r="S99" t="str">
            <v xml:space="preserve"> - </v>
          </cell>
          <cell r="T99" t="str">
            <v>JPATS</v>
          </cell>
        </row>
        <row r="100">
          <cell r="A100" t="str">
            <v>JSIMS</v>
          </cell>
          <cell r="C100" t="str">
            <v/>
          </cell>
          <cell r="D100" t="str">
            <v/>
          </cell>
          <cell r="F100" t="str">
            <v>JSIMS</v>
          </cell>
          <cell r="G100" t="str">
            <v>JSIMS</v>
          </cell>
          <cell r="Q100" t="str">
            <v xml:space="preserve"> - </v>
          </cell>
          <cell r="R100" t="str">
            <v xml:space="preserve"> - </v>
          </cell>
          <cell r="S100" t="str">
            <v xml:space="preserve"> - </v>
          </cell>
          <cell r="T100" t="str">
            <v>JSIMS</v>
          </cell>
        </row>
        <row r="101">
          <cell r="A101" t="str">
            <v>JSOW</v>
          </cell>
          <cell r="B101" t="str">
            <v>JSOW</v>
          </cell>
          <cell r="C101" t="str">
            <v>JSOW</v>
          </cell>
          <cell r="D101" t="str">
            <v>Joint Standoff Weapon (JSOW)</v>
          </cell>
          <cell r="F101" t="str">
            <v>JSOW</v>
          </cell>
          <cell r="G101" t="str">
            <v>JSOW</v>
          </cell>
          <cell r="H101" t="str">
            <v>JSOW</v>
          </cell>
          <cell r="I101" t="str">
            <v>JSOW</v>
          </cell>
          <cell r="J101" t="str">
            <v>JSOW</v>
          </cell>
          <cell r="K101" t="str">
            <v>JSOW</v>
          </cell>
          <cell r="Q101" t="str">
            <v xml:space="preserve"> - </v>
          </cell>
          <cell r="R101" t="str">
            <v xml:space="preserve"> - </v>
          </cell>
          <cell r="S101" t="str">
            <v xml:space="preserve"> - </v>
          </cell>
          <cell r="T101" t="str">
            <v>JSOW</v>
          </cell>
        </row>
        <row r="102">
          <cell r="A102" t="str">
            <v>JSOW Split</v>
          </cell>
          <cell r="B102" t="str">
            <v>JSOW Baseline/BLU-108</v>
          </cell>
          <cell r="C102" t="str">
            <v>Baseline/BLU-108</v>
          </cell>
          <cell r="D102" t="str">
            <v>Joint Standoff Weapon (JSOW) Baseline</v>
          </cell>
          <cell r="L102" t="str">
            <v>JSOW - BASELINE/BLU-108</v>
          </cell>
          <cell r="M102" t="str">
            <v>JSOW - BASELINE/BLU-108</v>
          </cell>
          <cell r="N102" t="str">
            <v>JSOW (BASELINE/UNITARY) - BASELINE/BLU-108</v>
          </cell>
          <cell r="O102" t="str">
            <v>JSOW (BASELINE/UNITARY) - BASELINE/BLU-108</v>
          </cell>
          <cell r="P102" t="str">
            <v>JSOW (BASELINE/UNITARY) - BASELINE/BLU-108</v>
          </cell>
          <cell r="Q102" t="str">
            <v xml:space="preserve"> - </v>
          </cell>
          <cell r="R102" t="str">
            <v xml:space="preserve"> - </v>
          </cell>
          <cell r="S102" t="str">
            <v xml:space="preserve"> - </v>
          </cell>
          <cell r="T102" t="str">
            <v>JSOW Split</v>
          </cell>
        </row>
        <row r="103">
          <cell r="A103" t="str">
            <v>JSOW Split</v>
          </cell>
          <cell r="B103" t="str">
            <v>JSOW Unitary</v>
          </cell>
          <cell r="C103" t="str">
            <v>Unitary</v>
          </cell>
          <cell r="D103" t="str">
            <v>Joint Standoff Weapon (JSOW) Unitary</v>
          </cell>
          <cell r="L103" t="str">
            <v>JSOW - UNITARY</v>
          </cell>
          <cell r="M103" t="str">
            <v>JSOW - UNITARY</v>
          </cell>
          <cell r="N103" t="str">
            <v>JSOW (BASELINE/UNITARY) - UNITARY</v>
          </cell>
          <cell r="O103" t="str">
            <v>JSOW (BASELINE/UNITARY) - UNITARY</v>
          </cell>
          <cell r="P103" t="str">
            <v>JSOW (BASELINE/UNITARY) - UNITARY</v>
          </cell>
          <cell r="Q103" t="str">
            <v xml:space="preserve"> - </v>
          </cell>
          <cell r="R103" t="str">
            <v xml:space="preserve"> - </v>
          </cell>
          <cell r="S103" t="str">
            <v xml:space="preserve"> - </v>
          </cell>
          <cell r="T103" t="str">
            <v>JSOW Split</v>
          </cell>
        </row>
        <row r="104">
          <cell r="A104" t="str">
            <v>JTRS GMR</v>
          </cell>
          <cell r="B104" t="str">
            <v>JTRS GMR (Cluster 1)</v>
          </cell>
          <cell r="C104" t="str">
            <v>JTRS GMR (Cluster 1)</v>
          </cell>
          <cell r="D104" t="str">
            <v>Joint Tactical Radio System (JTRS) Ground Mobile Radios (GMR)</v>
          </cell>
          <cell r="G104" t="str">
            <v>JTRS CLUSTER 1</v>
          </cell>
          <cell r="H104" t="str">
            <v>JTRS CLUSTER 1</v>
          </cell>
          <cell r="I104" t="str">
            <v>JTRS CLUSTER 1</v>
          </cell>
          <cell r="J104" t="str">
            <v>JTRS GMR (CLUSTER 1)</v>
          </cell>
          <cell r="K104" t="str">
            <v>JTRS GMR</v>
          </cell>
          <cell r="L104" t="str">
            <v>JTRS GMR</v>
          </cell>
          <cell r="M104" t="str">
            <v>JTRS GMR</v>
          </cell>
          <cell r="N104" t="str">
            <v>JTRS GMR</v>
          </cell>
          <cell r="O104" t="str">
            <v>JTRS GMR</v>
          </cell>
          <cell r="P104" t="str">
            <v>JTRS GMR</v>
          </cell>
          <cell r="Q104" t="str">
            <v xml:space="preserve"> - </v>
          </cell>
          <cell r="R104" t="str">
            <v xml:space="preserve"> - </v>
          </cell>
          <cell r="S104" t="str">
            <v xml:space="preserve"> - </v>
          </cell>
          <cell r="T104" t="str">
            <v>JTRS GMR</v>
          </cell>
        </row>
        <row r="105">
          <cell r="A105" t="str">
            <v>JTRS HMS</v>
          </cell>
          <cell r="B105" t="str">
            <v>JTRS HMS</v>
          </cell>
          <cell r="C105" t="str">
            <v>JTRS HMS</v>
          </cell>
          <cell r="D105" t="str">
            <v>Joint Tactical Radio System (JTRS) Handheld, Manpack, and Small Form Fit (HMS)</v>
          </cell>
          <cell r="I105" t="str">
            <v>JTRS CLUSTER 5</v>
          </cell>
          <cell r="J105" t="str">
            <v>JTRS HMS (CLUSTER 5)</v>
          </cell>
          <cell r="K105" t="str">
            <v>JTRS HMS (CLUSTER 5)</v>
          </cell>
          <cell r="L105" t="str">
            <v>JTRS HMS</v>
          </cell>
          <cell r="M105" t="str">
            <v>JTRS HMS</v>
          </cell>
          <cell r="N105" t="str">
            <v>JTRS HMS</v>
          </cell>
          <cell r="O105" t="str">
            <v>JTRS HMS</v>
          </cell>
          <cell r="P105" t="str">
            <v>JTRS HMS</v>
          </cell>
          <cell r="Q105" t="str">
            <v xml:space="preserve"> - </v>
          </cell>
          <cell r="R105" t="str">
            <v xml:space="preserve"> - </v>
          </cell>
          <cell r="S105" t="str">
            <v xml:space="preserve"> - </v>
          </cell>
          <cell r="T105" t="str">
            <v>JTRS HMS</v>
          </cell>
        </row>
        <row r="106">
          <cell r="A106" t="str">
            <v>JTRS NED</v>
          </cell>
          <cell r="B106" t="str">
            <v>JTRS NED (Waveform)</v>
          </cell>
          <cell r="C106" t="str">
            <v>JTRS NED (Waveform)</v>
          </cell>
          <cell r="D106" t="str">
            <v>Joint Tactical Radio System (JTRS) Network Enterprise Domain (NED)</v>
          </cell>
          <cell r="G106" t="str">
            <v>JTRS WAVEFORM</v>
          </cell>
          <cell r="H106" t="str">
            <v>JTRS WAVEFORM (RDT&amp;E)</v>
          </cell>
          <cell r="I106" t="str">
            <v>JTRS WAVEFORM (RDT&amp;E)</v>
          </cell>
          <cell r="J106" t="str">
            <v>JTRS WAVEFORM</v>
          </cell>
          <cell r="K106" t="str">
            <v>JTRS WAVEFORM</v>
          </cell>
          <cell r="L106" t="str">
            <v>JTRS NED</v>
          </cell>
          <cell r="M106" t="str">
            <v>JTRS NED</v>
          </cell>
          <cell r="N106" t="str">
            <v>JTRS NED</v>
          </cell>
          <cell r="O106" t="str">
            <v>JTRS NED</v>
          </cell>
          <cell r="P106" t="str">
            <v>JTRS NED</v>
          </cell>
          <cell r="Q106" t="str">
            <v xml:space="preserve"> - </v>
          </cell>
          <cell r="R106" t="str">
            <v xml:space="preserve"> - </v>
          </cell>
          <cell r="S106" t="str">
            <v xml:space="preserve"> - </v>
          </cell>
          <cell r="T106" t="str">
            <v>JTRS NED</v>
          </cell>
        </row>
        <row r="107">
          <cell r="A107" t="str">
            <v>KC-130J</v>
          </cell>
          <cell r="D107" t="str">
            <v>KC-130J</v>
          </cell>
          <cell r="P107" t="str">
            <v>KC-130J</v>
          </cell>
          <cell r="Q107" t="str">
            <v xml:space="preserve"> - </v>
          </cell>
          <cell r="R107" t="str">
            <v xml:space="preserve"> - </v>
          </cell>
          <cell r="S107" t="str">
            <v xml:space="preserve"> - </v>
          </cell>
          <cell r="T107" t="str">
            <v>KC-130J</v>
          </cell>
        </row>
        <row r="108">
          <cell r="A108" t="str">
            <v>KC-45A</v>
          </cell>
          <cell r="B108" t="str">
            <v>KC-45A***</v>
          </cell>
          <cell r="D108" t="str">
            <v/>
          </cell>
          <cell r="Q108" t="str">
            <v xml:space="preserve"> - </v>
          </cell>
          <cell r="R108" t="str">
            <v xml:space="preserve"> - </v>
          </cell>
          <cell r="S108" t="str">
            <v xml:space="preserve"> - </v>
          </cell>
          <cell r="T108" t="str">
            <v>KC-45A</v>
          </cell>
        </row>
        <row r="109">
          <cell r="A109" t="str">
            <v>KC-46A</v>
          </cell>
          <cell r="P109" t="str">
            <v>KC-46A</v>
          </cell>
          <cell r="Q109" t="str">
            <v xml:space="preserve"> - </v>
          </cell>
          <cell r="R109" t="str">
            <v xml:space="preserve"> - </v>
          </cell>
          <cell r="S109" t="str">
            <v xml:space="preserve"> - </v>
          </cell>
          <cell r="T109" t="str">
            <v>KC-46A</v>
          </cell>
        </row>
        <row r="110">
          <cell r="A110" t="str">
            <v>LAIRCM</v>
          </cell>
          <cell r="B110" t="str">
            <v>LAIRCM (Large Aircraft Countermeasures)</v>
          </cell>
          <cell r="C110" t="str">
            <v>LAIRCM (Large Aircraft Countermeasures)</v>
          </cell>
          <cell r="D110" t="str">
            <v>Large Aircraft Infrared Countermeasures (LAIRCM)</v>
          </cell>
          <cell r="M110" t="str">
            <v>LAIRCM</v>
          </cell>
          <cell r="N110" t="str">
            <v>LAIRCM</v>
          </cell>
          <cell r="O110" t="str">
            <v>LAIRCM</v>
          </cell>
          <cell r="Q110" t="str">
            <v xml:space="preserve"> - </v>
          </cell>
          <cell r="R110" t="str">
            <v xml:space="preserve"> - </v>
          </cell>
          <cell r="S110" t="str">
            <v xml:space="preserve"> - </v>
          </cell>
          <cell r="T110" t="str">
            <v>LAIRCM</v>
          </cell>
        </row>
        <row r="111">
          <cell r="A111" t="str">
            <v>LAND WARRIOR</v>
          </cell>
          <cell r="B111" t="str">
            <v/>
          </cell>
          <cell r="D111" t="str">
            <v/>
          </cell>
          <cell r="H111" t="str">
            <v>LAND WARRIOR</v>
          </cell>
          <cell r="I111" t="str">
            <v>LAND WARRIOR</v>
          </cell>
          <cell r="J111" t="str">
            <v>LAND WARRIOR</v>
          </cell>
          <cell r="K111" t="str">
            <v>LAND WARRIOR</v>
          </cell>
          <cell r="Q111" t="str">
            <v xml:space="preserve"> - </v>
          </cell>
          <cell r="R111" t="str">
            <v xml:space="preserve"> - </v>
          </cell>
          <cell r="S111" t="str">
            <v xml:space="preserve"> - </v>
          </cell>
          <cell r="T111" t="str">
            <v>LAND WARRIOR</v>
          </cell>
        </row>
        <row r="112">
          <cell r="A112" t="str">
            <v>LCS</v>
          </cell>
          <cell r="B112" t="str">
            <v>LCS</v>
          </cell>
          <cell r="C112" t="str">
            <v>LCS</v>
          </cell>
          <cell r="D112" t="str">
            <v>Littoral Combat Ship (LCS)</v>
          </cell>
          <cell r="I112" t="str">
            <v>LCS</v>
          </cell>
          <cell r="L112" t="str">
            <v>LCS</v>
          </cell>
          <cell r="M112" t="str">
            <v>LCS</v>
          </cell>
          <cell r="N112" t="str">
            <v>LCS</v>
          </cell>
          <cell r="O112" t="str">
            <v>LCS</v>
          </cell>
          <cell r="P112" t="str">
            <v>LCS</v>
          </cell>
          <cell r="Q112" t="str">
            <v xml:space="preserve"> - </v>
          </cell>
          <cell r="R112" t="str">
            <v xml:space="preserve"> - </v>
          </cell>
          <cell r="S112" t="str">
            <v xml:space="preserve"> - </v>
          </cell>
          <cell r="T112" t="str">
            <v>LCS</v>
          </cell>
        </row>
        <row r="113">
          <cell r="A113" t="str">
            <v>LCS (RDT&amp;E)</v>
          </cell>
          <cell r="B113" t="str">
            <v>LCS (RDT&amp;E)</v>
          </cell>
          <cell r="C113" t="str">
            <v>LCS (RDT&amp;E)</v>
          </cell>
          <cell r="D113" t="str">
            <v>LCS (RDT&amp;E)</v>
          </cell>
          <cell r="J113" t="str">
            <v>LCS (RDT&amp;E)</v>
          </cell>
          <cell r="K113" t="str">
            <v>LCS (RDT&amp;E)</v>
          </cell>
          <cell r="Q113" t="str">
            <v xml:space="preserve"> - </v>
          </cell>
          <cell r="R113" t="str">
            <v xml:space="preserve"> - </v>
          </cell>
          <cell r="S113" t="str">
            <v xml:space="preserve"> - </v>
          </cell>
          <cell r="T113" t="str">
            <v>LCS (RDT&amp;E)</v>
          </cell>
        </row>
        <row r="114">
          <cell r="A114" t="str">
            <v>LHA Replacement</v>
          </cell>
          <cell r="B114" t="str">
            <v>LHA Replacement</v>
          </cell>
          <cell r="C114" t="str">
            <v>LHA Replacement</v>
          </cell>
          <cell r="D114" t="str">
            <v>LHA Replacement Amphibious Assault Ship</v>
          </cell>
          <cell r="K114" t="str">
            <v>LHA Replacement</v>
          </cell>
          <cell r="L114" t="str">
            <v>LHA Replacement</v>
          </cell>
          <cell r="M114" t="str">
            <v>LHA Replacement</v>
          </cell>
          <cell r="N114" t="str">
            <v>LHA 6</v>
          </cell>
          <cell r="O114" t="str">
            <v>LHA 6 AMERICA CLASS</v>
          </cell>
          <cell r="P114" t="str">
            <v>LHA 6 AMERICA CLASS</v>
          </cell>
          <cell r="Q114" t="str">
            <v xml:space="preserve"> - </v>
          </cell>
          <cell r="R114" t="str">
            <v xml:space="preserve"> - </v>
          </cell>
          <cell r="S114" t="str">
            <v xml:space="preserve"> - </v>
          </cell>
          <cell r="T114" t="str">
            <v>LHA Replacement</v>
          </cell>
        </row>
        <row r="115">
          <cell r="A115" t="str">
            <v>LHD 1</v>
          </cell>
          <cell r="B115" t="str">
            <v/>
          </cell>
          <cell r="F115" t="str">
            <v>LHD 1</v>
          </cell>
          <cell r="G115" t="str">
            <v>LHD 1</v>
          </cell>
          <cell r="H115" t="str">
            <v>LHD 1</v>
          </cell>
          <cell r="I115" t="str">
            <v>LHD 1</v>
          </cell>
          <cell r="Q115" t="str">
            <v xml:space="preserve"> - </v>
          </cell>
          <cell r="R115" t="str">
            <v xml:space="preserve"> - </v>
          </cell>
          <cell r="S115" t="str">
            <v xml:space="preserve"> - </v>
          </cell>
          <cell r="T115" t="str">
            <v>LHD 1</v>
          </cell>
        </row>
        <row r="116">
          <cell r="A116" t="str">
            <v>LONGBOW APACHE</v>
          </cell>
          <cell r="B116" t="str">
            <v>Longbow Apache</v>
          </cell>
          <cell r="C116" t="str">
            <v>Longbow Apache</v>
          </cell>
          <cell r="D116" t="str">
            <v>AH-64D Longbow Apache</v>
          </cell>
          <cell r="F116" t="str">
            <v>LONGBOW APACHE</v>
          </cell>
          <cell r="G116" t="str">
            <v>LONGBOW APACHE</v>
          </cell>
          <cell r="H116" t="str">
            <v>LONGBOW APACHE</v>
          </cell>
          <cell r="I116" t="str">
            <v>LONGBOW APACHE</v>
          </cell>
          <cell r="J116" t="str">
            <v>LONGBOW APACHE</v>
          </cell>
          <cell r="K116" t="str">
            <v>LONGBOW APACHE</v>
          </cell>
          <cell r="L116" t="str">
            <v>LONGBOW APACHE</v>
          </cell>
          <cell r="M116" t="str">
            <v>LONGBOW APACHE</v>
          </cell>
          <cell r="N116" t="str">
            <v>LONGBOW APACHE</v>
          </cell>
          <cell r="O116" t="str">
            <v>LONGBOW APACHE</v>
          </cell>
          <cell r="Q116" t="str">
            <v xml:space="preserve"> - </v>
          </cell>
          <cell r="R116" t="str">
            <v xml:space="preserve"> - </v>
          </cell>
          <cell r="S116" t="str">
            <v xml:space="preserve"> - </v>
          </cell>
          <cell r="T116" t="str">
            <v>LONGBOW APACHE</v>
          </cell>
        </row>
        <row r="117">
          <cell r="A117" t="str">
            <v>LONGBOW HELLFIRE</v>
          </cell>
          <cell r="B117" t="str">
            <v/>
          </cell>
          <cell r="D117" t="str">
            <v/>
          </cell>
          <cell r="F117" t="str">
            <v>LONGBOW HELLFIRE</v>
          </cell>
          <cell r="G117" t="str">
            <v>LONGBOW HELLFIRE</v>
          </cell>
          <cell r="H117" t="str">
            <v>LONGBOW HELLFIRE</v>
          </cell>
          <cell r="I117" t="str">
            <v>LONGBOW HELLFIRE</v>
          </cell>
          <cell r="Q117" t="str">
            <v xml:space="preserve"> - </v>
          </cell>
          <cell r="R117" t="str">
            <v xml:space="preserve"> - </v>
          </cell>
          <cell r="S117" t="str">
            <v xml:space="preserve"> - </v>
          </cell>
          <cell r="T117" t="str">
            <v>LONGBOW HELLFIRE</v>
          </cell>
        </row>
        <row r="118">
          <cell r="A118" t="str">
            <v>LPD 17</v>
          </cell>
          <cell r="B118" t="str">
            <v>LPD 17</v>
          </cell>
          <cell r="C118" t="str">
            <v>LPD 17</v>
          </cell>
          <cell r="D118" t="str">
            <v>LPD 17 Amphibious Transport Dock</v>
          </cell>
          <cell r="F118" t="str">
            <v>LPD 17</v>
          </cell>
          <cell r="G118" t="str">
            <v>LPD 17</v>
          </cell>
          <cell r="H118" t="str">
            <v>LPD 17</v>
          </cell>
          <cell r="I118" t="str">
            <v>LPD 17</v>
          </cell>
          <cell r="J118" t="str">
            <v>LPD 17</v>
          </cell>
          <cell r="K118" t="str">
            <v>LPD 17</v>
          </cell>
          <cell r="L118" t="str">
            <v>LPD 17</v>
          </cell>
          <cell r="M118" t="str">
            <v>LPD 17</v>
          </cell>
          <cell r="N118" t="str">
            <v>LPD 17</v>
          </cell>
          <cell r="O118" t="str">
            <v>LPD 17</v>
          </cell>
          <cell r="P118" t="str">
            <v>LPD 17</v>
          </cell>
          <cell r="Q118" t="str">
            <v xml:space="preserve"> - </v>
          </cell>
          <cell r="R118" t="str">
            <v xml:space="preserve"> - </v>
          </cell>
          <cell r="S118" t="str">
            <v xml:space="preserve"> - </v>
          </cell>
          <cell r="T118" t="str">
            <v>LPD 17</v>
          </cell>
        </row>
        <row r="119">
          <cell r="A119" t="str">
            <v>LUH</v>
          </cell>
          <cell r="B119" t="str">
            <v>LUH</v>
          </cell>
          <cell r="C119" t="str">
            <v>LUH</v>
          </cell>
          <cell r="D119" t="str">
            <v>Light Utility Helicopter (LUH), UH-72A Lakota</v>
          </cell>
          <cell r="K119" t="str">
            <v>LUH</v>
          </cell>
          <cell r="L119" t="str">
            <v>LUH</v>
          </cell>
          <cell r="M119" t="str">
            <v>LUH</v>
          </cell>
          <cell r="N119" t="str">
            <v>LUH</v>
          </cell>
          <cell r="O119" t="str">
            <v>LUH</v>
          </cell>
          <cell r="P119" t="str">
            <v>LUH</v>
          </cell>
          <cell r="Q119" t="str">
            <v xml:space="preserve"> - </v>
          </cell>
          <cell r="R119" t="str">
            <v xml:space="preserve"> - </v>
          </cell>
          <cell r="S119" t="str">
            <v xml:space="preserve"> - </v>
          </cell>
          <cell r="T119" t="str">
            <v>LUH</v>
          </cell>
        </row>
        <row r="120">
          <cell r="A120" t="str">
            <v>M1A2 ABRAMS UPGRADE</v>
          </cell>
          <cell r="F120" t="str">
            <v>ABRAMS UPGRADE</v>
          </cell>
          <cell r="G120" t="str">
            <v>ABRAMS UPGRADE</v>
          </cell>
          <cell r="H120" t="str">
            <v>ABRAMS UPGRADE</v>
          </cell>
          <cell r="T120" t="str">
            <v>M1A2 ABRAMS UPGRADE</v>
          </cell>
        </row>
        <row r="121">
          <cell r="A121" t="str">
            <v>MCS</v>
          </cell>
          <cell r="B121" t="str">
            <v/>
          </cell>
          <cell r="D121" t="str">
            <v/>
          </cell>
          <cell r="F121" t="str">
            <v>MCS</v>
          </cell>
          <cell r="G121" t="str">
            <v>MCS</v>
          </cell>
          <cell r="H121" t="str">
            <v>MCS</v>
          </cell>
          <cell r="I121" t="str">
            <v>MCS</v>
          </cell>
          <cell r="Q121" t="str">
            <v xml:space="preserve"> - </v>
          </cell>
          <cell r="R121" t="str">
            <v xml:space="preserve"> - </v>
          </cell>
          <cell r="S121" t="str">
            <v xml:space="preserve"> - </v>
          </cell>
          <cell r="T121" t="str">
            <v>MCS</v>
          </cell>
        </row>
        <row r="122">
          <cell r="A122" t="str">
            <v>MH-60R</v>
          </cell>
          <cell r="B122" t="str">
            <v>MH-60R</v>
          </cell>
          <cell r="C122" t="str">
            <v>MH-60R</v>
          </cell>
          <cell r="D122" t="str">
            <v>MH-60R Multi-Mission Helicopter</v>
          </cell>
          <cell r="F122" t="str">
            <v>MH-60R</v>
          </cell>
          <cell r="G122" t="str">
            <v>MH-60R</v>
          </cell>
          <cell r="H122" t="str">
            <v>MH-60R</v>
          </cell>
          <cell r="I122" t="str">
            <v>MH-60R</v>
          </cell>
          <cell r="J122" t="str">
            <v>MH-60R</v>
          </cell>
          <cell r="K122" t="str">
            <v>MH-60R</v>
          </cell>
          <cell r="L122" t="str">
            <v>MH-60R</v>
          </cell>
          <cell r="M122" t="str">
            <v>MH-60R</v>
          </cell>
          <cell r="N122" t="str">
            <v>MH-60R</v>
          </cell>
          <cell r="O122" t="str">
            <v>MH-60R</v>
          </cell>
          <cell r="P122" t="str">
            <v>MH-60R</v>
          </cell>
          <cell r="Q122" t="str">
            <v xml:space="preserve"> - </v>
          </cell>
          <cell r="R122" t="str">
            <v xml:space="preserve"> - </v>
          </cell>
          <cell r="S122" t="str">
            <v xml:space="preserve"> - </v>
          </cell>
          <cell r="T122" t="str">
            <v>MH-60R</v>
          </cell>
        </row>
        <row r="123">
          <cell r="A123" t="str">
            <v>MH-60S</v>
          </cell>
          <cell r="B123" t="str">
            <v>MH-60S</v>
          </cell>
          <cell r="C123" t="str">
            <v>MH-60S</v>
          </cell>
          <cell r="D123" t="str">
            <v>MH-60S Fleet Combat Support Helicopter</v>
          </cell>
          <cell r="F123" t="str">
            <v>MH-60S</v>
          </cell>
          <cell r="G123" t="str">
            <v>MH-60S</v>
          </cell>
          <cell r="H123" t="str">
            <v>MH-60S</v>
          </cell>
          <cell r="I123" t="str">
            <v>MH-60S</v>
          </cell>
          <cell r="J123" t="str">
            <v>MH-60S</v>
          </cell>
          <cell r="K123" t="str">
            <v>MH-60S</v>
          </cell>
          <cell r="L123" t="str">
            <v>MH-60S</v>
          </cell>
          <cell r="M123" t="str">
            <v>MH-60S</v>
          </cell>
          <cell r="N123" t="str">
            <v>MH-60S</v>
          </cell>
          <cell r="O123" t="str">
            <v>MH-60S</v>
          </cell>
          <cell r="P123" t="str">
            <v>MH-60S</v>
          </cell>
          <cell r="Q123" t="str">
            <v xml:space="preserve"> - </v>
          </cell>
          <cell r="R123" t="str">
            <v xml:space="preserve"> - </v>
          </cell>
          <cell r="S123" t="str">
            <v xml:space="preserve"> - </v>
          </cell>
          <cell r="T123" t="str">
            <v>MH-60S</v>
          </cell>
        </row>
        <row r="124">
          <cell r="A124" t="str">
            <v>MIDS JTRS</v>
          </cell>
          <cell r="B124" t="str">
            <v>MIDS (Multi-Functional Information Distribution System)</v>
          </cell>
          <cell r="C124" t="str">
            <v>MIDS (Multi-Functional Information Distribution System)</v>
          </cell>
          <cell r="D124" t="str">
            <v>Multifunctional Information Distribution System (MIDS)</v>
          </cell>
          <cell r="L124" t="str">
            <v>MIDS</v>
          </cell>
          <cell r="M124" t="str">
            <v>MIDS</v>
          </cell>
          <cell r="N124" t="str">
            <v>MIDS</v>
          </cell>
          <cell r="O124" t="str">
            <v>MIDS</v>
          </cell>
          <cell r="P124" t="str">
            <v>MIDS</v>
          </cell>
          <cell r="Q124" t="str">
            <v xml:space="preserve"> - </v>
          </cell>
          <cell r="R124" t="str">
            <v xml:space="preserve"> - </v>
          </cell>
          <cell r="S124" t="str">
            <v xml:space="preserve"> - </v>
          </cell>
          <cell r="T124" t="str">
            <v>MIDS JTRS</v>
          </cell>
        </row>
        <row r="125">
          <cell r="A125" t="str">
            <v>MIDS-LVT</v>
          </cell>
          <cell r="B125" t="str">
            <v/>
          </cell>
          <cell r="F125" t="str">
            <v>MIDS-LVT</v>
          </cell>
          <cell r="G125" t="str">
            <v>MIDS-LVT</v>
          </cell>
          <cell r="H125" t="str">
            <v>MIDS-LVT</v>
          </cell>
          <cell r="I125" t="str">
            <v>MIDS-LVT</v>
          </cell>
          <cell r="J125" t="str">
            <v>MIDS-LVT</v>
          </cell>
          <cell r="K125" t="str">
            <v>MIDS-LVT</v>
          </cell>
          <cell r="Q125" t="str">
            <v xml:space="preserve"> - </v>
          </cell>
          <cell r="R125" t="str">
            <v xml:space="preserve"> - </v>
          </cell>
          <cell r="S125" t="str">
            <v xml:space="preserve"> - </v>
          </cell>
          <cell r="T125" t="str">
            <v>MIDS-LVT</v>
          </cell>
        </row>
        <row r="126">
          <cell r="A126" t="str">
            <v>MINUTEMAN III GRP</v>
          </cell>
          <cell r="B126" t="str">
            <v>Minuteman III GRP**** (SAR June 2008 was final submission as 90 percent of the program were delivered)</v>
          </cell>
          <cell r="C126" t="str">
            <v>Minuteman III GRP**** (SAR June 2008 was final submission as 90 percent of the program were delivered)</v>
          </cell>
          <cell r="D126" t="str">
            <v/>
          </cell>
          <cell r="F126" t="str">
            <v>MINUTEMAN III GRP</v>
          </cell>
          <cell r="G126" t="str">
            <v>MINUTEMAN III GRP</v>
          </cell>
          <cell r="H126" t="str">
            <v>MINUTEMAN III GRP</v>
          </cell>
          <cell r="I126" t="str">
            <v>MINUTEMAN III GRP</v>
          </cell>
          <cell r="J126" t="str">
            <v>MINUTEMAN III GRP</v>
          </cell>
          <cell r="K126" t="str">
            <v>MINUTEMAN III GRP</v>
          </cell>
          <cell r="L126" t="str">
            <v>MINUTEMAN III GRP</v>
          </cell>
          <cell r="Q126" t="str">
            <v xml:space="preserve"> - </v>
          </cell>
          <cell r="R126" t="str">
            <v xml:space="preserve"> - </v>
          </cell>
          <cell r="S126" t="str">
            <v xml:space="preserve"> - </v>
          </cell>
          <cell r="T126" t="str">
            <v>MINUTEMAN III GRP</v>
          </cell>
        </row>
        <row r="127">
          <cell r="A127" t="str">
            <v>MINUTEMAN III PRP</v>
          </cell>
          <cell r="B127" t="str">
            <v>Minuteman III PRP</v>
          </cell>
          <cell r="C127" t="str">
            <v>Minuteman III PRP</v>
          </cell>
          <cell r="D127" t="str">
            <v>Minuteman III Propulsion Replacement Program (PRP)</v>
          </cell>
          <cell r="F127" t="str">
            <v>MINUTEMAN III PRP</v>
          </cell>
          <cell r="G127" t="str">
            <v>MINUTEMAN III PRP</v>
          </cell>
          <cell r="H127" t="str">
            <v>MINUTEMAN III PRP</v>
          </cell>
          <cell r="I127" t="str">
            <v>MINUTEMAN III PRP</v>
          </cell>
          <cell r="J127" t="str">
            <v>MINUTEMAN III PRP</v>
          </cell>
          <cell r="K127" t="str">
            <v>MINUTEMAN III PRP</v>
          </cell>
          <cell r="L127" t="str">
            <v>MINUTEMAN III PRP</v>
          </cell>
          <cell r="M127" t="str">
            <v>MINUTEMAN III PRP</v>
          </cell>
          <cell r="N127" t="str">
            <v>MINUTEMAN III PRP</v>
          </cell>
          <cell r="Q127" t="str">
            <v xml:space="preserve"> - </v>
          </cell>
          <cell r="R127" t="str">
            <v xml:space="preserve"> - </v>
          </cell>
          <cell r="S127" t="str">
            <v xml:space="preserve"> - </v>
          </cell>
          <cell r="T127" t="str">
            <v>MINUTEMAN III PRP</v>
          </cell>
        </row>
        <row r="128">
          <cell r="A128" t="str">
            <v>MP RTIP</v>
          </cell>
          <cell r="B128" t="str">
            <v/>
          </cell>
          <cell r="C128" t="str">
            <v/>
          </cell>
          <cell r="D128" t="str">
            <v>Multi-Platform Radar Technology Insertion Program (MP-RTIP)</v>
          </cell>
          <cell r="J128" t="str">
            <v>MP RTIP</v>
          </cell>
          <cell r="K128" t="str">
            <v>MP RTIP</v>
          </cell>
          <cell r="L128" t="str">
            <v>MP RTIP</v>
          </cell>
          <cell r="M128" t="str">
            <v>MP RTIP</v>
          </cell>
          <cell r="N128" t="str">
            <v>MP RTIP</v>
          </cell>
          <cell r="O128" t="str">
            <v>MP-RTIP</v>
          </cell>
          <cell r="P128" t="str">
            <v>MP-RTIP</v>
          </cell>
          <cell r="Q128" t="str">
            <v xml:space="preserve"> - </v>
          </cell>
          <cell r="R128" t="str">
            <v xml:space="preserve"> - </v>
          </cell>
          <cell r="S128" t="str">
            <v xml:space="preserve"> - </v>
          </cell>
          <cell r="T128" t="str">
            <v>MP RTIP</v>
          </cell>
        </row>
        <row r="129">
          <cell r="A129" t="str">
            <v>MP RTIP (RDT&amp;E)</v>
          </cell>
          <cell r="B129" t="str">
            <v>MP RTIP (Multi-Platform Radar Technology Insertion Program)</v>
          </cell>
          <cell r="C129" t="str">
            <v>MP RTIP (Multi-Platform Radar Technology Insertion Program)</v>
          </cell>
          <cell r="D129" t="str">
            <v>Multi-Platform Radar Technology Insertion Program (MP-RTIP)</v>
          </cell>
          <cell r="I129" t="str">
            <v>MP RTIP (RDT&amp;E)</v>
          </cell>
          <cell r="Q129" t="str">
            <v xml:space="preserve"> - </v>
          </cell>
          <cell r="R129" t="str">
            <v xml:space="preserve"> - </v>
          </cell>
          <cell r="S129" t="str">
            <v xml:space="preserve"> - </v>
          </cell>
          <cell r="T129" t="str">
            <v>MP RTIP (RDT&amp;E)</v>
          </cell>
        </row>
        <row r="130">
          <cell r="A130" t="str">
            <v>MPS</v>
          </cell>
          <cell r="B130" t="str">
            <v>MPS* (Mission Planning System)</v>
          </cell>
          <cell r="C130" t="str">
            <v>MPS* (Mission Planning System)</v>
          </cell>
          <cell r="D130" t="str">
            <v/>
          </cell>
          <cell r="J130" t="str">
            <v>MPS</v>
          </cell>
          <cell r="K130" t="str">
            <v>MPS</v>
          </cell>
          <cell r="L130" t="str">
            <v>MPS</v>
          </cell>
          <cell r="Q130" t="str">
            <v xml:space="preserve"> - </v>
          </cell>
          <cell r="R130" t="str">
            <v xml:space="preserve"> - </v>
          </cell>
          <cell r="S130" t="str">
            <v xml:space="preserve"> - </v>
          </cell>
          <cell r="T130" t="str">
            <v>MPS</v>
          </cell>
        </row>
        <row r="131">
          <cell r="A131" t="str">
            <v>MQ-1 PREDATOR</v>
          </cell>
          <cell r="Q131" t="str">
            <v xml:space="preserve"> - </v>
          </cell>
          <cell r="R131" t="str">
            <v xml:space="preserve"> - </v>
          </cell>
          <cell r="S131" t="str">
            <v xml:space="preserve"> - </v>
          </cell>
          <cell r="T131" t="str">
            <v>MQ-1 PREDATOR</v>
          </cell>
        </row>
        <row r="132">
          <cell r="A132" t="str">
            <v>MQ-1C GRAY EAGLE</v>
          </cell>
          <cell r="B132" t="str">
            <v/>
          </cell>
          <cell r="C132" t="str">
            <v/>
          </cell>
          <cell r="D132" t="str">
            <v>MQ-1C UAS Gray Eagle</v>
          </cell>
          <cell r="O132" t="str">
            <v>MQ-1C UAS GRAY EAGLE</v>
          </cell>
          <cell r="P132" t="str">
            <v>MQ-1C UAS GRAY EAGLE</v>
          </cell>
          <cell r="Q132" t="str">
            <v xml:space="preserve"> - </v>
          </cell>
          <cell r="R132" t="str">
            <v xml:space="preserve"> - </v>
          </cell>
          <cell r="S132" t="str">
            <v xml:space="preserve"> - </v>
          </cell>
          <cell r="T132" t="str">
            <v>MQ-1C GRAY EAGLE</v>
          </cell>
        </row>
        <row r="133">
          <cell r="A133" t="str">
            <v>MQ-4C UAS BAMS</v>
          </cell>
          <cell r="O133" t="str">
            <v>MQ-4C UAS BAMS</v>
          </cell>
          <cell r="P133" t="str">
            <v>MQ-4C UAS BAMS</v>
          </cell>
          <cell r="Q133" t="str">
            <v xml:space="preserve"> - </v>
          </cell>
          <cell r="R133" t="str">
            <v xml:space="preserve"> - </v>
          </cell>
          <cell r="S133" t="str">
            <v xml:space="preserve"> - </v>
          </cell>
          <cell r="T133" t="str">
            <v>MQ-4C UAS BAMS</v>
          </cell>
        </row>
        <row r="134">
          <cell r="A134" t="str">
            <v>MQ-9 REAPER</v>
          </cell>
          <cell r="B134" t="str">
            <v>Reaper</v>
          </cell>
          <cell r="D134" t="str">
            <v>Reaper Unmanned Aircraft System (UAS)</v>
          </cell>
          <cell r="O134" t="str">
            <v>MQ-9 UAS REAPER</v>
          </cell>
          <cell r="P134" t="str">
            <v>MQ-9 UAS REAPER</v>
          </cell>
          <cell r="Q134" t="str">
            <v xml:space="preserve"> - </v>
          </cell>
          <cell r="R134" t="str">
            <v xml:space="preserve"> - </v>
          </cell>
          <cell r="S134" t="str">
            <v xml:space="preserve"> - </v>
          </cell>
          <cell r="T134" t="str">
            <v>MQ-9 REAPER</v>
          </cell>
        </row>
        <row r="135">
          <cell r="A135" t="str">
            <v>MUOS</v>
          </cell>
          <cell r="B135" t="str">
            <v>MUOS (Mobile User Objective System)</v>
          </cell>
          <cell r="C135" t="str">
            <v>MUOS (Mobile User Objective System)</v>
          </cell>
          <cell r="D135" t="str">
            <v>Mobile User Objective System (MUOS)</v>
          </cell>
          <cell r="J135" t="str">
            <v>MUOS</v>
          </cell>
          <cell r="K135" t="str">
            <v>MUOS</v>
          </cell>
          <cell r="L135" t="str">
            <v>MUOS</v>
          </cell>
          <cell r="M135" t="str">
            <v>MUOS</v>
          </cell>
          <cell r="N135" t="str">
            <v>MUOS</v>
          </cell>
          <cell r="O135" t="str">
            <v>MUOS</v>
          </cell>
          <cell r="P135" t="str">
            <v>MUOS</v>
          </cell>
          <cell r="Q135" t="str">
            <v xml:space="preserve"> - </v>
          </cell>
          <cell r="R135" t="str">
            <v xml:space="preserve"> - </v>
          </cell>
          <cell r="S135" t="str">
            <v xml:space="preserve"> - </v>
          </cell>
          <cell r="T135" t="str">
            <v>MUOS</v>
          </cell>
        </row>
        <row r="136">
          <cell r="A136" t="str">
            <v>NAS</v>
          </cell>
          <cell r="B136" t="str">
            <v>NAS (National Airspace System)</v>
          </cell>
          <cell r="C136" t="str">
            <v>NAS (National Airspace System)</v>
          </cell>
          <cell r="D136" t="str">
            <v>National Airspace System (NAS)</v>
          </cell>
          <cell r="F136" t="str">
            <v>NAS</v>
          </cell>
          <cell r="G136" t="str">
            <v>NAS</v>
          </cell>
          <cell r="H136" t="str">
            <v>NAS</v>
          </cell>
          <cell r="I136" t="str">
            <v>NAS</v>
          </cell>
          <cell r="J136" t="str">
            <v>NAS</v>
          </cell>
          <cell r="K136" t="str">
            <v>NAS</v>
          </cell>
          <cell r="L136" t="str">
            <v>NAS</v>
          </cell>
          <cell r="M136" t="str">
            <v>NAS</v>
          </cell>
          <cell r="N136" t="str">
            <v>NAS</v>
          </cell>
          <cell r="O136" t="str">
            <v>NAS</v>
          </cell>
          <cell r="P136" t="str">
            <v>NAS</v>
          </cell>
          <cell r="Q136" t="str">
            <v xml:space="preserve"> - </v>
          </cell>
          <cell r="R136" t="str">
            <v xml:space="preserve"> - </v>
          </cell>
          <cell r="S136" t="str">
            <v xml:space="preserve"> - </v>
          </cell>
          <cell r="T136" t="str">
            <v>NAS</v>
          </cell>
        </row>
        <row r="137">
          <cell r="A137" t="str">
            <v>NAVSTAR GPS</v>
          </cell>
          <cell r="B137" t="str">
            <v>Navstar GPS</v>
          </cell>
          <cell r="C137" t="str">
            <v>Navstar GPS</v>
          </cell>
          <cell r="D137" t="str">
            <v>Navstar Global Positioning System (GPS)</v>
          </cell>
          <cell r="F137" t="str">
            <v>NAVSTAR GPS</v>
          </cell>
          <cell r="G137" t="str">
            <v>NAVSTAR GPS</v>
          </cell>
          <cell r="H137" t="str">
            <v>NAVSTAR GPS</v>
          </cell>
          <cell r="I137" t="str">
            <v>NAVSTAR GPS</v>
          </cell>
          <cell r="J137" t="str">
            <v>NAVSTAR GPS</v>
          </cell>
          <cell r="K137" t="str">
            <v>NAVSTAR GPS</v>
          </cell>
          <cell r="Q137" t="str">
            <v xml:space="preserve"> - </v>
          </cell>
          <cell r="R137" t="str">
            <v xml:space="preserve"> - </v>
          </cell>
          <cell r="S137" t="str">
            <v xml:space="preserve"> - </v>
          </cell>
          <cell r="T137" t="str">
            <v>NAVSTAR GPS</v>
          </cell>
        </row>
        <row r="138">
          <cell r="A138" t="str">
            <v>NAVSTAR GPS SPLIT</v>
          </cell>
          <cell r="B138" t="str">
            <v>Navstar GPS (Space &amp; Control)</v>
          </cell>
          <cell r="C138" t="str">
            <v>Space &amp; Control</v>
          </cell>
          <cell r="D138" t="str">
            <v>Navstar Global Positioning System (GPS) Space &amp; Control</v>
          </cell>
          <cell r="L138" t="str">
            <v>NAVSTAR GPS - SPACE &amp; CONTROL</v>
          </cell>
          <cell r="M138" t="str">
            <v>NAVSTAR GPS - SPACE &amp; CONTROL</v>
          </cell>
          <cell r="N138" t="str">
            <v>NAVSTAR GPS - SPACE &amp; CONTROL</v>
          </cell>
          <cell r="O138" t="str">
            <v>NAVSTAR GPS - SPACE &amp; CONTROL</v>
          </cell>
          <cell r="P138" t="str">
            <v>NAVSTAR GPS - SPACE &amp; CONTROL</v>
          </cell>
          <cell r="Q138" t="str">
            <v xml:space="preserve"> - </v>
          </cell>
          <cell r="R138" t="str">
            <v xml:space="preserve"> - </v>
          </cell>
          <cell r="S138" t="str">
            <v xml:space="preserve"> - </v>
          </cell>
          <cell r="T138" t="str">
            <v>NAVSTAR GPS SPLIT</v>
          </cell>
        </row>
        <row r="139">
          <cell r="A139" t="str">
            <v>NAVSTAR GPS SPLIT</v>
          </cell>
          <cell r="B139" t="str">
            <v>Navstar GPS (User Equipment)</v>
          </cell>
          <cell r="C139" t="str">
            <v>User Equipment</v>
          </cell>
          <cell r="D139" t="str">
            <v>Navstar Global Positioning System (GPS) User Equipment</v>
          </cell>
          <cell r="L139" t="str">
            <v>NAVSTAR GPS - USER EQUIPMENT</v>
          </cell>
          <cell r="M139" t="str">
            <v>NAVSTAR GPS - USER EQUIPMENT</v>
          </cell>
          <cell r="N139" t="str">
            <v>NAVSTAR GPS - USER EQUIPMENT</v>
          </cell>
          <cell r="O139" t="str">
            <v>NAVSTAR GPS - USER EQUIPMENT</v>
          </cell>
          <cell r="P139" t="str">
            <v>NAVSTAR GPS - USER EQUIPMENT</v>
          </cell>
          <cell r="Q139" t="str">
            <v xml:space="preserve"> - </v>
          </cell>
          <cell r="R139" t="str">
            <v xml:space="preserve"> - </v>
          </cell>
          <cell r="S139" t="str">
            <v xml:space="preserve"> - </v>
          </cell>
          <cell r="T139" t="str">
            <v>NAVSTAR GPS SPLIT</v>
          </cell>
        </row>
        <row r="140">
          <cell r="A140" t="str">
            <v>NESP</v>
          </cell>
          <cell r="D140" t="str">
            <v/>
          </cell>
          <cell r="F140" t="str">
            <v>NESP</v>
          </cell>
          <cell r="G140" t="str">
            <v>NESP</v>
          </cell>
          <cell r="H140" t="str">
            <v>NESP</v>
          </cell>
          <cell r="I140" t="str">
            <v>NESP</v>
          </cell>
          <cell r="Q140" t="str">
            <v xml:space="preserve"> - </v>
          </cell>
          <cell r="R140" t="str">
            <v xml:space="preserve"> - </v>
          </cell>
          <cell r="S140" t="str">
            <v xml:space="preserve"> - </v>
          </cell>
          <cell r="T140" t="str">
            <v>NESP</v>
          </cell>
        </row>
        <row r="141">
          <cell r="A141" t="str">
            <v>NMT</v>
          </cell>
          <cell r="B141" t="str">
            <v>NMT (Navy Multiband Terminal)</v>
          </cell>
          <cell r="C141" t="str">
            <v>NMT (Navy Multiband Terminal)</v>
          </cell>
          <cell r="D141" t="str">
            <v>Navy Multiband Terminal</v>
          </cell>
          <cell r="L141" t="str">
            <v>NMT</v>
          </cell>
          <cell r="M141" t="str">
            <v>NMT</v>
          </cell>
          <cell r="N141" t="str">
            <v>NMT</v>
          </cell>
          <cell r="O141" t="str">
            <v>NMT</v>
          </cell>
          <cell r="P141" t="str">
            <v>NMT</v>
          </cell>
          <cell r="Q141" t="str">
            <v xml:space="preserve"> - </v>
          </cell>
          <cell r="R141" t="str">
            <v xml:space="preserve"> - </v>
          </cell>
          <cell r="S141" t="str">
            <v xml:space="preserve"> - </v>
          </cell>
          <cell r="T141" t="str">
            <v>NMT</v>
          </cell>
        </row>
        <row r="142">
          <cell r="A142" t="str">
            <v>NPOESS</v>
          </cell>
          <cell r="B142" t="str">
            <v>NPOESS (National Polar-orbiting Operational Environmental Satellite System)</v>
          </cell>
          <cell r="C142" t="str">
            <v>NPOESS (National Polar-orbiting Operational Environmental Satellite System)</v>
          </cell>
          <cell r="D142" t="str">
            <v>National Polar-orbiting Operational Environmental Satellite System (NPOESS)</v>
          </cell>
          <cell r="F142" t="str">
            <v>NPOESS (RDT&amp;E)</v>
          </cell>
          <cell r="G142" t="str">
            <v>NPOESS</v>
          </cell>
          <cell r="H142" t="str">
            <v>NPOESS</v>
          </cell>
          <cell r="I142" t="str">
            <v>NPOESS</v>
          </cell>
          <cell r="J142" t="str">
            <v>NPOESS</v>
          </cell>
          <cell r="K142" t="str">
            <v>NPOESS</v>
          </cell>
          <cell r="L142" t="str">
            <v>NPOESS</v>
          </cell>
          <cell r="M142" t="str">
            <v>NPOESS</v>
          </cell>
          <cell r="N142" t="str">
            <v>NPOESS</v>
          </cell>
          <cell r="O142" t="str">
            <v>NPOESS</v>
          </cell>
          <cell r="P142" t="str">
            <v>NPOESS</v>
          </cell>
          <cell r="Q142" t="str">
            <v xml:space="preserve"> - </v>
          </cell>
          <cell r="R142" t="str">
            <v xml:space="preserve"> - </v>
          </cell>
          <cell r="S142" t="str">
            <v xml:space="preserve"> - </v>
          </cell>
          <cell r="T142" t="str">
            <v>NPOESS</v>
          </cell>
        </row>
        <row r="143">
          <cell r="A143" t="str">
            <v>P-8A</v>
          </cell>
          <cell r="B143" t="str">
            <v>P-8A (MMA)</v>
          </cell>
          <cell r="C143" t="str">
            <v>P-8A (MMA)</v>
          </cell>
          <cell r="D143" t="str">
            <v>P-8A Poseidon</v>
          </cell>
          <cell r="I143" t="str">
            <v>MMA</v>
          </cell>
          <cell r="J143" t="str">
            <v>MMA</v>
          </cell>
          <cell r="K143" t="str">
            <v>P-8A (MMA)</v>
          </cell>
          <cell r="L143" t="str">
            <v>P-8A (MMA)</v>
          </cell>
          <cell r="M143" t="str">
            <v>P-8A (MMA)</v>
          </cell>
          <cell r="N143" t="str">
            <v>P-8A</v>
          </cell>
          <cell r="O143" t="str">
            <v>P-8A</v>
          </cell>
          <cell r="P143" t="str">
            <v>P-8A</v>
          </cell>
          <cell r="Q143" t="str">
            <v xml:space="preserve"> - </v>
          </cell>
          <cell r="R143" t="str">
            <v xml:space="preserve"> - </v>
          </cell>
          <cell r="S143" t="str">
            <v xml:space="preserve"> - </v>
          </cell>
          <cell r="T143" t="str">
            <v>P-8A</v>
          </cell>
        </row>
        <row r="144">
          <cell r="A144" t="str">
            <v>PATRIOT PAC-3</v>
          </cell>
          <cell r="B144" t="str">
            <v>Patriot PAC3 (PAC-3)</v>
          </cell>
          <cell r="C144" t="str">
            <v>Patriot PAC3 (PAC-3)</v>
          </cell>
          <cell r="D144" t="str">
            <v>Patriot Advanced Capability-3 (PAC-3)</v>
          </cell>
          <cell r="F144" t="str">
            <v>PATRIOT PAC-3</v>
          </cell>
          <cell r="G144" t="str">
            <v>PATRIOT PAC-3</v>
          </cell>
          <cell r="H144" t="str">
            <v>PATRIOT PAC-3</v>
          </cell>
          <cell r="I144" t="str">
            <v>PATRIOT PAC-3</v>
          </cell>
          <cell r="J144" t="str">
            <v>PATRIOT PAC-3</v>
          </cell>
          <cell r="K144" t="str">
            <v>PATRIOT PAC-3</v>
          </cell>
          <cell r="L144" t="str">
            <v>PATRIOT PAC-3</v>
          </cell>
          <cell r="M144" t="str">
            <v>PATRIOT PAC-3</v>
          </cell>
          <cell r="N144" t="str">
            <v>PATRIOT PAC-3</v>
          </cell>
          <cell r="O144" t="str">
            <v>PATRIOT PAC-3</v>
          </cell>
          <cell r="P144" t="str">
            <v>PATRIOT PAC-3</v>
          </cell>
          <cell r="Q144" t="str">
            <v xml:space="preserve"> - </v>
          </cell>
          <cell r="R144" t="str">
            <v xml:space="preserve"> - </v>
          </cell>
          <cell r="S144" t="str">
            <v xml:space="preserve"> - </v>
          </cell>
          <cell r="T144" t="str">
            <v>PATRIOT PAC-3</v>
          </cell>
        </row>
        <row r="145">
          <cell r="A145" t="str">
            <v>PATRIOT/MEADS CAP</v>
          </cell>
          <cell r="B145" t="str">
            <v>Patriot/MEADS CAP</v>
          </cell>
          <cell r="C145" t="str">
            <v>Patriot/MEADS CAP</v>
          </cell>
          <cell r="D145" t="str">
            <v>PATRIOT/Medium Extended Air Defense System (MEADS) Combined Aggregate Program (CAP)</v>
          </cell>
          <cell r="I145" t="str">
            <v>PAT/MEADS CAP</v>
          </cell>
          <cell r="J145" t="str">
            <v>PAT/MEADS CAP</v>
          </cell>
          <cell r="K145" t="str">
            <v>PATRIOT/MEADS CAP</v>
          </cell>
          <cell r="Q145" t="str">
            <v xml:space="preserve"> - </v>
          </cell>
          <cell r="R145" t="str">
            <v xml:space="preserve"> - </v>
          </cell>
          <cell r="S145" t="str">
            <v xml:space="preserve"> - </v>
          </cell>
          <cell r="T145" t="str">
            <v>PATRIOT/MEADS CAP</v>
          </cell>
        </row>
        <row r="146">
          <cell r="A146" t="str">
            <v>PATRIOT/MEADS CAP SPLIT</v>
          </cell>
          <cell r="B146" t="str">
            <v>Patriot/MEADS CAP (Fire Unit)</v>
          </cell>
          <cell r="C146" t="str">
            <v>Fire Unit</v>
          </cell>
          <cell r="D146" t="str">
            <v>PATRIOT/Medium Extended Air Defense System (MEADS) Combined Aggregate Program (CAP) Fire Unit</v>
          </cell>
          <cell r="L146" t="str">
            <v>PATRIOT/MEADS CAP - FIRE UNIT</v>
          </cell>
          <cell r="M146" t="str">
            <v>PATRIOT/MEADS CAP - FIRE UNIT</v>
          </cell>
          <cell r="N146" t="str">
            <v>PATRIOT MEADS CAP: FIRE UNIT</v>
          </cell>
          <cell r="O146" t="str">
            <v>PATRIOT/MEADS CAP - FIRE UNIT</v>
          </cell>
          <cell r="P146" t="str">
            <v>PATRIOT/MEADS CAP - FIRE UNIT</v>
          </cell>
          <cell r="Q146" t="str">
            <v xml:space="preserve"> - </v>
          </cell>
          <cell r="R146" t="str">
            <v xml:space="preserve"> - </v>
          </cell>
          <cell r="S146" t="str">
            <v xml:space="preserve"> - </v>
          </cell>
          <cell r="T146" t="str">
            <v>PATRIOT/MEADS CAP SPLIT</v>
          </cell>
        </row>
        <row r="147">
          <cell r="A147" t="str">
            <v>PATRIOT/MEADS CAP SPLIT</v>
          </cell>
          <cell r="B147" t="str">
            <v>Patriot/MEADS CAP (Missile)</v>
          </cell>
          <cell r="C147" t="str">
            <v>Missile</v>
          </cell>
          <cell r="D147" t="str">
            <v>PATRIOT/Medium Extended Air Defense System (MEADS) Combined Aggregate Program (CAP) Missile</v>
          </cell>
          <cell r="L147" t="str">
            <v>PATRIOT/MEADS CAP - MISSILE</v>
          </cell>
          <cell r="M147" t="str">
            <v>PATRIOT/MEADS CAP - MISSILE</v>
          </cell>
          <cell r="N147" t="str">
            <v>PATRIOT MEADS CAP: MISSILE</v>
          </cell>
          <cell r="O147" t="str">
            <v>PATRIOT/MEADS CAP - MISSILE</v>
          </cell>
          <cell r="P147" t="str">
            <v>PATRIOT/MEADS CAP - MISSILE</v>
          </cell>
          <cell r="Q147" t="str">
            <v xml:space="preserve"> - </v>
          </cell>
          <cell r="R147" t="str">
            <v xml:space="preserve"> - </v>
          </cell>
          <cell r="S147" t="str">
            <v xml:space="preserve"> - </v>
          </cell>
          <cell r="T147" t="str">
            <v>PATRIOT/MEADS CAP SPLIT</v>
          </cell>
        </row>
        <row r="148">
          <cell r="A148" t="str">
            <v>RMS</v>
          </cell>
          <cell r="B148" t="str">
            <v>RMS</v>
          </cell>
          <cell r="C148" t="str">
            <v>RMS</v>
          </cell>
          <cell r="D148" t="str">
            <v>Remote Minehunting System</v>
          </cell>
          <cell r="L148" t="str">
            <v>RMS</v>
          </cell>
          <cell r="M148" t="str">
            <v>RMS</v>
          </cell>
          <cell r="N148" t="str">
            <v>RMS</v>
          </cell>
          <cell r="O148" t="str">
            <v>RMS</v>
          </cell>
          <cell r="P148" t="str">
            <v>RMS</v>
          </cell>
          <cell r="Q148" t="str">
            <v xml:space="preserve"> - </v>
          </cell>
          <cell r="R148" t="str">
            <v xml:space="preserve"> - </v>
          </cell>
          <cell r="S148" t="str">
            <v xml:space="preserve"> - </v>
          </cell>
          <cell r="T148" t="str">
            <v>RMS</v>
          </cell>
        </row>
        <row r="149">
          <cell r="A149" t="str">
            <v>RQ-4 GLOBAL HAWK</v>
          </cell>
          <cell r="B149" t="str">
            <v>RQ-4 GLOBAL HAWK</v>
          </cell>
          <cell r="C149" t="str">
            <v>GLOBAL HAWK (RQ-4)</v>
          </cell>
          <cell r="D149" t="str">
            <v>Global Hawk (RQ-4A/B)</v>
          </cell>
          <cell r="F149" t="str">
            <v>GLOBAL HAWK</v>
          </cell>
          <cell r="G149" t="str">
            <v>GLOBAL HAWK</v>
          </cell>
          <cell r="H149" t="str">
            <v>GLOBAL HAWK</v>
          </cell>
          <cell r="I149" t="str">
            <v>GLOBAL HAWK</v>
          </cell>
          <cell r="J149" t="str">
            <v>GLOBAL HAWK</v>
          </cell>
          <cell r="K149" t="str">
            <v>GLOBAL HAWK</v>
          </cell>
          <cell r="L149" t="str">
            <v>GLOBAL HAWK (RQ-4A/B)</v>
          </cell>
          <cell r="M149" t="str">
            <v>GLOBAL HAWK (RQ-4A/B)</v>
          </cell>
          <cell r="N149" t="str">
            <v>GLOBAL HAWK (RQ-4A/B)</v>
          </cell>
          <cell r="O149" t="str">
            <v>RQ-4A/B UAS GLOBAL HAWK</v>
          </cell>
          <cell r="P149" t="str">
            <v>RQ-4A/B UAS GLOBAL HAWK</v>
          </cell>
          <cell r="Q149" t="str">
            <v xml:space="preserve"> - </v>
          </cell>
          <cell r="R149" t="str">
            <v xml:space="preserve"> - </v>
          </cell>
          <cell r="S149" t="str">
            <v xml:space="preserve"> - </v>
          </cell>
          <cell r="T149" t="str">
            <v>RQ-4 GLOBAL HAWK</v>
          </cell>
        </row>
        <row r="150">
          <cell r="A150" t="str">
            <v>SBIRS</v>
          </cell>
          <cell r="B150" t="str">
            <v>SBIRS (High)</v>
          </cell>
          <cell r="C150" t="str">
            <v>SBIRS (High)</v>
          </cell>
          <cell r="D150" t="str">
            <v>Space Based Infrared System (SBIRS) High Program</v>
          </cell>
          <cell r="F150" t="str">
            <v>SBIRS (High)</v>
          </cell>
          <cell r="G150" t="str">
            <v>SBIRS HIGH</v>
          </cell>
          <cell r="H150" t="str">
            <v>SBIRS HIGH</v>
          </cell>
          <cell r="I150" t="str">
            <v>SBIRS HIGH</v>
          </cell>
          <cell r="J150" t="str">
            <v>SBIRS HIGH</v>
          </cell>
          <cell r="K150" t="str">
            <v>SBIRS HIGH</v>
          </cell>
          <cell r="L150" t="str">
            <v>SBIRS HIGH</v>
          </cell>
          <cell r="M150" t="str">
            <v>SBIRS HIGH</v>
          </cell>
          <cell r="N150" t="str">
            <v>SBIRS HIGH</v>
          </cell>
          <cell r="O150" t="str">
            <v>SBIRS HIGH</v>
          </cell>
          <cell r="P150" t="str">
            <v>SBIRS HIGH</v>
          </cell>
          <cell r="Q150" t="str">
            <v xml:space="preserve"> - </v>
          </cell>
          <cell r="R150" t="str">
            <v xml:space="preserve"> - </v>
          </cell>
          <cell r="S150" t="str">
            <v xml:space="preserve"> - </v>
          </cell>
          <cell r="T150" t="str">
            <v>SBIRS</v>
          </cell>
        </row>
        <row r="151">
          <cell r="A151" t="str">
            <v>SBSS B10</v>
          </cell>
          <cell r="B151" t="str">
            <v>SBSS B10 (Space Based Space Surveillance)</v>
          </cell>
          <cell r="C151" t="str">
            <v>SBSS B10 (Space Based Space Surveillance)</v>
          </cell>
          <cell r="D151" t="str">
            <v>Space Based Space Surveillance (SBSS) Block 10</v>
          </cell>
          <cell r="M151" t="str">
            <v>SBSS B10</v>
          </cell>
          <cell r="N151" t="str">
            <v>SBSS BLOCK 10</v>
          </cell>
          <cell r="O151" t="str">
            <v>SBSS BLOCK 10</v>
          </cell>
          <cell r="Q151" t="str">
            <v xml:space="preserve"> - </v>
          </cell>
          <cell r="R151" t="str">
            <v xml:space="preserve"> - </v>
          </cell>
          <cell r="S151" t="str">
            <v xml:space="preserve"> - </v>
          </cell>
          <cell r="T151" t="str">
            <v>SBSS B10</v>
          </cell>
        </row>
        <row r="152">
          <cell r="A152" t="str">
            <v>SDB I</v>
          </cell>
          <cell r="B152" t="str">
            <v>SDB I (Small Diameter Bomb)</v>
          </cell>
          <cell r="C152" t="str">
            <v>SDB I (Small Diameter Bomb)</v>
          </cell>
          <cell r="D152" t="str">
            <v/>
          </cell>
          <cell r="I152" t="str">
            <v>SDB</v>
          </cell>
          <cell r="J152" t="str">
            <v>SDB</v>
          </cell>
          <cell r="K152" t="str">
            <v>SDB</v>
          </cell>
          <cell r="L152" t="str">
            <v>SDB I</v>
          </cell>
          <cell r="M152" t="str">
            <v>SDB I</v>
          </cell>
          <cell r="Q152" t="str">
            <v xml:space="preserve"> - </v>
          </cell>
          <cell r="R152" t="str">
            <v xml:space="preserve"> - </v>
          </cell>
          <cell r="S152" t="str">
            <v xml:space="preserve"> - </v>
          </cell>
          <cell r="T152" t="str">
            <v>SDB I</v>
          </cell>
        </row>
        <row r="153">
          <cell r="A153" t="str">
            <v>SDB II</v>
          </cell>
          <cell r="B153" t="str">
            <v>SDB II (Small Diameter Bomb)</v>
          </cell>
          <cell r="C153" t="str">
            <v>SDB II (Small Diameter Bomb)</v>
          </cell>
          <cell r="D153" t="str">
            <v>Small Diameter Bomb (SDB) Increment II</v>
          </cell>
          <cell r="O153" t="str">
            <v>SDB II</v>
          </cell>
          <cell r="P153" t="str">
            <v>SDB II</v>
          </cell>
          <cell r="Q153" t="str">
            <v xml:space="preserve"> - </v>
          </cell>
          <cell r="R153" t="str">
            <v xml:space="preserve"> - </v>
          </cell>
          <cell r="S153" t="str">
            <v xml:space="preserve"> - </v>
          </cell>
          <cell r="T153" t="str">
            <v>SDB II</v>
          </cell>
        </row>
        <row r="154">
          <cell r="A154" t="str">
            <v>SM-2</v>
          </cell>
          <cell r="B154" t="str">
            <v>SM-2</v>
          </cell>
          <cell r="C154" t="str">
            <v>SM-2</v>
          </cell>
          <cell r="F154" t="str">
            <v>STD MSL 2</v>
          </cell>
          <cell r="G154" t="str">
            <v>SM 2</v>
          </cell>
          <cell r="H154" t="str">
            <v>SM 2</v>
          </cell>
          <cell r="I154" t="str">
            <v>SM-2</v>
          </cell>
          <cell r="Q154" t="str">
            <v xml:space="preserve"> - </v>
          </cell>
          <cell r="R154" t="str">
            <v xml:space="preserve"> - </v>
          </cell>
          <cell r="S154" t="str">
            <v xml:space="preserve"> - </v>
          </cell>
          <cell r="T154" t="str">
            <v>SM-2</v>
          </cell>
        </row>
        <row r="155">
          <cell r="A155" t="str">
            <v>SM-6</v>
          </cell>
          <cell r="B155" t="str">
            <v>SM-6</v>
          </cell>
          <cell r="C155" t="str">
            <v>SM-6</v>
          </cell>
          <cell r="D155" t="str">
            <v>Standard Missile-6 (SM-6) Extended Range Active Missile (ERAM)</v>
          </cell>
          <cell r="I155" t="str">
            <v>SM-6</v>
          </cell>
          <cell r="J155" t="str">
            <v>SM-6</v>
          </cell>
          <cell r="K155" t="str">
            <v>SM-6</v>
          </cell>
          <cell r="L155" t="str">
            <v>SM-6</v>
          </cell>
          <cell r="M155" t="str">
            <v>SM-6</v>
          </cell>
          <cell r="N155" t="str">
            <v>SM-6</v>
          </cell>
          <cell r="O155" t="str">
            <v>SM-6</v>
          </cell>
          <cell r="P155" t="str">
            <v>SM-6</v>
          </cell>
          <cell r="Q155" t="str">
            <v xml:space="preserve"> - </v>
          </cell>
          <cell r="R155" t="str">
            <v xml:space="preserve"> - </v>
          </cell>
          <cell r="S155" t="str">
            <v xml:space="preserve"> - </v>
          </cell>
          <cell r="T155" t="str">
            <v>SM-6</v>
          </cell>
        </row>
        <row r="156">
          <cell r="A156" t="str">
            <v>SMART-T</v>
          </cell>
          <cell r="F156" t="str">
            <v>SMART-T</v>
          </cell>
          <cell r="G156" t="str">
            <v>SMART-T</v>
          </cell>
          <cell r="T156" t="str">
            <v>SMART-T</v>
          </cell>
        </row>
        <row r="157">
          <cell r="A157" t="str">
            <v>SSDS</v>
          </cell>
          <cell r="B157" t="str">
            <v/>
          </cell>
          <cell r="D157" t="str">
            <v/>
          </cell>
          <cell r="J157" t="str">
            <v>SSDS</v>
          </cell>
          <cell r="K157" t="str">
            <v>SSDS</v>
          </cell>
          <cell r="L157" t="str">
            <v>SSDS</v>
          </cell>
          <cell r="Q157" t="str">
            <v xml:space="preserve"> - </v>
          </cell>
          <cell r="R157" t="str">
            <v xml:space="preserve"> - </v>
          </cell>
          <cell r="S157" t="str">
            <v xml:space="preserve"> - </v>
          </cell>
          <cell r="T157" t="str">
            <v>SSDS</v>
          </cell>
        </row>
        <row r="158">
          <cell r="A158" t="str">
            <v>SSGN</v>
          </cell>
          <cell r="B158" t="str">
            <v/>
          </cell>
          <cell r="D158" t="str">
            <v/>
          </cell>
          <cell r="H158" t="str">
            <v>SSGN</v>
          </cell>
          <cell r="I158" t="str">
            <v>SSGN</v>
          </cell>
          <cell r="J158" t="str">
            <v>SSGN</v>
          </cell>
          <cell r="K158" t="str">
            <v>SSGN (OHIO CLASS)</v>
          </cell>
          <cell r="L158" t="str">
            <v>SSGN</v>
          </cell>
          <cell r="Q158" t="str">
            <v xml:space="preserve"> - </v>
          </cell>
          <cell r="R158" t="str">
            <v xml:space="preserve"> - </v>
          </cell>
          <cell r="S158" t="str">
            <v xml:space="preserve"> - </v>
          </cell>
          <cell r="T158" t="str">
            <v>SSGN</v>
          </cell>
        </row>
        <row r="159">
          <cell r="A159" t="str">
            <v>SSN 774</v>
          </cell>
          <cell r="B159" t="str">
            <v>SSN 774</v>
          </cell>
          <cell r="C159" t="str">
            <v>SSN 774</v>
          </cell>
          <cell r="D159" t="str">
            <v>Virginia Class Submarine (SSN 774)</v>
          </cell>
          <cell r="F159" t="str">
            <v>SSN 774 (VA CLASS)</v>
          </cell>
          <cell r="G159" t="str">
            <v>SSN 774 (VA CLASS)</v>
          </cell>
          <cell r="H159" t="str">
            <v>SSN 774 (VA CLASS)</v>
          </cell>
          <cell r="I159" t="str">
            <v>SSN 774 (VA CLASS)</v>
          </cell>
          <cell r="J159" t="str">
            <v>SSN 774 (VA CLASS)</v>
          </cell>
          <cell r="K159" t="str">
            <v>SSN 774 (VA CLASS)</v>
          </cell>
          <cell r="L159" t="str">
            <v>SSN 774 (VIRGINIA CLASS)</v>
          </cell>
          <cell r="M159" t="str">
            <v>SSN 774 (VIRGINIA CLASS)</v>
          </cell>
          <cell r="N159" t="str">
            <v>SSN 774</v>
          </cell>
          <cell r="O159" t="str">
            <v>SSN 774</v>
          </cell>
          <cell r="P159" t="str">
            <v>SSN 774</v>
          </cell>
          <cell r="Q159" t="str">
            <v xml:space="preserve"> - </v>
          </cell>
          <cell r="R159" t="str">
            <v xml:space="preserve"> - </v>
          </cell>
          <cell r="S159" t="str">
            <v xml:space="preserve"> - </v>
          </cell>
          <cell r="T159" t="str">
            <v>SSN 774</v>
          </cell>
        </row>
        <row r="160">
          <cell r="A160" t="str">
            <v>STRYKER</v>
          </cell>
          <cell r="B160" t="str">
            <v>Stryker</v>
          </cell>
          <cell r="C160" t="str">
            <v>Stryker</v>
          </cell>
          <cell r="D160" t="str">
            <v>Stryker Family of Vehicles (Stryker)</v>
          </cell>
          <cell r="G160" t="str">
            <v>STRYKER (IAV)</v>
          </cell>
          <cell r="H160" t="str">
            <v>STRYKER</v>
          </cell>
          <cell r="I160" t="str">
            <v>STRYKER</v>
          </cell>
          <cell r="J160" t="str">
            <v>STRYKER</v>
          </cell>
          <cell r="K160" t="str">
            <v>STRYKER</v>
          </cell>
          <cell r="L160" t="str">
            <v>STRYKER</v>
          </cell>
          <cell r="M160" t="str">
            <v>STRYKER</v>
          </cell>
          <cell r="N160" t="str">
            <v>STRYKER</v>
          </cell>
          <cell r="O160" t="str">
            <v>STRYKER</v>
          </cell>
          <cell r="P160" t="str">
            <v>STRYKER</v>
          </cell>
          <cell r="Q160" t="str">
            <v xml:space="preserve"> - </v>
          </cell>
          <cell r="R160" t="str">
            <v xml:space="preserve"> - </v>
          </cell>
          <cell r="S160" t="str">
            <v xml:space="preserve"> - </v>
          </cell>
          <cell r="T160" t="str">
            <v>STRYKER</v>
          </cell>
        </row>
        <row r="161">
          <cell r="A161" t="str">
            <v>T-45TS</v>
          </cell>
          <cell r="B161" t="str">
            <v/>
          </cell>
          <cell r="D161" t="str">
            <v/>
          </cell>
          <cell r="F161" t="str">
            <v>T-45TS</v>
          </cell>
          <cell r="G161" t="str">
            <v>T-45TS</v>
          </cell>
          <cell r="H161" t="str">
            <v>T-45TS</v>
          </cell>
          <cell r="I161" t="str">
            <v>T-45TS</v>
          </cell>
          <cell r="J161" t="str">
            <v>T-45TS</v>
          </cell>
          <cell r="K161" t="str">
            <v>T-45TS</v>
          </cell>
          <cell r="L161" t="str">
            <v>T-45TS</v>
          </cell>
          <cell r="Q161" t="str">
            <v xml:space="preserve"> - </v>
          </cell>
          <cell r="R161" t="str">
            <v xml:space="preserve"> - </v>
          </cell>
          <cell r="S161" t="str">
            <v xml:space="preserve"> - </v>
          </cell>
          <cell r="T161" t="str">
            <v>T-45TS</v>
          </cell>
        </row>
        <row r="162">
          <cell r="A162" t="str">
            <v>TACTICAL TOMAHAWK</v>
          </cell>
          <cell r="B162" t="str">
            <v>Tactical Tomahawk</v>
          </cell>
          <cell r="C162" t="str">
            <v>Tactical Tomahawk</v>
          </cell>
          <cell r="D162" t="str">
            <v>Block IV Tomahawk (Tactical Tomahawk)</v>
          </cell>
          <cell r="F162" t="str">
            <v>TACTICAL TOMAHAWK</v>
          </cell>
          <cell r="G162" t="str">
            <v>TACTICAL TOMAHAWK</v>
          </cell>
          <cell r="H162" t="str">
            <v>TACTICAL TOMAHAWK</v>
          </cell>
          <cell r="I162" t="str">
            <v>TACTICAL TOMAHAWK</v>
          </cell>
          <cell r="J162" t="str">
            <v>TACTICAL TOMAHAWK</v>
          </cell>
          <cell r="K162" t="str">
            <v>TACTICAL TOMAHAWK</v>
          </cell>
          <cell r="L162" t="str">
            <v>TACTICAL TOMAHAWK</v>
          </cell>
          <cell r="M162" t="str">
            <v>TACTICAL TOMAHAWK</v>
          </cell>
          <cell r="N162" t="str">
            <v>TACTICAL TOMAHAWK</v>
          </cell>
          <cell r="O162" t="str">
            <v>TACTICAL TOMAHAWK</v>
          </cell>
          <cell r="P162" t="str">
            <v>TACTICAL TOMAHAWK</v>
          </cell>
          <cell r="Q162" t="str">
            <v xml:space="preserve"> - </v>
          </cell>
          <cell r="R162" t="str">
            <v xml:space="preserve"> - </v>
          </cell>
          <cell r="S162" t="str">
            <v xml:space="preserve"> - </v>
          </cell>
          <cell r="T162" t="str">
            <v>TACTICAL TOMAHAWK</v>
          </cell>
        </row>
        <row r="163">
          <cell r="A163" t="str">
            <v>T-AKE</v>
          </cell>
          <cell r="B163" t="str">
            <v>T-AKE</v>
          </cell>
          <cell r="C163" t="str">
            <v>T-AKE</v>
          </cell>
          <cell r="D163" t="str">
            <v>Lewis and Clark Class (T-AKE) Dry Cargo/Ammunition Ship</v>
          </cell>
          <cell r="F163" t="str">
            <v>T-AKE</v>
          </cell>
          <cell r="G163" t="str">
            <v>T-AKE</v>
          </cell>
          <cell r="H163" t="str">
            <v>T-AKE</v>
          </cell>
          <cell r="I163" t="str">
            <v>T-AKE</v>
          </cell>
          <cell r="J163" t="str">
            <v>T-AKE</v>
          </cell>
          <cell r="K163" t="str">
            <v>T-AKE</v>
          </cell>
          <cell r="L163" t="str">
            <v>T-AKE</v>
          </cell>
          <cell r="M163" t="str">
            <v>T-AKE</v>
          </cell>
          <cell r="N163" t="str">
            <v>T-AKE</v>
          </cell>
          <cell r="O163" t="str">
            <v>T-AKE</v>
          </cell>
          <cell r="Q163" t="str">
            <v xml:space="preserve"> - </v>
          </cell>
          <cell r="R163" t="str">
            <v xml:space="preserve"> - </v>
          </cell>
          <cell r="S163" t="str">
            <v xml:space="preserve"> - </v>
          </cell>
          <cell r="T163" t="str">
            <v>T-AKE</v>
          </cell>
        </row>
        <row r="164">
          <cell r="A164" t="str">
            <v>TRIDENT II</v>
          </cell>
          <cell r="B164" t="str">
            <v>Trident II</v>
          </cell>
          <cell r="C164" t="str">
            <v>Trident II</v>
          </cell>
          <cell r="D164" t="str">
            <v>Sea Launched Ballistic Missile - UGM 133A Trident II (D-5) Missile</v>
          </cell>
          <cell r="F164" t="str">
            <v>TRIDENT II MSL</v>
          </cell>
          <cell r="G164" t="str">
            <v>TRIDENT II MSL</v>
          </cell>
          <cell r="H164" t="str">
            <v>TRIDENT II MSL</v>
          </cell>
          <cell r="I164" t="str">
            <v>TRIDENT II MSL</v>
          </cell>
          <cell r="J164" t="str">
            <v>TRIDENT II MSL</v>
          </cell>
          <cell r="K164" t="str">
            <v>TRIDENT II MSL</v>
          </cell>
          <cell r="L164" t="str">
            <v>TRIDENT II MISSILE</v>
          </cell>
          <cell r="M164" t="str">
            <v>TRIDENT II MISSILE</v>
          </cell>
          <cell r="N164" t="str">
            <v>TRIDENT II MISSILE</v>
          </cell>
          <cell r="O164" t="str">
            <v>TRIDENT II MISSILE</v>
          </cell>
          <cell r="P164" t="str">
            <v>TRIDENT II MISSILE</v>
          </cell>
          <cell r="Q164" t="str">
            <v xml:space="preserve"> - </v>
          </cell>
          <cell r="R164" t="str">
            <v xml:space="preserve"> - </v>
          </cell>
          <cell r="S164" t="str">
            <v xml:space="preserve"> - </v>
          </cell>
          <cell r="T164" t="str">
            <v>TRIDENT II</v>
          </cell>
        </row>
        <row r="165">
          <cell r="A165" t="str">
            <v>TSAT</v>
          </cell>
          <cell r="B165" t="str">
            <v/>
          </cell>
          <cell r="I165" t="str">
            <v>TSAT</v>
          </cell>
          <cell r="Q165" t="str">
            <v xml:space="preserve"> - </v>
          </cell>
          <cell r="R165" t="str">
            <v xml:space="preserve"> - </v>
          </cell>
          <cell r="S165" t="str">
            <v xml:space="preserve"> - </v>
          </cell>
          <cell r="T165" t="str">
            <v>TSAT</v>
          </cell>
        </row>
        <row r="166">
          <cell r="A166" t="str">
            <v>UH-60M</v>
          </cell>
          <cell r="B166" t="str">
            <v/>
          </cell>
          <cell r="N166" t="str">
            <v>BLACKHAWK</v>
          </cell>
          <cell r="O166" t="str">
            <v>UH-60M BLACK HAWK</v>
          </cell>
          <cell r="P166" t="str">
            <v>UH-60M BLACK HAWK</v>
          </cell>
          <cell r="Q166" t="str">
            <v xml:space="preserve"> - </v>
          </cell>
          <cell r="R166" t="str">
            <v xml:space="preserve"> - </v>
          </cell>
          <cell r="S166" t="str">
            <v xml:space="preserve"> - </v>
          </cell>
          <cell r="T166" t="str">
            <v>UH-60M</v>
          </cell>
        </row>
        <row r="167">
          <cell r="A167" t="str">
            <v>UH-60M Black Hawk Upgrade</v>
          </cell>
          <cell r="B167" t="str">
            <v>UH-60M Black Hawk Upgrade</v>
          </cell>
          <cell r="C167" t="str">
            <v>UH-60M Black Hawk Upgrade</v>
          </cell>
          <cell r="D167" t="str">
            <v>Black Hawk (UH-60M)</v>
          </cell>
          <cell r="G167" t="str">
            <v>BLACK HAWK UPGRADE</v>
          </cell>
          <cell r="H167" t="str">
            <v>BLACK HAWK UPGRADE</v>
          </cell>
          <cell r="I167" t="str">
            <v>BLACK HAWK UPGRADE</v>
          </cell>
          <cell r="J167" t="str">
            <v>BLACK HAWK UPGRADE</v>
          </cell>
          <cell r="K167" t="str">
            <v>BLACK HAWK UPGRADE</v>
          </cell>
          <cell r="L167" t="str">
            <v>BLACK HAWK UPGRADE (UH-60M)</v>
          </cell>
          <cell r="M167" t="str">
            <v>BLACK HAWK UPGRADE (UH-60M)</v>
          </cell>
          <cell r="N167" t="str">
            <v>BLACK HAWK UPGRADE (UH-60M)</v>
          </cell>
          <cell r="Q167" t="str">
            <v xml:space="preserve"> - </v>
          </cell>
          <cell r="R167" t="str">
            <v xml:space="preserve"> - </v>
          </cell>
          <cell r="S167" t="str">
            <v xml:space="preserve"> - </v>
          </cell>
          <cell r="T167" t="str">
            <v>UH-60M Black Hawk Upgrade</v>
          </cell>
        </row>
        <row r="168">
          <cell r="A168" t="str">
            <v>V-22</v>
          </cell>
          <cell r="B168" t="str">
            <v>V-22</v>
          </cell>
          <cell r="C168" t="str">
            <v>V-22</v>
          </cell>
          <cell r="D168" t="str">
            <v>V-22 Joint Services Advanced Vertical Lift Aircraft (OSPREY)</v>
          </cell>
          <cell r="F168" t="str">
            <v>V-22</v>
          </cell>
          <cell r="G168" t="str">
            <v>V-22</v>
          </cell>
          <cell r="H168" t="str">
            <v>V-22</v>
          </cell>
          <cell r="I168" t="str">
            <v>V-22</v>
          </cell>
          <cell r="J168" t="str">
            <v>V-22</v>
          </cell>
          <cell r="K168" t="str">
            <v>V-22</v>
          </cell>
          <cell r="L168" t="str">
            <v>V-22</v>
          </cell>
          <cell r="M168" t="str">
            <v>V-22</v>
          </cell>
          <cell r="N168" t="str">
            <v>V-22</v>
          </cell>
          <cell r="O168" t="str">
            <v>V-22</v>
          </cell>
          <cell r="P168" t="str">
            <v>V-22</v>
          </cell>
          <cell r="Q168" t="str">
            <v xml:space="preserve"> - </v>
          </cell>
          <cell r="R168" t="str">
            <v xml:space="preserve"> - </v>
          </cell>
          <cell r="S168" t="str">
            <v xml:space="preserve"> - </v>
          </cell>
          <cell r="T168" t="str">
            <v>V-22</v>
          </cell>
        </row>
        <row r="169">
          <cell r="A169" t="str">
            <v>VH-71</v>
          </cell>
          <cell r="B169" t="str">
            <v>VH-71 (cancelled April 6, 2009)</v>
          </cell>
          <cell r="C169" t="str">
            <v>VH-71</v>
          </cell>
          <cell r="D169" t="str">
            <v/>
          </cell>
          <cell r="K169" t="str">
            <v>VH-71</v>
          </cell>
          <cell r="L169" t="str">
            <v>VH-71</v>
          </cell>
          <cell r="M169" t="str">
            <v>VH-71</v>
          </cell>
          <cell r="Q169" t="str">
            <v xml:space="preserve"> - </v>
          </cell>
          <cell r="R169" t="str">
            <v xml:space="preserve"> - </v>
          </cell>
          <cell r="S169" t="str">
            <v xml:space="preserve"> - </v>
          </cell>
          <cell r="T169" t="str">
            <v>VH-71</v>
          </cell>
        </row>
        <row r="170">
          <cell r="A170" t="str">
            <v>VTUAV</v>
          </cell>
          <cell r="B170" t="str">
            <v>VTUAV</v>
          </cell>
          <cell r="C170" t="str">
            <v>VTUAV</v>
          </cell>
          <cell r="D170" t="str">
            <v>Vertical Take-off and Landing Tactical Unmanned Aerial Vehicle (VTUAV)</v>
          </cell>
          <cell r="L170" t="str">
            <v>VTUAV</v>
          </cell>
          <cell r="M170" t="str">
            <v>VTUAV</v>
          </cell>
          <cell r="N170" t="str">
            <v>VTUAV</v>
          </cell>
          <cell r="O170" t="str">
            <v>VTUAV</v>
          </cell>
          <cell r="P170" t="str">
            <v>VTUAV</v>
          </cell>
          <cell r="Q170" t="str">
            <v xml:space="preserve"> - </v>
          </cell>
          <cell r="R170" t="str">
            <v xml:space="preserve"> - </v>
          </cell>
          <cell r="S170" t="str">
            <v xml:space="preserve"> - </v>
          </cell>
          <cell r="T170" t="str">
            <v>VTUAV</v>
          </cell>
        </row>
        <row r="171">
          <cell r="A171" t="str">
            <v>WGS</v>
          </cell>
          <cell r="B171" t="str">
            <v>WGS (Wideband Global SATCOM Satellite)</v>
          </cell>
          <cell r="C171" t="str">
            <v>WGS (Wideband Global SATCOM Satellite)</v>
          </cell>
          <cell r="D171" t="str">
            <v>Wideband Global SATCOM (WGS)</v>
          </cell>
          <cell r="F171" t="str">
            <v>WIDEBAND GAP FILLER</v>
          </cell>
          <cell r="G171" t="str">
            <v>WIDEBAND GAPFILLER</v>
          </cell>
          <cell r="H171" t="str">
            <v>WIDEBAND GAPFILLER</v>
          </cell>
          <cell r="I171" t="str">
            <v>WIDEBAND GAPFILLER</v>
          </cell>
          <cell r="J171" t="str">
            <v>WIDEBAND GAPFILLER</v>
          </cell>
          <cell r="K171" t="str">
            <v>WIDEBAND GAPFILLER</v>
          </cell>
          <cell r="L171" t="str">
            <v>WGS</v>
          </cell>
          <cell r="M171" t="str">
            <v>WGS</v>
          </cell>
          <cell r="N171" t="str">
            <v>WGS</v>
          </cell>
          <cell r="O171" t="str">
            <v>WGS</v>
          </cell>
          <cell r="P171" t="str">
            <v>WGS</v>
          </cell>
          <cell r="Q171" t="str">
            <v xml:space="preserve"> - </v>
          </cell>
          <cell r="R171" t="str">
            <v xml:space="preserve"> - </v>
          </cell>
          <cell r="S171" t="str">
            <v xml:space="preserve"> - </v>
          </cell>
          <cell r="T171" t="str">
            <v>WGS</v>
          </cell>
        </row>
        <row r="172">
          <cell r="A172" t="str">
            <v>WIN-T Increment 1</v>
          </cell>
          <cell r="B172" t="str">
            <v>WIN-T increment 1</v>
          </cell>
          <cell r="C172" t="str">
            <v>WIN-T increment 1</v>
          </cell>
          <cell r="D172" t="str">
            <v>Warfighter Information Network-Tactical (WIN-T) Increment 1</v>
          </cell>
          <cell r="H172" t="str">
            <v>WIN-T</v>
          </cell>
          <cell r="I172" t="str">
            <v>WIN-T</v>
          </cell>
          <cell r="J172" t="str">
            <v>WIN-T</v>
          </cell>
          <cell r="K172" t="str">
            <v>WIN-T</v>
          </cell>
          <cell r="L172" t="str">
            <v>WIN-T INCREMENT 1</v>
          </cell>
          <cell r="M172" t="str">
            <v>WIN-T INCREMENT 1</v>
          </cell>
          <cell r="N172" t="str">
            <v>WIN-T INC 1</v>
          </cell>
          <cell r="O172" t="str">
            <v>WIN-T INCREMENT 1</v>
          </cell>
          <cell r="P172" t="str">
            <v>WIN-T INCREMENT 1</v>
          </cell>
          <cell r="Q172" t="str">
            <v xml:space="preserve"> - </v>
          </cell>
          <cell r="R172" t="str">
            <v xml:space="preserve"> - </v>
          </cell>
          <cell r="S172" t="str">
            <v xml:space="preserve"> - </v>
          </cell>
          <cell r="T172" t="str">
            <v>WIN-T Increment 1</v>
          </cell>
        </row>
        <row r="173">
          <cell r="A173" t="str">
            <v>WIN-T Increment 2</v>
          </cell>
          <cell r="B173" t="str">
            <v>WIN-T increment 2</v>
          </cell>
          <cell r="C173" t="str">
            <v>WIN-T increment 2</v>
          </cell>
          <cell r="D173" t="str">
            <v>Warfighter Information Network-Tactical (WIN-T) Increment 2</v>
          </cell>
          <cell r="L173" t="str">
            <v>WIN-T INCREMENT 2</v>
          </cell>
          <cell r="M173" t="str">
            <v>WIN-T INCREMENT 2</v>
          </cell>
          <cell r="N173" t="str">
            <v>WIN-T INC 2</v>
          </cell>
          <cell r="O173" t="str">
            <v>WIN-T INCREMENT 2</v>
          </cell>
          <cell r="P173" t="str">
            <v>WIN-T INCREMENT 2</v>
          </cell>
          <cell r="Q173" t="str">
            <v xml:space="preserve"> - </v>
          </cell>
          <cell r="R173" t="str">
            <v xml:space="preserve"> - </v>
          </cell>
          <cell r="S173" t="str">
            <v xml:space="preserve"> - </v>
          </cell>
          <cell r="T173" t="str">
            <v>WIN-T Increment 2</v>
          </cell>
        </row>
        <row r="174">
          <cell r="A174" t="str">
            <v>WIN-T Increment 3</v>
          </cell>
          <cell r="B174" t="str">
            <v>WIN-T increment 3</v>
          </cell>
          <cell r="C174" t="str">
            <v>WIN-T increment 3</v>
          </cell>
          <cell r="D174" t="str">
            <v>Warfighter Information Network-Tactical (WIN-T) Increment 3</v>
          </cell>
          <cell r="O174" t="str">
            <v>WIN-T INCREMENT 3</v>
          </cell>
          <cell r="P174" t="str">
            <v>WIN-T INCREMENT 3</v>
          </cell>
          <cell r="Q174" t="str">
            <v xml:space="preserve"> - </v>
          </cell>
          <cell r="R174" t="str">
            <v xml:space="preserve"> - </v>
          </cell>
          <cell r="S174" t="str">
            <v xml:space="preserve"> - </v>
          </cell>
          <cell r="T174" t="str">
            <v>WIN-T Increment 3</v>
          </cell>
        </row>
        <row r="175">
          <cell r="A175" t="str">
            <v>Army Subtotal</v>
          </cell>
          <cell r="B175" t="str">
            <v>Army Subtotal</v>
          </cell>
          <cell r="C175" t="str">
            <v>Army Subtotal</v>
          </cell>
          <cell r="D175" t="str">
            <v>Army Subtotal</v>
          </cell>
          <cell r="E175" t="str">
            <v>Army Subtotal</v>
          </cell>
          <cell r="F175" t="str">
            <v>Army Subtotal</v>
          </cell>
          <cell r="G175" t="str">
            <v>Army Subtotal</v>
          </cell>
          <cell r="H175" t="str">
            <v>Army Subtotal</v>
          </cell>
          <cell r="I175" t="str">
            <v>Army Subtotal</v>
          </cell>
          <cell r="J175" t="str">
            <v>Army Subtotal</v>
          </cell>
          <cell r="K175" t="str">
            <v>Army Subtotal</v>
          </cell>
          <cell r="L175" t="str">
            <v>Army Subtotal</v>
          </cell>
          <cell r="M175" t="str">
            <v>Army Subtotal</v>
          </cell>
          <cell r="N175" t="str">
            <v>Army Subtotal</v>
          </cell>
          <cell r="O175" t="str">
            <v>Army Subtotal</v>
          </cell>
          <cell r="P175" t="str">
            <v>Army Subtotal</v>
          </cell>
          <cell r="Q175" t="str">
            <v>Army Subtotal</v>
          </cell>
          <cell r="R175" t="str">
            <v>Army Subtotal</v>
          </cell>
          <cell r="S175" t="str">
            <v>Army Subtotal</v>
          </cell>
          <cell r="T175" t="str">
            <v>Army Subtotal</v>
          </cell>
        </row>
        <row r="176">
          <cell r="A176" t="str">
            <v>Navy Subtotal</v>
          </cell>
          <cell r="B176" t="str">
            <v>Navy Subtotal</v>
          </cell>
          <cell r="C176" t="str">
            <v>Navy Subtotal</v>
          </cell>
          <cell r="D176" t="str">
            <v>Navy Subtotal</v>
          </cell>
          <cell r="E176" t="str">
            <v>Navy Subtotal</v>
          </cell>
          <cell r="F176" t="str">
            <v>Navy Subtotal</v>
          </cell>
          <cell r="G176" t="str">
            <v>Navy Subtotal</v>
          </cell>
          <cell r="H176" t="str">
            <v>Navy Subtotal</v>
          </cell>
          <cell r="I176" t="str">
            <v>Navy Subtotal</v>
          </cell>
          <cell r="J176" t="str">
            <v>Navy Subtotal</v>
          </cell>
          <cell r="K176" t="str">
            <v>Navy Subtotal</v>
          </cell>
          <cell r="L176" t="str">
            <v>Navy Subtotal</v>
          </cell>
          <cell r="M176" t="str">
            <v>Navy Subtotal</v>
          </cell>
          <cell r="N176" t="str">
            <v>Navy Subtotal</v>
          </cell>
          <cell r="O176" t="str">
            <v>Navy Subtotal</v>
          </cell>
          <cell r="P176" t="str">
            <v>Navy Subtotal</v>
          </cell>
          <cell r="Q176" t="str">
            <v>Navy Subtotal</v>
          </cell>
          <cell r="R176" t="str">
            <v>Navy Subtotal</v>
          </cell>
          <cell r="S176" t="str">
            <v>Navy Subtotal</v>
          </cell>
          <cell r="T176" t="str">
            <v>Navy Subtotal</v>
          </cell>
        </row>
        <row r="177">
          <cell r="A177" t="str">
            <v>Air Force Subtotal</v>
          </cell>
          <cell r="B177" t="str">
            <v>Air Force Subtotal</v>
          </cell>
          <cell r="C177" t="str">
            <v>Air Force Subtotal</v>
          </cell>
          <cell r="D177" t="str">
            <v>Air Force Subtotal</v>
          </cell>
          <cell r="E177" t="str">
            <v>Air Force Subtotal</v>
          </cell>
          <cell r="F177" t="str">
            <v>Air Force Subtotal</v>
          </cell>
          <cell r="G177" t="str">
            <v>Air Force Subtotal</v>
          </cell>
          <cell r="H177" t="str">
            <v>Air Force Subtotal</v>
          </cell>
          <cell r="I177" t="str">
            <v>Air Force Subtotal</v>
          </cell>
          <cell r="J177" t="str">
            <v>Air Force Subtotal</v>
          </cell>
          <cell r="K177" t="str">
            <v>Air Force Subtotal</v>
          </cell>
          <cell r="L177" t="str">
            <v>Air Force Subtotal</v>
          </cell>
          <cell r="M177" t="str">
            <v>Air Force Subtotal</v>
          </cell>
          <cell r="N177" t="str">
            <v>Air Force Subtotal</v>
          </cell>
          <cell r="O177" t="str">
            <v>Air Force Subtotal</v>
          </cell>
          <cell r="P177" t="str">
            <v>Air Force Subtotal</v>
          </cell>
          <cell r="Q177" t="str">
            <v>Air Force Subtotal</v>
          </cell>
          <cell r="R177" t="str">
            <v>Air Force Subtotal</v>
          </cell>
          <cell r="S177" t="str">
            <v>Air Force Subtotal</v>
          </cell>
          <cell r="T177" t="str">
            <v>Air Force Subtotal</v>
          </cell>
        </row>
        <row r="178">
          <cell r="A178" t="str">
            <v>DoD Subtotal</v>
          </cell>
          <cell r="B178" t="str">
            <v>DoD Subtotal</v>
          </cell>
          <cell r="C178" t="str">
            <v>DoD Subtotal</v>
          </cell>
          <cell r="D178" t="str">
            <v>DoD Subtotal</v>
          </cell>
          <cell r="E178" t="str">
            <v>DoD Subtotal</v>
          </cell>
          <cell r="F178" t="str">
            <v>DoD Subtotal</v>
          </cell>
          <cell r="G178" t="str">
            <v>DoD Subtotal</v>
          </cell>
          <cell r="H178" t="str">
            <v>DoD Subtotal</v>
          </cell>
          <cell r="I178" t="str">
            <v>DoD Subtotal</v>
          </cell>
          <cell r="J178" t="str">
            <v>DoD Subtotal</v>
          </cell>
          <cell r="K178" t="str">
            <v>DoD Subtotal</v>
          </cell>
          <cell r="L178" t="str">
            <v>DoD Subtotal</v>
          </cell>
          <cell r="M178" t="str">
            <v>DoD Subtotal</v>
          </cell>
          <cell r="N178" t="str">
            <v>DoD Subtotal</v>
          </cell>
          <cell r="O178" t="str">
            <v>DoD Subtotal</v>
          </cell>
          <cell r="P178" t="str">
            <v>DoD Subtotal</v>
          </cell>
          <cell r="Q178" t="str">
            <v>DoD Subtotal</v>
          </cell>
          <cell r="R178" t="str">
            <v>DoD Subtotal</v>
          </cell>
          <cell r="S178" t="str">
            <v>DoD Subtotal</v>
          </cell>
          <cell r="T178" t="str">
            <v>DoD Subtotal</v>
          </cell>
        </row>
        <row r="179">
          <cell r="A179" t="str">
            <v>Grand Total</v>
          </cell>
          <cell r="B179" t="str">
            <v>Grand Total</v>
          </cell>
          <cell r="C179" t="str">
            <v>Grand Total</v>
          </cell>
          <cell r="D179" t="str">
            <v>Grand Total</v>
          </cell>
          <cell r="E179" t="str">
            <v>Grand Total</v>
          </cell>
          <cell r="F179" t="str">
            <v>Grand Total</v>
          </cell>
          <cell r="G179" t="str">
            <v>Grand Total</v>
          </cell>
          <cell r="H179" t="str">
            <v>Grand Total</v>
          </cell>
          <cell r="I179" t="str">
            <v>Grand Total</v>
          </cell>
          <cell r="J179" t="str">
            <v>Grand Total</v>
          </cell>
          <cell r="K179" t="str">
            <v>Grand Total</v>
          </cell>
          <cell r="L179" t="str">
            <v>Grand Total</v>
          </cell>
          <cell r="M179" t="str">
            <v>Grand Total</v>
          </cell>
          <cell r="N179" t="str">
            <v>Grand Total</v>
          </cell>
          <cell r="O179" t="str">
            <v>Grand Total</v>
          </cell>
          <cell r="P179" t="str">
            <v>Grand Total</v>
          </cell>
          <cell r="Q179" t="str">
            <v>Grand Total</v>
          </cell>
          <cell r="R179" t="str">
            <v>Grand Total</v>
          </cell>
          <cell r="S179" t="str">
            <v>Grand Total</v>
          </cell>
          <cell r="T179" t="str">
            <v>Grand Total</v>
          </cell>
        </row>
      </sheetData>
      <sheetData sheetId="7">
        <row r="2">
          <cell r="G2" t="str">
            <v>(SARs Table 1)</v>
          </cell>
        </row>
        <row r="3">
          <cell r="G3" t="str">
            <v>Baseline Estimate</v>
          </cell>
          <cell r="H3" t="str">
            <v>Baseline Estimate</v>
          </cell>
          <cell r="I3" t="str">
            <v>Baseline Estimate</v>
          </cell>
          <cell r="J3" t="str">
            <v>Changes To Date</v>
          </cell>
          <cell r="K3" t="str">
            <v>Changes To Date</v>
          </cell>
          <cell r="L3" t="str">
            <v>Changes To Date</v>
          </cell>
          <cell r="M3" t="str">
            <v>Current Estimate</v>
          </cell>
          <cell r="N3" t="str">
            <v>Current Estimate</v>
          </cell>
          <cell r="O3" t="str">
            <v>Current Estimate</v>
          </cell>
          <cell r="P3" t="str">
            <v xml:space="preserve">% Change To Date Adjusted  for Qty
</v>
          </cell>
          <cell r="Q3" t="str">
            <v xml:space="preserve">% Change To Date Adjusted  for Qty
</v>
          </cell>
          <cell r="T3" t="str">
            <v>Baseline Estimate</v>
          </cell>
          <cell r="U3" t="str">
            <v>Baseline Estimate</v>
          </cell>
          <cell r="V3" t="str">
            <v>Baseline Estimate</v>
          </cell>
          <cell r="W3" t="str">
            <v>Changes To Date</v>
          </cell>
          <cell r="X3" t="str">
            <v>Changes To Date</v>
          </cell>
          <cell r="Y3" t="str">
            <v>Changes To Date</v>
          </cell>
          <cell r="Z3" t="str">
            <v>Current Estimate</v>
          </cell>
          <cell r="AA3" t="str">
            <v>Current Estimate</v>
          </cell>
          <cell r="AB3" t="str">
            <v>Current Estimate</v>
          </cell>
          <cell r="AC3" t="str">
            <v xml:space="preserve">% Change To Date Adjusted  for Qty
</v>
          </cell>
          <cell r="AD3" t="str">
            <v xml:space="preserve">% Change To Date Adjusted  for Qty
</v>
          </cell>
        </row>
        <row r="4">
          <cell r="C4" t="str">
            <v>Program</v>
          </cell>
          <cell r="D4" t="str">
            <v>Shorthand</v>
          </cell>
          <cell r="E4" t="str">
            <v xml:space="preserve">Base Year
</v>
          </cell>
          <cell r="F4" t="str">
            <v>Baseline Type</v>
          </cell>
          <cell r="G4" t="str">
            <v>Base-Year  $</v>
          </cell>
          <cell r="H4" t="str">
            <v>Then-Year  $</v>
          </cell>
          <cell r="I4" t="str">
            <v>Quantity</v>
          </cell>
          <cell r="J4" t="str">
            <v>Base-Year  $</v>
          </cell>
          <cell r="K4" t="str">
            <v>Then-Year  $</v>
          </cell>
          <cell r="L4" t="str">
            <v>Quantity</v>
          </cell>
          <cell r="M4" t="str">
            <v>Base-Year  $</v>
          </cell>
          <cell r="N4" t="str">
            <v>Then-Year  $</v>
          </cell>
          <cell r="O4" t="str">
            <v>Quantity</v>
          </cell>
          <cell r="P4" t="str">
            <v>Constant $</v>
          </cell>
          <cell r="Q4" t="str">
            <v>Then-Year  $</v>
          </cell>
          <cell r="T4" t="str">
            <v>Base-Year  $</v>
          </cell>
          <cell r="U4" t="str">
            <v>Then-Year  $</v>
          </cell>
          <cell r="V4" t="str">
            <v>Quantity</v>
          </cell>
          <cell r="W4" t="str">
            <v>Base-Year  $</v>
          </cell>
          <cell r="X4" t="str">
            <v>Then-Year  $</v>
          </cell>
          <cell r="Y4" t="str">
            <v>Quantity</v>
          </cell>
          <cell r="Z4" t="str">
            <v>Base-Year  $</v>
          </cell>
          <cell r="AA4" t="str">
            <v>Then-Year  $</v>
          </cell>
          <cell r="AB4" t="str">
            <v>Quantity</v>
          </cell>
          <cell r="AC4" t="str">
            <v>Constant $</v>
          </cell>
          <cell r="AD4" t="str">
            <v>Then-Year  $</v>
          </cell>
        </row>
        <row r="5">
          <cell r="A5" t="str">
            <v>Shorthand</v>
          </cell>
          <cell r="C5" t="str">
            <v>Program</v>
          </cell>
          <cell r="D5" t="str">
            <v>Shorthand</v>
          </cell>
          <cell r="E5" t="str">
            <v xml:space="preserve">Base Year
</v>
          </cell>
          <cell r="F5" t="str">
            <v>Baseline Type</v>
          </cell>
          <cell r="G5" t="str">
            <v>Baseline Estimate (Base-Year  $)**</v>
          </cell>
          <cell r="H5" t="str">
            <v>Baseline Estimate (Then-Year  $)**</v>
          </cell>
          <cell r="I5" t="str">
            <v>Baseline Estimate (Quantity)**</v>
          </cell>
          <cell r="J5" t="str">
            <v>Changes To Date (Base-Year  $)**</v>
          </cell>
          <cell r="K5" t="str">
            <v>Changes To Date (Then-Year  $)**</v>
          </cell>
          <cell r="L5" t="str">
            <v>Changes To Date (Quantity)**</v>
          </cell>
          <cell r="M5" t="str">
            <v>Current Estimate (Base-Year  $)**</v>
          </cell>
          <cell r="N5" t="str">
            <v>Current Estimate (Then-Year  $)**</v>
          </cell>
          <cell r="O5" t="str">
            <v>Current Estimate (Quantity)**</v>
          </cell>
          <cell r="P5" t="str">
            <v>% Change To Date Adjusted  for Qty
 (Constant $)**</v>
          </cell>
          <cell r="Q5" t="str">
            <v>% Change To Date Adjusted  for Qty
 (Then-Year  $)**</v>
          </cell>
          <cell r="T5" t="str">
            <v>Baseline Estimate (Base-Year  $)</v>
          </cell>
          <cell r="U5" t="str">
            <v>Baseline Estimate (Then-Year  $)</v>
          </cell>
          <cell r="V5" t="str">
            <v>Baseline Estimate (Quantity)</v>
          </cell>
          <cell r="W5" t="str">
            <v>Changes To Date (Base-Year  $)</v>
          </cell>
          <cell r="X5" t="str">
            <v>Changes To Date (Then-Year  $)</v>
          </cell>
          <cell r="Y5" t="str">
            <v>Changes To Date (Quantity)</v>
          </cell>
          <cell r="Z5" t="str">
            <v>Current Estimate (Base-Year  $)</v>
          </cell>
          <cell r="AA5" t="str">
            <v>Current Estimate (Then-Year  $)</v>
          </cell>
          <cell r="AB5" t="str">
            <v>Current Estimate (Quantity)</v>
          </cell>
          <cell r="AC5" t="str">
            <v>% Change To Date Adjusted  for Qty
 (Constant $)</v>
          </cell>
          <cell r="AD5" t="str">
            <v>% Change To Date Adjusted  for Qty
 (Then-Year  $)</v>
          </cell>
        </row>
        <row r="6"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  <cell r="Y6">
            <v>25</v>
          </cell>
          <cell r="Z6">
            <v>26</v>
          </cell>
          <cell r="AA6">
            <v>27</v>
          </cell>
          <cell r="AB6">
            <v>28</v>
          </cell>
          <cell r="AC6">
            <v>29</v>
          </cell>
          <cell r="AD6">
            <v>30</v>
          </cell>
        </row>
        <row r="7">
          <cell r="A7" t="str">
            <v>39692-IDECM</v>
          </cell>
          <cell r="B7">
            <v>39692</v>
          </cell>
          <cell r="C7" t="str">
            <v>IDECM-Blocks 2/3</v>
          </cell>
          <cell r="D7" t="str">
            <v>IDECM Split</v>
          </cell>
          <cell r="E7">
            <v>2008</v>
          </cell>
          <cell r="F7" t="str">
            <v>PdE</v>
          </cell>
          <cell r="G7">
            <v>1410.9</v>
          </cell>
          <cell r="H7">
            <v>1535.2</v>
          </cell>
          <cell r="I7">
            <v>12809</v>
          </cell>
          <cell r="J7" t="str">
            <v>-</v>
          </cell>
          <cell r="K7" t="str">
            <v>-</v>
          </cell>
          <cell r="L7" t="str">
            <v>-</v>
          </cell>
          <cell r="M7">
            <v>1410.9</v>
          </cell>
          <cell r="N7">
            <v>1535.2</v>
          </cell>
          <cell r="O7">
            <v>12809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e">
            <v>#NAME?</v>
          </cell>
          <cell r="U7" t="e">
            <v>#NAME?</v>
          </cell>
          <cell r="V7" t="e">
            <v>#NAME?</v>
          </cell>
          <cell r="W7" t="e">
            <v>#NAME?</v>
          </cell>
          <cell r="X7" t="e">
            <v>#NAME?</v>
          </cell>
          <cell r="Y7" t="e">
            <v>#NAME?</v>
          </cell>
          <cell r="Z7" t="e">
            <v>#NAME?</v>
          </cell>
          <cell r="AA7" t="e">
            <v>#NAME?</v>
          </cell>
          <cell r="AB7" t="e">
            <v>#NAME?</v>
          </cell>
          <cell r="AC7" t="e">
            <v>#NAME?</v>
          </cell>
          <cell r="AD7" t="e">
            <v>#NAME?</v>
          </cell>
        </row>
        <row r="8">
          <cell r="A8" t="str">
            <v>39692-IDECM</v>
          </cell>
          <cell r="B8">
            <v>39692</v>
          </cell>
          <cell r="C8" t="str">
            <v>IDECM-Blocks 4</v>
          </cell>
          <cell r="D8" t="str">
            <v>IDECM Split</v>
          </cell>
          <cell r="E8">
            <v>2008</v>
          </cell>
          <cell r="F8" t="str">
            <v>PdE</v>
          </cell>
          <cell r="G8">
            <v>660.7</v>
          </cell>
          <cell r="H8">
            <v>746.1</v>
          </cell>
          <cell r="I8">
            <v>160</v>
          </cell>
          <cell r="J8" t="str">
            <v>-</v>
          </cell>
          <cell r="K8" t="str">
            <v>-</v>
          </cell>
          <cell r="L8" t="str">
            <v>-</v>
          </cell>
          <cell r="M8">
            <v>660.7</v>
          </cell>
          <cell r="N8">
            <v>746.1</v>
          </cell>
          <cell r="O8">
            <v>160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e">
            <v>#NAME?</v>
          </cell>
          <cell r="U8" t="e">
            <v>#NAME?</v>
          </cell>
          <cell r="V8" t="e">
            <v>#NAME?</v>
          </cell>
          <cell r="W8" t="e">
            <v>#NAME?</v>
          </cell>
          <cell r="X8" t="e">
            <v>#NAME?</v>
          </cell>
          <cell r="Y8" t="e">
            <v>#NAME?</v>
          </cell>
          <cell r="Z8" t="e">
            <v>#NAME?</v>
          </cell>
          <cell r="AA8" t="e">
            <v>#NAME?</v>
          </cell>
          <cell r="AB8" t="e">
            <v>#NAME?</v>
          </cell>
          <cell r="AC8" t="e">
            <v>#NAME?</v>
          </cell>
          <cell r="AD8" t="e">
            <v>#NAME?</v>
          </cell>
        </row>
        <row r="9">
          <cell r="A9" t="str">
            <v>39692-JSOW</v>
          </cell>
          <cell r="B9">
            <v>39692</v>
          </cell>
          <cell r="C9" t="str">
            <v>JSOW - BASELINE/BLU-108</v>
          </cell>
          <cell r="D9" t="str">
            <v>JSOW Split</v>
          </cell>
          <cell r="E9">
            <v>1990</v>
          </cell>
          <cell r="F9" t="str">
            <v>PdE</v>
          </cell>
          <cell r="G9">
            <v>3566.3</v>
          </cell>
          <cell r="H9">
            <v>4898.7</v>
          </cell>
          <cell r="I9">
            <v>16124</v>
          </cell>
          <cell r="J9">
            <v>-2090.4</v>
          </cell>
          <cell r="K9">
            <v>-3037.1</v>
          </cell>
          <cell r="L9">
            <v>-12790</v>
          </cell>
          <cell r="M9">
            <v>1475.9</v>
          </cell>
          <cell r="N9">
            <v>1861.6</v>
          </cell>
          <cell r="O9">
            <v>3334</v>
          </cell>
          <cell r="P9">
            <v>-2.1</v>
          </cell>
          <cell r="Q9">
            <v>9.9</v>
          </cell>
          <cell r="R9">
            <v>-7489.2300000000005</v>
          </cell>
          <cell r="S9">
            <v>48497.13</v>
          </cell>
          <cell r="T9" t="e">
            <v>#NAME?</v>
          </cell>
          <cell r="U9" t="e">
            <v>#NAME?</v>
          </cell>
          <cell r="V9" t="e">
            <v>#NAME?</v>
          </cell>
          <cell r="W9" t="e">
            <v>#NAME?</v>
          </cell>
          <cell r="X9" t="e">
            <v>#NAME?</v>
          </cell>
          <cell r="Y9" t="e">
            <v>#NAME?</v>
          </cell>
          <cell r="Z9" t="e">
            <v>#NAME?</v>
          </cell>
          <cell r="AA9" t="e">
            <v>#NAME?</v>
          </cell>
          <cell r="AB9" t="e">
            <v>#NAME?</v>
          </cell>
          <cell r="AC9" t="e">
            <v>#NAME?</v>
          </cell>
          <cell r="AD9" t="e">
            <v>#NAME?</v>
          </cell>
        </row>
        <row r="10">
          <cell r="A10" t="str">
            <v>39692-JSOW</v>
          </cell>
          <cell r="B10">
            <v>39692</v>
          </cell>
          <cell r="C10" t="str">
            <v>JSOW - UNITARY</v>
          </cell>
          <cell r="D10" t="str">
            <v>JSOW Split</v>
          </cell>
          <cell r="E10">
            <v>1990</v>
          </cell>
          <cell r="F10" t="str">
            <v>PdE</v>
          </cell>
          <cell r="G10">
            <v>1977.8</v>
          </cell>
          <cell r="H10">
            <v>2974.8</v>
          </cell>
          <cell r="I10">
            <v>7000</v>
          </cell>
          <cell r="J10">
            <v>-200.7</v>
          </cell>
          <cell r="K10">
            <v>-249.7</v>
          </cell>
          <cell r="L10" t="str">
            <v>-</v>
          </cell>
          <cell r="M10">
            <v>1777.1</v>
          </cell>
          <cell r="N10">
            <v>2725.1</v>
          </cell>
          <cell r="O10">
            <v>7000</v>
          </cell>
          <cell r="P10">
            <v>-10.1</v>
          </cell>
          <cell r="Q10">
            <v>-8.4</v>
          </cell>
          <cell r="R10">
            <v>-19975.78</v>
          </cell>
          <cell r="S10">
            <v>-24988.320000000003</v>
          </cell>
          <cell r="T10" t="e">
            <v>#NAME?</v>
          </cell>
          <cell r="U10" t="e">
            <v>#NAME?</v>
          </cell>
          <cell r="V10" t="e">
            <v>#NAME?</v>
          </cell>
          <cell r="W10" t="e">
            <v>#NAME?</v>
          </cell>
          <cell r="X10" t="e">
            <v>#NAME?</v>
          </cell>
          <cell r="Y10" t="e">
            <v>#NAME?</v>
          </cell>
          <cell r="Z10" t="e">
            <v>#NAME?</v>
          </cell>
          <cell r="AA10" t="e">
            <v>#NAME?</v>
          </cell>
          <cell r="AB10" t="e">
            <v>#NAME?</v>
          </cell>
          <cell r="AC10" t="e">
            <v>#NAME?</v>
          </cell>
          <cell r="AD10" t="e">
            <v>#NAME?</v>
          </cell>
        </row>
        <row r="11">
          <cell r="A11" t="str">
            <v>39692-NAVSTAR GPS</v>
          </cell>
          <cell r="B11">
            <v>39692</v>
          </cell>
          <cell r="C11" t="str">
            <v>NAVSTAR GPS - SPACE &amp; CONTROL</v>
          </cell>
          <cell r="D11" t="str">
            <v>NAVSTAR GPS SPLIT</v>
          </cell>
          <cell r="E11">
            <v>2000</v>
          </cell>
          <cell r="F11" t="str">
            <v>PdE</v>
          </cell>
          <cell r="G11">
            <v>5015.6000000000004</v>
          </cell>
          <cell r="H11">
            <v>5120.8999999999996</v>
          </cell>
          <cell r="I11">
            <v>33</v>
          </cell>
          <cell r="J11">
            <v>947.5</v>
          </cell>
          <cell r="K11">
            <v>1185.2</v>
          </cell>
          <cell r="L11" t="str">
            <v>-</v>
          </cell>
          <cell r="M11">
            <v>5963.1</v>
          </cell>
          <cell r="N11">
            <v>6306.1</v>
          </cell>
          <cell r="O11">
            <v>33</v>
          </cell>
          <cell r="P11">
            <v>18.399999999999999</v>
          </cell>
          <cell r="Q11">
            <v>23.2</v>
          </cell>
          <cell r="R11">
            <v>92287.039999999994</v>
          </cell>
          <cell r="S11">
            <v>118804.87999999999</v>
          </cell>
          <cell r="T11" t="e">
            <v>#NAME?</v>
          </cell>
          <cell r="U11" t="e">
            <v>#NAME?</v>
          </cell>
          <cell r="V11" t="e">
            <v>#NAME?</v>
          </cell>
          <cell r="W11" t="e">
            <v>#NAME?</v>
          </cell>
          <cell r="X11" t="e">
            <v>#NAME?</v>
          </cell>
          <cell r="Y11" t="e">
            <v>#NAME?</v>
          </cell>
          <cell r="Z11" t="e">
            <v>#NAME?</v>
          </cell>
          <cell r="AA11" t="e">
            <v>#NAME?</v>
          </cell>
          <cell r="AB11" t="e">
            <v>#NAME?</v>
          </cell>
          <cell r="AC11" t="e">
            <v>#NAME?</v>
          </cell>
          <cell r="AD11" t="e">
            <v>#NAME?</v>
          </cell>
        </row>
        <row r="12">
          <cell r="A12" t="str">
            <v>39692-NAVSTAR GPS</v>
          </cell>
          <cell r="B12">
            <v>39692</v>
          </cell>
          <cell r="C12" t="str">
            <v>NAVSTAR GPS - USER EQUIPMENT</v>
          </cell>
          <cell r="D12" t="str">
            <v>NAVSTAR GPS SPLIT</v>
          </cell>
          <cell r="E12">
            <v>2000</v>
          </cell>
          <cell r="F12" t="str">
            <v>PdE</v>
          </cell>
          <cell r="G12">
            <v>797.8</v>
          </cell>
          <cell r="H12">
            <v>874.4</v>
          </cell>
          <cell r="I12" t="str">
            <v>-</v>
          </cell>
          <cell r="J12">
            <v>992.8</v>
          </cell>
          <cell r="K12">
            <v>1219.3</v>
          </cell>
          <cell r="L12" t="str">
            <v>-</v>
          </cell>
          <cell r="M12">
            <v>1790.6</v>
          </cell>
          <cell r="N12">
            <v>2093.6999999999998</v>
          </cell>
          <cell r="O12" t="str">
            <v>-</v>
          </cell>
          <cell r="P12">
            <v>124.4</v>
          </cell>
          <cell r="Q12">
            <v>139.4</v>
          </cell>
          <cell r="R12">
            <v>99246.319999999992</v>
          </cell>
          <cell r="S12">
            <v>121891.36</v>
          </cell>
          <cell r="T12" t="e">
            <v>#NAME?</v>
          </cell>
          <cell r="U12" t="e">
            <v>#NAME?</v>
          </cell>
          <cell r="V12" t="e">
            <v>#NAME?</v>
          </cell>
          <cell r="W12" t="e">
            <v>#NAME?</v>
          </cell>
          <cell r="X12" t="e">
            <v>#NAME?</v>
          </cell>
          <cell r="Y12" t="e">
            <v>#NAME?</v>
          </cell>
          <cell r="Z12" t="e">
            <v>#NAME?</v>
          </cell>
          <cell r="AA12" t="e">
            <v>#NAME?</v>
          </cell>
          <cell r="AB12" t="e">
            <v>#NAME?</v>
          </cell>
          <cell r="AC12" t="e">
            <v>#NAME?</v>
          </cell>
          <cell r="AD12" t="e">
            <v>#NAME?</v>
          </cell>
        </row>
        <row r="13">
          <cell r="A13" t="str">
            <v>39692-PATRIOT/MEADS CAP</v>
          </cell>
          <cell r="B13">
            <v>39692</v>
          </cell>
          <cell r="C13" t="str">
            <v>PATRIOT/MEADS CAP - FIRE UNIT</v>
          </cell>
          <cell r="D13" t="str">
            <v>PATRIOT/MEADS CAP SPLIT</v>
          </cell>
          <cell r="E13">
            <v>2004</v>
          </cell>
          <cell r="F13" t="str">
            <v>DE</v>
          </cell>
          <cell r="G13">
            <v>16530.5</v>
          </cell>
          <cell r="H13">
            <v>21839.4</v>
          </cell>
          <cell r="I13">
            <v>48</v>
          </cell>
          <cell r="J13">
            <v>-722.3</v>
          </cell>
          <cell r="K13">
            <v>-59.7</v>
          </cell>
          <cell r="L13">
            <v>0</v>
          </cell>
          <cell r="M13">
            <v>15808.2</v>
          </cell>
          <cell r="N13">
            <v>21779.7</v>
          </cell>
          <cell r="O13">
            <v>48</v>
          </cell>
          <cell r="P13">
            <v>-4.4000000000000004E-2</v>
          </cell>
          <cell r="Q13">
            <v>-3.0000000000000001E-3</v>
          </cell>
          <cell r="R13">
            <v>-727.3420000000001</v>
          </cell>
          <cell r="S13">
            <v>-65.518200000000007</v>
          </cell>
          <cell r="T13" t="e">
            <v>#NAME?</v>
          </cell>
          <cell r="U13" t="e">
            <v>#NAME?</v>
          </cell>
          <cell r="V13" t="e">
            <v>#NAME?</v>
          </cell>
          <cell r="W13" t="e">
            <v>#NAME?</v>
          </cell>
          <cell r="X13" t="e">
            <v>#NAME?</v>
          </cell>
          <cell r="Y13" t="e">
            <v>#NAME?</v>
          </cell>
          <cell r="Z13" t="e">
            <v>#NAME?</v>
          </cell>
          <cell r="AA13" t="e">
            <v>#NAME?</v>
          </cell>
          <cell r="AB13" t="e">
            <v>#NAME?</v>
          </cell>
          <cell r="AC13" t="e">
            <v>#NAME?</v>
          </cell>
          <cell r="AD13" t="e">
            <v>#NAME?</v>
          </cell>
        </row>
        <row r="14">
          <cell r="A14" t="str">
            <v>39692-PATRIOT/MEADS CAP</v>
          </cell>
          <cell r="B14">
            <v>39692</v>
          </cell>
          <cell r="C14" t="str">
            <v>PATRIOT/MEADS CAP - MISSILE</v>
          </cell>
          <cell r="D14" t="str">
            <v>PATRIOT/MEADS CAP SPLIT</v>
          </cell>
          <cell r="E14">
            <v>2004</v>
          </cell>
          <cell r="F14" t="str">
            <v>DE</v>
          </cell>
          <cell r="G14">
            <v>6220.9</v>
          </cell>
          <cell r="H14">
            <v>8056</v>
          </cell>
          <cell r="I14">
            <v>1528</v>
          </cell>
          <cell r="J14">
            <v>-193.6</v>
          </cell>
          <cell r="K14">
            <v>59.5</v>
          </cell>
          <cell r="L14">
            <v>0</v>
          </cell>
          <cell r="M14">
            <v>6027.3</v>
          </cell>
          <cell r="N14">
            <v>8115.5</v>
          </cell>
          <cell r="O14">
            <v>1528</v>
          </cell>
          <cell r="P14">
            <v>-3.1E-2</v>
          </cell>
          <cell r="Q14">
            <v>6.9999999999999993E-3</v>
          </cell>
          <cell r="R14">
            <v>-192.84789999999998</v>
          </cell>
          <cell r="S14">
            <v>56.391999999999996</v>
          </cell>
          <cell r="T14" t="e">
            <v>#NAME?</v>
          </cell>
          <cell r="U14" t="e">
            <v>#NAME?</v>
          </cell>
          <cell r="V14" t="e">
            <v>#NAME?</v>
          </cell>
          <cell r="W14" t="e">
            <v>#NAME?</v>
          </cell>
          <cell r="X14" t="e">
            <v>#NAME?</v>
          </cell>
          <cell r="Y14" t="e">
            <v>#NAME?</v>
          </cell>
          <cell r="Z14" t="e">
            <v>#NAME?</v>
          </cell>
          <cell r="AA14" t="e">
            <v>#NAME?</v>
          </cell>
          <cell r="AB14" t="e">
            <v>#NAME?</v>
          </cell>
          <cell r="AC14" t="e">
            <v>#NAME?</v>
          </cell>
          <cell r="AD14" t="e">
            <v>#NAME?</v>
          </cell>
        </row>
        <row r="15">
          <cell r="A15" t="str">
            <v>40148-ATIRCM/CMWS</v>
          </cell>
          <cell r="B15">
            <v>40148</v>
          </cell>
          <cell r="C15" t="str">
            <v>ATIRCM/CMWS: CMWS</v>
          </cell>
          <cell r="D15" t="str">
            <v>ATIRCM/CMWS SPLIT</v>
          </cell>
          <cell r="E15">
            <v>2003</v>
          </cell>
          <cell r="F15" t="str">
            <v>PDE</v>
          </cell>
          <cell r="G15">
            <v>1900.9</v>
          </cell>
          <cell r="H15">
            <v>2186.1999999999998</v>
          </cell>
          <cell r="I15">
            <v>2668</v>
          </cell>
          <cell r="J15">
            <v>1168.9000000000001</v>
          </cell>
          <cell r="K15">
            <v>1292.5999999999999</v>
          </cell>
          <cell r="L15">
            <v>1266</v>
          </cell>
          <cell r="M15">
            <v>3069.8</v>
          </cell>
          <cell r="N15">
            <v>3478.8</v>
          </cell>
          <cell r="O15">
            <v>3934</v>
          </cell>
          <cell r="P15">
            <v>0.34799999999999998</v>
          </cell>
          <cell r="Q15">
            <v>0.254</v>
          </cell>
          <cell r="R15">
            <v>661.51319999999998</v>
          </cell>
          <cell r="S15">
            <v>555.29480000000001</v>
          </cell>
          <cell r="T15" t="e">
            <v>#NAME?</v>
          </cell>
          <cell r="U15" t="e">
            <v>#NAME?</v>
          </cell>
          <cell r="V15" t="e">
            <v>#NAME?</v>
          </cell>
          <cell r="W15" t="e">
            <v>#NAME?</v>
          </cell>
          <cell r="X15" t="e">
            <v>#NAME?</v>
          </cell>
          <cell r="Y15" t="e">
            <v>#NAME?</v>
          </cell>
          <cell r="Z15" t="e">
            <v>#NAME?</v>
          </cell>
          <cell r="AA15" t="e">
            <v>#NAME?</v>
          </cell>
          <cell r="AB15" t="e">
            <v>#NAME?</v>
          </cell>
          <cell r="AC15" t="e">
            <v>#NAME?</v>
          </cell>
          <cell r="AD15" t="e">
            <v>#NAME?</v>
          </cell>
        </row>
        <row r="16">
          <cell r="A16" t="str">
            <v>40148-ATIRCM/CMWS</v>
          </cell>
          <cell r="B16">
            <v>40148</v>
          </cell>
          <cell r="C16" t="str">
            <v>ATIRCM/CMWS: QRC</v>
          </cell>
          <cell r="D16" t="str">
            <v>ATIRCM/CMWS SPLIT</v>
          </cell>
          <cell r="E16">
            <v>2003</v>
          </cell>
          <cell r="F16" t="str">
            <v>PDE</v>
          </cell>
          <cell r="G16">
            <v>894.8</v>
          </cell>
          <cell r="H16">
            <v>1054.4000000000001</v>
          </cell>
          <cell r="I16">
            <v>0</v>
          </cell>
          <cell r="J16">
            <v>28.9</v>
          </cell>
          <cell r="K16">
            <v>-20.399999999999999</v>
          </cell>
          <cell r="L16">
            <v>208</v>
          </cell>
          <cell r="M16">
            <v>923.7</v>
          </cell>
          <cell r="N16">
            <v>1034</v>
          </cell>
          <cell r="O16">
            <v>208</v>
          </cell>
          <cell r="P16">
            <v>-0.14099999999999999</v>
          </cell>
          <cell r="Q16">
            <v>-0.68</v>
          </cell>
          <cell r="R16">
            <v>-126.16679999999998</v>
          </cell>
          <cell r="S16">
            <v>-716.99200000000008</v>
          </cell>
          <cell r="T16" t="e">
            <v>#NAME?</v>
          </cell>
          <cell r="U16" t="e">
            <v>#NAME?</v>
          </cell>
          <cell r="V16" t="e">
            <v>#NAME?</v>
          </cell>
          <cell r="W16" t="e">
            <v>#NAME?</v>
          </cell>
          <cell r="X16" t="e">
            <v>#NAME?</v>
          </cell>
          <cell r="Y16" t="e">
            <v>#NAME?</v>
          </cell>
          <cell r="Z16" t="e">
            <v>#NAME?</v>
          </cell>
          <cell r="AA16" t="e">
            <v>#NAME?</v>
          </cell>
          <cell r="AB16" t="e">
            <v>#NAME?</v>
          </cell>
          <cell r="AC16" t="e">
            <v>#NAME?</v>
          </cell>
          <cell r="AD16" t="e">
            <v>#NAME?</v>
          </cell>
        </row>
        <row r="17">
          <cell r="A17" t="str">
            <v>40148-IDECM</v>
          </cell>
          <cell r="B17">
            <v>40148</v>
          </cell>
          <cell r="C17" t="str">
            <v>IDECM Block 2/3</v>
          </cell>
          <cell r="D17" t="str">
            <v>IDECM Split</v>
          </cell>
          <cell r="E17">
            <v>2008</v>
          </cell>
          <cell r="F17" t="str">
            <v>PdE</v>
          </cell>
          <cell r="G17">
            <v>1410.9</v>
          </cell>
          <cell r="H17">
            <v>1535.2</v>
          </cell>
          <cell r="I17">
            <v>12809</v>
          </cell>
          <cell r="J17">
            <v>68.099999999999994</v>
          </cell>
          <cell r="K17">
            <v>107.9</v>
          </cell>
          <cell r="L17">
            <v>-4</v>
          </cell>
          <cell r="M17">
            <v>1479</v>
          </cell>
          <cell r="N17">
            <v>1643.1</v>
          </cell>
          <cell r="O17">
            <v>12805</v>
          </cell>
          <cell r="P17">
            <v>5.5999999999999994E-2</v>
          </cell>
          <cell r="Q17">
            <v>7.8E-2</v>
          </cell>
          <cell r="R17">
            <v>79.01039999999999</v>
          </cell>
          <cell r="S17">
            <v>119.74560000000001</v>
          </cell>
          <cell r="T17" t="e">
            <v>#NAME?</v>
          </cell>
          <cell r="U17" t="e">
            <v>#NAME?</v>
          </cell>
          <cell r="V17" t="e">
            <v>#NAME?</v>
          </cell>
          <cell r="W17" t="e">
            <v>#NAME?</v>
          </cell>
          <cell r="X17" t="e">
            <v>#NAME?</v>
          </cell>
          <cell r="Y17" t="e">
            <v>#NAME?</v>
          </cell>
          <cell r="Z17" t="e">
            <v>#NAME?</v>
          </cell>
          <cell r="AA17" t="e">
            <v>#NAME?</v>
          </cell>
          <cell r="AB17" t="e">
            <v>#NAME?</v>
          </cell>
          <cell r="AC17" t="e">
            <v>#NAME?</v>
          </cell>
          <cell r="AD17" t="e">
            <v>#NAME?</v>
          </cell>
        </row>
        <row r="18">
          <cell r="A18" t="str">
            <v>40148-IDECM</v>
          </cell>
          <cell r="B18">
            <v>40148</v>
          </cell>
          <cell r="C18" t="str">
            <v>IDECM Block 4</v>
          </cell>
          <cell r="D18" t="str">
            <v>IDECM Split</v>
          </cell>
          <cell r="E18">
            <v>2008</v>
          </cell>
          <cell r="F18" t="str">
            <v>DE</v>
          </cell>
          <cell r="G18">
            <v>660.7</v>
          </cell>
          <cell r="H18">
            <v>746.1</v>
          </cell>
          <cell r="I18">
            <v>160</v>
          </cell>
          <cell r="J18">
            <v>8</v>
          </cell>
          <cell r="K18">
            <v>-9.6</v>
          </cell>
          <cell r="L18">
            <v>6</v>
          </cell>
          <cell r="M18">
            <v>668.7</v>
          </cell>
          <cell r="N18">
            <v>736.5</v>
          </cell>
          <cell r="O18">
            <v>166</v>
          </cell>
          <cell r="P18">
            <v>-1.2E-2</v>
          </cell>
          <cell r="Q18">
            <v>-3.7000000000000005E-2</v>
          </cell>
          <cell r="R18">
            <v>-7.9284000000000008</v>
          </cell>
          <cell r="S18">
            <v>-27.605700000000006</v>
          </cell>
          <cell r="T18" t="e">
            <v>#NAME?</v>
          </cell>
          <cell r="U18" t="e">
            <v>#NAME?</v>
          </cell>
          <cell r="V18" t="e">
            <v>#NAME?</v>
          </cell>
          <cell r="W18" t="e">
            <v>#NAME?</v>
          </cell>
          <cell r="X18" t="e">
            <v>#NAME?</v>
          </cell>
          <cell r="Y18" t="e">
            <v>#NAME?</v>
          </cell>
          <cell r="Z18" t="e">
            <v>#NAME?</v>
          </cell>
          <cell r="AA18" t="e">
            <v>#NAME?</v>
          </cell>
          <cell r="AB18" t="e">
            <v>#NAME?</v>
          </cell>
          <cell r="AC18" t="e">
            <v>#NAME?</v>
          </cell>
          <cell r="AD18" t="e">
            <v>#NAME?</v>
          </cell>
        </row>
        <row r="19">
          <cell r="A19" t="str">
            <v>40148-JSOW</v>
          </cell>
          <cell r="B19">
            <v>40148</v>
          </cell>
          <cell r="C19" t="str">
            <v>JSOW (BASELINE/UNITARY) - BASELINE/BLU-108</v>
          </cell>
          <cell r="D19" t="str">
            <v>JSOW Split</v>
          </cell>
          <cell r="E19">
            <v>1990</v>
          </cell>
          <cell r="F19" t="str">
            <v>PdE</v>
          </cell>
          <cell r="G19">
            <v>3566.3</v>
          </cell>
          <cell r="H19">
            <v>4898.7</v>
          </cell>
          <cell r="I19">
            <v>16124</v>
          </cell>
          <cell r="J19">
            <v>-2087.8000000000002</v>
          </cell>
          <cell r="K19">
            <v>-3036</v>
          </cell>
          <cell r="L19">
            <v>-12790</v>
          </cell>
          <cell r="M19">
            <v>1478.5</v>
          </cell>
          <cell r="N19">
            <v>1862.7</v>
          </cell>
          <cell r="O19">
            <v>3334</v>
          </cell>
          <cell r="P19">
            <v>-1.9E-2</v>
          </cell>
          <cell r="Q19">
            <v>9.9000000000000005E-2</v>
          </cell>
          <cell r="R19">
            <v>-67.759699999999995</v>
          </cell>
          <cell r="S19">
            <v>484.97129999999999</v>
          </cell>
          <cell r="T19" t="e">
            <v>#NAME?</v>
          </cell>
          <cell r="U19" t="e">
            <v>#NAME?</v>
          </cell>
          <cell r="V19" t="e">
            <v>#NAME?</v>
          </cell>
          <cell r="W19" t="e">
            <v>#NAME?</v>
          </cell>
          <cell r="X19" t="e">
            <v>#NAME?</v>
          </cell>
          <cell r="Y19" t="e">
            <v>#NAME?</v>
          </cell>
          <cell r="Z19" t="e">
            <v>#NAME?</v>
          </cell>
          <cell r="AA19" t="e">
            <v>#NAME?</v>
          </cell>
          <cell r="AB19" t="e">
            <v>#NAME?</v>
          </cell>
          <cell r="AC19" t="e">
            <v>#NAME?</v>
          </cell>
          <cell r="AD19" t="e">
            <v>#NAME?</v>
          </cell>
        </row>
        <row r="20">
          <cell r="A20" t="str">
            <v>40148-JSOW</v>
          </cell>
          <cell r="B20">
            <v>40148</v>
          </cell>
          <cell r="C20" t="str">
            <v>JSOW (BASELINE/UNITARY) - UNITARY</v>
          </cell>
          <cell r="D20" t="str">
            <v>JSOW Split</v>
          </cell>
          <cell r="E20">
            <v>1990</v>
          </cell>
          <cell r="F20" t="str">
            <v>PdE</v>
          </cell>
          <cell r="G20">
            <v>1977.8</v>
          </cell>
          <cell r="H20">
            <v>2974.8</v>
          </cell>
          <cell r="I20">
            <v>7000</v>
          </cell>
          <cell r="J20">
            <v>116.9</v>
          </cell>
          <cell r="K20">
            <v>239.2</v>
          </cell>
          <cell r="L20">
            <v>0</v>
          </cell>
          <cell r="M20">
            <v>2094.6999999999998</v>
          </cell>
          <cell r="N20">
            <v>3214</v>
          </cell>
          <cell r="O20">
            <v>7000</v>
          </cell>
          <cell r="P20">
            <v>5.9000000000000004E-2</v>
          </cell>
          <cell r="Q20">
            <v>0.08</v>
          </cell>
          <cell r="R20">
            <v>116.6902</v>
          </cell>
          <cell r="S20">
            <v>237.98400000000001</v>
          </cell>
          <cell r="T20" t="e">
            <v>#NAME?</v>
          </cell>
          <cell r="U20" t="e">
            <v>#NAME?</v>
          </cell>
          <cell r="V20" t="e">
            <v>#NAME?</v>
          </cell>
          <cell r="W20" t="e">
            <v>#NAME?</v>
          </cell>
          <cell r="X20" t="e">
            <v>#NAME?</v>
          </cell>
          <cell r="Y20" t="e">
            <v>#NAME?</v>
          </cell>
          <cell r="Z20" t="e">
            <v>#NAME?</v>
          </cell>
          <cell r="AA20" t="e">
            <v>#NAME?</v>
          </cell>
          <cell r="AB20" t="e">
            <v>#NAME?</v>
          </cell>
          <cell r="AC20" t="e">
            <v>#NAME?</v>
          </cell>
          <cell r="AD20" t="e">
            <v>#NAME?</v>
          </cell>
        </row>
        <row r="21">
          <cell r="A21" t="str">
            <v>40148-NAVSTAR GPS</v>
          </cell>
          <cell r="B21">
            <v>40148</v>
          </cell>
          <cell r="C21" t="str">
            <v>NAVSTAR GPS - SPACE &amp; CONTROL</v>
          </cell>
          <cell r="D21" t="str">
            <v>NAVSTAR GPS SPLIT</v>
          </cell>
          <cell r="E21">
            <v>2000</v>
          </cell>
          <cell r="F21" t="str">
            <v>PdE</v>
          </cell>
          <cell r="G21">
            <v>5015.6000000000004</v>
          </cell>
          <cell r="H21">
            <v>5120.8999999999996</v>
          </cell>
          <cell r="I21">
            <v>33</v>
          </cell>
          <cell r="J21">
            <v>1012.5</v>
          </cell>
          <cell r="K21">
            <v>1240.5</v>
          </cell>
          <cell r="L21">
            <v>0</v>
          </cell>
          <cell r="M21">
            <v>6028.1</v>
          </cell>
          <cell r="N21">
            <v>6361.4</v>
          </cell>
          <cell r="O21">
            <v>33</v>
          </cell>
          <cell r="P21">
            <v>0.19699999999999998</v>
          </cell>
          <cell r="Q21">
            <v>0.24299999999999999</v>
          </cell>
          <cell r="R21">
            <v>988.07319999999993</v>
          </cell>
          <cell r="S21">
            <v>1244.3787</v>
          </cell>
          <cell r="T21" t="e">
            <v>#NAME?</v>
          </cell>
          <cell r="U21" t="e">
            <v>#NAME?</v>
          </cell>
          <cell r="V21" t="e">
            <v>#NAME?</v>
          </cell>
          <cell r="W21" t="e">
            <v>#NAME?</v>
          </cell>
          <cell r="X21" t="e">
            <v>#NAME?</v>
          </cell>
          <cell r="Y21" t="e">
            <v>#NAME?</v>
          </cell>
          <cell r="Z21" t="e">
            <v>#NAME?</v>
          </cell>
          <cell r="AA21" t="e">
            <v>#NAME?</v>
          </cell>
          <cell r="AB21" t="e">
            <v>#NAME?</v>
          </cell>
          <cell r="AC21" t="e">
            <v>#NAME?</v>
          </cell>
          <cell r="AD21" t="e">
            <v>#NAME?</v>
          </cell>
        </row>
        <row r="22">
          <cell r="A22" t="str">
            <v>40148-NAVSTAR GPS</v>
          </cell>
          <cell r="B22">
            <v>40148</v>
          </cell>
          <cell r="C22" t="str">
            <v>NAVSTAR GPS - USER EQUIPMENT</v>
          </cell>
          <cell r="D22" t="str">
            <v>NAVSTAR GPS SPLIT</v>
          </cell>
          <cell r="E22">
            <v>2000</v>
          </cell>
          <cell r="F22" t="str">
            <v>PdE</v>
          </cell>
          <cell r="G22">
            <v>797.8</v>
          </cell>
          <cell r="H22">
            <v>874.4</v>
          </cell>
          <cell r="I22">
            <v>0</v>
          </cell>
          <cell r="J22">
            <v>974.9</v>
          </cell>
          <cell r="K22">
            <v>1174.7</v>
          </cell>
          <cell r="L22">
            <v>0</v>
          </cell>
          <cell r="M22">
            <v>1772.7</v>
          </cell>
          <cell r="N22">
            <v>2049.1</v>
          </cell>
          <cell r="O22">
            <v>0</v>
          </cell>
          <cell r="P22">
            <v>1.222</v>
          </cell>
          <cell r="Q22">
            <v>1.3430000000000002</v>
          </cell>
          <cell r="R22">
            <v>974.91159999999991</v>
          </cell>
          <cell r="S22">
            <v>1174.3192000000001</v>
          </cell>
          <cell r="T22" t="e">
            <v>#NAME?</v>
          </cell>
          <cell r="U22" t="e">
            <v>#NAME?</v>
          </cell>
          <cell r="V22" t="e">
            <v>#NAME?</v>
          </cell>
          <cell r="W22" t="e">
            <v>#NAME?</v>
          </cell>
          <cell r="X22" t="e">
            <v>#NAME?</v>
          </cell>
          <cell r="Y22" t="e">
            <v>#NAME?</v>
          </cell>
          <cell r="Z22" t="e">
            <v>#NAME?</v>
          </cell>
          <cell r="AA22" t="e">
            <v>#NAME?</v>
          </cell>
          <cell r="AB22" t="e">
            <v>#NAME?</v>
          </cell>
          <cell r="AC22" t="e">
            <v>#NAME?</v>
          </cell>
          <cell r="AD22" t="e">
            <v>#NAME?</v>
          </cell>
        </row>
        <row r="23">
          <cell r="A23" t="str">
            <v>40148-PATRIOT/MEADS CAP</v>
          </cell>
          <cell r="B23">
            <v>40148</v>
          </cell>
          <cell r="C23" t="str">
            <v>PATRIOT MEADS CAP: FIRE UNIT</v>
          </cell>
          <cell r="D23" t="str">
            <v>PATRIOT/MEADS CAP SPLIT</v>
          </cell>
          <cell r="E23">
            <v>2004</v>
          </cell>
          <cell r="F23" t="str">
            <v>DE</v>
          </cell>
          <cell r="G23">
            <v>16530.5</v>
          </cell>
          <cell r="H23">
            <v>21839.4</v>
          </cell>
          <cell r="I23">
            <v>48</v>
          </cell>
          <cell r="J23">
            <v>-488.7</v>
          </cell>
          <cell r="K23">
            <v>125.9</v>
          </cell>
          <cell r="L23">
            <v>0</v>
          </cell>
          <cell r="M23">
            <v>16041.8</v>
          </cell>
          <cell r="N23">
            <v>21965.3</v>
          </cell>
          <cell r="O23">
            <v>48</v>
          </cell>
          <cell r="P23">
            <v>-0.03</v>
          </cell>
          <cell r="Q23">
            <v>6.0000000000000001E-3</v>
          </cell>
          <cell r="R23">
            <v>-495.91499999999996</v>
          </cell>
          <cell r="S23">
            <v>131.03640000000001</v>
          </cell>
          <cell r="T23" t="e">
            <v>#NAME?</v>
          </cell>
          <cell r="U23" t="e">
            <v>#NAME?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</row>
        <row r="24">
          <cell r="A24" t="str">
            <v>40148-PATRIOT/MEADS CAP</v>
          </cell>
          <cell r="B24">
            <v>40148</v>
          </cell>
          <cell r="C24" t="str">
            <v>PATRIOT MEADS CAP: MISSILE</v>
          </cell>
          <cell r="D24" t="str">
            <v>PATRIOT/MEADS CAP SPLIT</v>
          </cell>
          <cell r="E24">
            <v>2004</v>
          </cell>
          <cell r="F24" t="str">
            <v>DE</v>
          </cell>
          <cell r="G24">
            <v>6220.9</v>
          </cell>
          <cell r="H24">
            <v>8056</v>
          </cell>
          <cell r="I24">
            <v>1528</v>
          </cell>
          <cell r="J24">
            <v>430.9</v>
          </cell>
          <cell r="K24">
            <v>806</v>
          </cell>
          <cell r="L24">
            <v>0</v>
          </cell>
          <cell r="M24">
            <v>6651.8</v>
          </cell>
          <cell r="N24">
            <v>8862</v>
          </cell>
          <cell r="O24">
            <v>1528</v>
          </cell>
          <cell r="P24">
            <v>6.9000000000000006E-2</v>
          </cell>
          <cell r="Q24">
            <v>0.1</v>
          </cell>
          <cell r="R24">
            <v>429.24209999999999</v>
          </cell>
          <cell r="S24">
            <v>805.6</v>
          </cell>
          <cell r="T24" t="e">
            <v>#NAME?</v>
          </cell>
          <cell r="U24" t="e">
            <v>#NAME?</v>
          </cell>
          <cell r="V24" t="e">
            <v>#NAME?</v>
          </cell>
          <cell r="W24" t="e">
            <v>#NAME?</v>
          </cell>
          <cell r="X24" t="e">
            <v>#NAME?</v>
          </cell>
          <cell r="Y24" t="e">
            <v>#NAME?</v>
          </cell>
          <cell r="Z24" t="e">
            <v>#NAME?</v>
          </cell>
          <cell r="AA24" t="e">
            <v>#NAME?</v>
          </cell>
          <cell r="AB24" t="e">
            <v>#NAME?</v>
          </cell>
          <cell r="AC24" t="e">
            <v>#NAME?</v>
          </cell>
          <cell r="AD24" t="e">
            <v>#NAME?</v>
          </cell>
        </row>
        <row r="25">
          <cell r="A25" t="str">
            <v>40513-AB3A REMANUF</v>
          </cell>
          <cell r="B25">
            <v>40513</v>
          </cell>
          <cell r="C25" t="str">
            <v>AB3A REMANUFACTURE</v>
          </cell>
          <cell r="D25" t="str">
            <v>AB3A REMANUFACTURE</v>
          </cell>
          <cell r="E25">
            <v>2010</v>
          </cell>
          <cell r="F25" t="str">
            <v>DE/PdE</v>
          </cell>
          <cell r="G25">
            <v>7064.4</v>
          </cell>
          <cell r="H25">
            <v>8093.9</v>
          </cell>
          <cell r="I25">
            <v>602</v>
          </cell>
          <cell r="J25">
            <v>3388.1</v>
          </cell>
          <cell r="K25">
            <v>3799.2</v>
          </cell>
          <cell r="L25">
            <v>37</v>
          </cell>
          <cell r="M25">
            <v>10452.5</v>
          </cell>
          <cell r="N25">
            <v>11893.1</v>
          </cell>
          <cell r="O25">
            <v>639</v>
          </cell>
          <cell r="P25">
            <v>0.439</v>
          </cell>
          <cell r="Q25">
            <v>0.40100000000000002</v>
          </cell>
          <cell r="R25">
            <v>3101.2716</v>
          </cell>
          <cell r="S25">
            <v>3245.6539000000002</v>
          </cell>
          <cell r="T25" t="e">
            <v>#NAME?</v>
          </cell>
          <cell r="U25" t="e">
            <v>#NAME?</v>
          </cell>
          <cell r="V25" t="e">
            <v>#NAME?</v>
          </cell>
          <cell r="W25" t="e">
            <v>#NAME?</v>
          </cell>
          <cell r="X25" t="e">
            <v>#NAME?</v>
          </cell>
          <cell r="Y25" t="e">
            <v>#NAME?</v>
          </cell>
          <cell r="Z25" t="e">
            <v>#NAME?</v>
          </cell>
          <cell r="AA25" t="e">
            <v>#NAME?</v>
          </cell>
          <cell r="AB25" t="e">
            <v>#NAME?</v>
          </cell>
          <cell r="AC25" t="e">
            <v>#NAME?</v>
          </cell>
          <cell r="AD25" t="e">
            <v>#NAME?</v>
          </cell>
        </row>
        <row r="26">
          <cell r="A26" t="str">
            <v>40513-AB3B NEW</v>
          </cell>
          <cell r="B26">
            <v>40513</v>
          </cell>
          <cell r="C26" t="str">
            <v>AB3B NEW BUILD</v>
          </cell>
          <cell r="D26" t="str">
            <v>AB3B NEW BUILD</v>
          </cell>
          <cell r="E26">
            <v>2010</v>
          </cell>
          <cell r="F26" t="str">
            <v>PdE</v>
          </cell>
          <cell r="G26">
            <v>2307</v>
          </cell>
          <cell r="H26">
            <v>2510.4</v>
          </cell>
          <cell r="I26">
            <v>56</v>
          </cell>
          <cell r="J26">
            <v>-150.4</v>
          </cell>
          <cell r="K26">
            <v>-157.69999999999999</v>
          </cell>
          <cell r="L26">
            <v>1</v>
          </cell>
          <cell r="M26">
            <v>2156.6</v>
          </cell>
          <cell r="N26">
            <v>2352.6999999999998</v>
          </cell>
          <cell r="O26">
            <v>57</v>
          </cell>
          <cell r="P26">
            <v>-8.3000000000000004E-2</v>
          </cell>
          <cell r="Q26">
            <v>-8.1000000000000003E-2</v>
          </cell>
          <cell r="R26">
            <v>-191.48100000000002</v>
          </cell>
          <cell r="S26">
            <v>-203.34240000000003</v>
          </cell>
          <cell r="T26" t="e">
            <v>#NAME?</v>
          </cell>
          <cell r="U26" t="e">
            <v>#NAME?</v>
          </cell>
          <cell r="V26" t="e">
            <v>#NAME?</v>
          </cell>
          <cell r="W26" t="e">
            <v>#NAME?</v>
          </cell>
          <cell r="X26" t="e">
            <v>#NAME?</v>
          </cell>
          <cell r="Y26" t="e">
            <v>#NAME?</v>
          </cell>
          <cell r="Z26" t="e">
            <v>#NAME?</v>
          </cell>
          <cell r="AA26" t="e">
            <v>#NAME?</v>
          </cell>
          <cell r="AB26" t="e">
            <v>#NAME?</v>
          </cell>
          <cell r="AC26" t="e">
            <v>#NAME?</v>
          </cell>
          <cell r="AD26" t="e">
            <v>#NAME?</v>
          </cell>
        </row>
        <row r="27">
          <cell r="A27" t="str">
            <v>40513-ATIRCM/CMWS</v>
          </cell>
          <cell r="B27">
            <v>40513</v>
          </cell>
          <cell r="C27" t="str">
            <v>ATIRCM/CMWS - ATIRCM QRC</v>
          </cell>
          <cell r="D27" t="str">
            <v>ATIRCM/CMWS SPLIT</v>
          </cell>
          <cell r="E27">
            <v>2003</v>
          </cell>
          <cell r="F27" t="str">
            <v>PdE/DE</v>
          </cell>
          <cell r="G27">
            <v>894.8</v>
          </cell>
          <cell r="H27">
            <v>1054.4000000000001</v>
          </cell>
          <cell r="I27">
            <v>0</v>
          </cell>
          <cell r="J27">
            <v>6</v>
          </cell>
          <cell r="K27">
            <v>-47.8</v>
          </cell>
          <cell r="L27">
            <v>83</v>
          </cell>
          <cell r="M27">
            <v>900.8</v>
          </cell>
          <cell r="N27">
            <v>1006.6</v>
          </cell>
          <cell r="O27">
            <v>83</v>
          </cell>
          <cell r="P27">
            <v>-0.16300000000000001</v>
          </cell>
          <cell r="Q27">
            <v>-0.25900000000000001</v>
          </cell>
          <cell r="R27">
            <v>-145.85239999999999</v>
          </cell>
          <cell r="S27">
            <v>-273.08960000000002</v>
          </cell>
          <cell r="T27" t="e">
            <v>#NAME?</v>
          </cell>
          <cell r="U27" t="e">
            <v>#NAME?</v>
          </cell>
          <cell r="V27" t="e">
            <v>#NAME?</v>
          </cell>
          <cell r="W27" t="e">
            <v>#NAME?</v>
          </cell>
          <cell r="X27" t="e">
            <v>#NAME?</v>
          </cell>
          <cell r="Y27" t="e">
            <v>#NAME?</v>
          </cell>
          <cell r="Z27" t="e">
            <v>#NAME?</v>
          </cell>
          <cell r="AA27" t="e">
            <v>#NAME?</v>
          </cell>
          <cell r="AB27" t="e">
            <v>#NAME?</v>
          </cell>
          <cell r="AC27" t="e">
            <v>#NAME?</v>
          </cell>
          <cell r="AD27" t="e">
            <v>#NAME?</v>
          </cell>
        </row>
        <row r="28">
          <cell r="A28" t="str">
            <v>40513-ATIRCM/CMWS</v>
          </cell>
          <cell r="B28">
            <v>40513</v>
          </cell>
          <cell r="C28" t="str">
            <v>ATIRCM/CMWS - CMWS</v>
          </cell>
          <cell r="D28" t="str">
            <v>ATIRCM/CMWS SPLIT</v>
          </cell>
          <cell r="E28">
            <v>2003</v>
          </cell>
          <cell r="F28" t="str">
            <v>PdE</v>
          </cell>
          <cell r="G28">
            <v>1900.9</v>
          </cell>
          <cell r="H28">
            <v>2186.1999999999998</v>
          </cell>
          <cell r="I28">
            <v>2668</v>
          </cell>
          <cell r="J28">
            <v>1260.5</v>
          </cell>
          <cell r="K28">
            <v>1421.6</v>
          </cell>
          <cell r="L28">
            <v>-648</v>
          </cell>
          <cell r="M28">
            <v>3161.4</v>
          </cell>
          <cell r="N28">
            <v>3607.8</v>
          </cell>
          <cell r="O28">
            <v>2020</v>
          </cell>
          <cell r="P28">
            <v>0.38800000000000001</v>
          </cell>
          <cell r="Q28">
            <v>0.30099999999999999</v>
          </cell>
          <cell r="R28">
            <v>737.54920000000004</v>
          </cell>
          <cell r="S28">
            <v>658.04619999999989</v>
          </cell>
          <cell r="T28" t="e">
            <v>#NAME?</v>
          </cell>
          <cell r="U28" t="e">
            <v>#NAME?</v>
          </cell>
          <cell r="V28" t="e">
            <v>#NAME?</v>
          </cell>
          <cell r="W28" t="e">
            <v>#NAME?</v>
          </cell>
          <cell r="X28" t="e">
            <v>#NAME?</v>
          </cell>
          <cell r="Y28" t="e">
            <v>#NAME?</v>
          </cell>
          <cell r="Z28" t="e">
            <v>#NAME?</v>
          </cell>
          <cell r="AA28" t="e">
            <v>#NAME?</v>
          </cell>
          <cell r="AB28" t="e">
            <v>#NAME?</v>
          </cell>
          <cell r="AC28" t="e">
            <v>#NAME?</v>
          </cell>
          <cell r="AD28" t="e">
            <v>#NAME?</v>
          </cell>
        </row>
        <row r="29">
          <cell r="A29" t="str">
            <v>40513-IDECM</v>
          </cell>
          <cell r="B29">
            <v>40513</v>
          </cell>
          <cell r="C29" t="str">
            <v>IDECM - IDECM Block 4</v>
          </cell>
          <cell r="D29" t="str">
            <v>IDECM Split</v>
          </cell>
          <cell r="E29">
            <v>2008</v>
          </cell>
          <cell r="F29" t="str">
            <v>DE</v>
          </cell>
          <cell r="G29">
            <v>660.7</v>
          </cell>
          <cell r="H29">
            <v>746.1</v>
          </cell>
          <cell r="I29">
            <v>160</v>
          </cell>
          <cell r="J29">
            <v>121</v>
          </cell>
          <cell r="K29">
            <v>117.1</v>
          </cell>
          <cell r="L29">
            <v>30</v>
          </cell>
          <cell r="M29">
            <v>781.7</v>
          </cell>
          <cell r="N29">
            <v>863.2</v>
          </cell>
          <cell r="O29">
            <v>190</v>
          </cell>
          <cell r="P29">
            <v>8.5000000000000006E-2</v>
          </cell>
          <cell r="Q29">
            <v>5.8000000000000003E-2</v>
          </cell>
          <cell r="R29">
            <v>56.159500000000008</v>
          </cell>
          <cell r="S29">
            <v>43.273800000000001</v>
          </cell>
          <cell r="T29" t="e">
            <v>#NAME?</v>
          </cell>
          <cell r="U29" t="e">
            <v>#NAME?</v>
          </cell>
          <cell r="V29" t="e">
            <v>#NAME?</v>
          </cell>
          <cell r="W29" t="e">
            <v>#NAME?</v>
          </cell>
          <cell r="X29" t="e">
            <v>#NAME?</v>
          </cell>
          <cell r="Y29" t="e">
            <v>#NAME?</v>
          </cell>
          <cell r="Z29" t="e">
            <v>#NAME?</v>
          </cell>
          <cell r="AA29" t="e">
            <v>#NAME?</v>
          </cell>
          <cell r="AB29" t="e">
            <v>#NAME?</v>
          </cell>
          <cell r="AC29" t="e">
            <v>#NAME?</v>
          </cell>
          <cell r="AD29" t="e">
            <v>#NAME?</v>
          </cell>
        </row>
        <row r="30">
          <cell r="A30" t="str">
            <v>40513-IDECM</v>
          </cell>
          <cell r="B30">
            <v>40513</v>
          </cell>
          <cell r="C30" t="str">
            <v>IDECM - IDECM Blocks 2/3</v>
          </cell>
          <cell r="D30" t="str">
            <v>IDECM Split</v>
          </cell>
          <cell r="E30">
            <v>2008</v>
          </cell>
          <cell r="F30" t="str">
            <v>PdE</v>
          </cell>
          <cell r="G30">
            <v>1410.9</v>
          </cell>
          <cell r="H30">
            <v>1535.2</v>
          </cell>
          <cell r="I30">
            <v>12809</v>
          </cell>
          <cell r="J30">
            <v>71.099999999999994</v>
          </cell>
          <cell r="K30">
            <v>112.1</v>
          </cell>
          <cell r="L30">
            <v>-4</v>
          </cell>
          <cell r="M30">
            <v>1482</v>
          </cell>
          <cell r="N30">
            <v>1647.3</v>
          </cell>
          <cell r="O30">
            <v>12805</v>
          </cell>
          <cell r="P30">
            <v>4.2999999999999997E-2</v>
          </cell>
          <cell r="Q30">
            <v>8.1000000000000003E-2</v>
          </cell>
          <cell r="R30">
            <v>60.668700000000001</v>
          </cell>
          <cell r="S30">
            <v>124.35120000000001</v>
          </cell>
          <cell r="T30" t="e">
            <v>#NAME?</v>
          </cell>
          <cell r="U30" t="e">
            <v>#NAME?</v>
          </cell>
          <cell r="V30" t="e">
            <v>#NAME?</v>
          </cell>
          <cell r="W30" t="e">
            <v>#NAME?</v>
          </cell>
          <cell r="X30" t="e">
            <v>#NAME?</v>
          </cell>
          <cell r="Y30" t="e">
            <v>#NAME?</v>
          </cell>
          <cell r="Z30" t="e">
            <v>#NAME?</v>
          </cell>
          <cell r="AA30" t="e">
            <v>#NAME?</v>
          </cell>
          <cell r="AB30" t="e">
            <v>#NAME?</v>
          </cell>
          <cell r="AC30" t="e">
            <v>#NAME?</v>
          </cell>
          <cell r="AD30" t="e">
            <v>#NAME?</v>
          </cell>
        </row>
        <row r="31">
          <cell r="A31" t="str">
            <v>40513-JASSM</v>
          </cell>
          <cell r="B31">
            <v>40513</v>
          </cell>
          <cell r="C31" t="str">
            <v>JASSM Baseline</v>
          </cell>
          <cell r="D31" t="str">
            <v>JASSM Split</v>
          </cell>
          <cell r="E31">
            <v>2010</v>
          </cell>
          <cell r="F31" t="str">
            <v>PdE</v>
          </cell>
          <cell r="G31">
            <v>2890.5</v>
          </cell>
          <cell r="H31">
            <v>2679.7</v>
          </cell>
          <cell r="I31">
            <v>2947</v>
          </cell>
          <cell r="J31">
            <v>788.7</v>
          </cell>
          <cell r="K31">
            <v>970.3</v>
          </cell>
          <cell r="L31">
            <v>-460</v>
          </cell>
          <cell r="M31">
            <v>3679.2</v>
          </cell>
          <cell r="N31">
            <v>3650</v>
          </cell>
          <cell r="O31">
            <v>2487</v>
          </cell>
          <cell r="P31">
            <v>0.39300000000000002</v>
          </cell>
          <cell r="Q31">
            <v>0.56399999999999995</v>
          </cell>
          <cell r="R31">
            <v>1135.9665</v>
          </cell>
          <cell r="S31">
            <v>1511.3507999999997</v>
          </cell>
          <cell r="T31" t="e">
            <v>#NAME?</v>
          </cell>
          <cell r="U31" t="e">
            <v>#NAME?</v>
          </cell>
          <cell r="V31" t="e">
            <v>#NAME?</v>
          </cell>
          <cell r="W31" t="e">
            <v>#NAME?</v>
          </cell>
          <cell r="X31" t="e">
            <v>#NAME?</v>
          </cell>
          <cell r="Y31" t="e">
            <v>#NAME?</v>
          </cell>
          <cell r="Z31" t="e">
            <v>#NAME?</v>
          </cell>
          <cell r="AA31" t="e">
            <v>#NAME?</v>
          </cell>
          <cell r="AB31" t="e">
            <v>#NAME?</v>
          </cell>
          <cell r="AC31" t="e">
            <v>#NAME?</v>
          </cell>
          <cell r="AD31" t="e">
            <v>#NAME?</v>
          </cell>
        </row>
        <row r="32">
          <cell r="A32" t="str">
            <v>40513-JASSM</v>
          </cell>
          <cell r="B32">
            <v>40513</v>
          </cell>
          <cell r="C32" t="str">
            <v>JASSM -ER</v>
          </cell>
          <cell r="D32" t="str">
            <v>JASSM Split</v>
          </cell>
          <cell r="E32">
            <v>2010</v>
          </cell>
          <cell r="F32" t="str">
            <v>PdE</v>
          </cell>
          <cell r="G32">
            <v>2195</v>
          </cell>
          <cell r="H32">
            <v>2301.4</v>
          </cell>
          <cell r="I32">
            <v>2500</v>
          </cell>
          <cell r="J32">
            <v>1436.2</v>
          </cell>
          <cell r="K32">
            <v>2086.1</v>
          </cell>
          <cell r="L32">
            <v>31</v>
          </cell>
          <cell r="M32">
            <v>3631.2</v>
          </cell>
          <cell r="N32">
            <v>4387.5</v>
          </cell>
          <cell r="O32">
            <v>2531</v>
          </cell>
          <cell r="P32">
            <v>0.61699999999999999</v>
          </cell>
          <cell r="Q32">
            <v>0.85399999999999998</v>
          </cell>
          <cell r="R32">
            <v>1354.3150000000001</v>
          </cell>
          <cell r="S32">
            <v>1965.3956000000001</v>
          </cell>
          <cell r="T32" t="e">
            <v>#NAME?</v>
          </cell>
          <cell r="U32" t="e">
            <v>#NAME?</v>
          </cell>
          <cell r="V32" t="e">
            <v>#NAME?</v>
          </cell>
          <cell r="W32" t="e">
            <v>#NAME?</v>
          </cell>
          <cell r="X32" t="e">
            <v>#NAME?</v>
          </cell>
          <cell r="Y32" t="e">
            <v>#NAME?</v>
          </cell>
          <cell r="Z32" t="e">
            <v>#NAME?</v>
          </cell>
          <cell r="AA32" t="e">
            <v>#NAME?</v>
          </cell>
          <cell r="AB32" t="e">
            <v>#NAME?</v>
          </cell>
          <cell r="AC32" t="e">
            <v>#NAME?</v>
          </cell>
          <cell r="AD32" t="e">
            <v>#NAME?</v>
          </cell>
        </row>
        <row r="33">
          <cell r="A33" t="str">
            <v>40513-JSOW</v>
          </cell>
          <cell r="B33">
            <v>40513</v>
          </cell>
          <cell r="C33" t="str">
            <v>JSOW (BASELINE/UNITARY) - BASELINE/BLU-108</v>
          </cell>
          <cell r="D33" t="str">
            <v>JSOW Split</v>
          </cell>
          <cell r="E33">
            <v>1990</v>
          </cell>
          <cell r="F33" t="str">
            <v>PdE</v>
          </cell>
          <cell r="G33">
            <v>3566.3</v>
          </cell>
          <cell r="H33">
            <v>4898.7</v>
          </cell>
          <cell r="I33">
            <v>16124</v>
          </cell>
          <cell r="J33">
            <v>-2068.5</v>
          </cell>
          <cell r="K33">
            <v>-2998.8</v>
          </cell>
          <cell r="L33">
            <v>-12790</v>
          </cell>
          <cell r="M33">
            <v>1497.8</v>
          </cell>
          <cell r="N33">
            <v>1899.9</v>
          </cell>
          <cell r="O33">
            <v>3334</v>
          </cell>
          <cell r="P33">
            <v>-6.0000000000000001E-3</v>
          </cell>
          <cell r="Q33">
            <v>0.121</v>
          </cell>
          <cell r="R33">
            <v>-21.3978</v>
          </cell>
          <cell r="S33">
            <v>592.74270000000001</v>
          </cell>
          <cell r="T33" t="e">
            <v>#NAME?</v>
          </cell>
          <cell r="U33" t="e">
            <v>#NAME?</v>
          </cell>
          <cell r="V33" t="e">
            <v>#NAME?</v>
          </cell>
          <cell r="W33" t="e">
            <v>#NAME?</v>
          </cell>
          <cell r="X33" t="e">
            <v>#NAME?</v>
          </cell>
          <cell r="Y33" t="e">
            <v>#NAME?</v>
          </cell>
          <cell r="Z33" t="e">
            <v>#NAME?</v>
          </cell>
          <cell r="AA33" t="e">
            <v>#NAME?</v>
          </cell>
          <cell r="AB33" t="e">
            <v>#NAME?</v>
          </cell>
          <cell r="AC33" t="e">
            <v>#NAME?</v>
          </cell>
          <cell r="AD33" t="e">
            <v>#NAME?</v>
          </cell>
        </row>
        <row r="34">
          <cell r="A34" t="str">
            <v>40513-JSOW</v>
          </cell>
          <cell r="B34">
            <v>40513</v>
          </cell>
          <cell r="C34" t="str">
            <v>JSOW (BASELINE/UNITARY) - UNITARY</v>
          </cell>
          <cell r="D34" t="str">
            <v>JSOW Split</v>
          </cell>
          <cell r="E34">
            <v>1990</v>
          </cell>
          <cell r="F34" t="str">
            <v>PdE</v>
          </cell>
          <cell r="G34">
            <v>1977.8</v>
          </cell>
          <cell r="H34">
            <v>2974.8</v>
          </cell>
          <cell r="I34">
            <v>7000</v>
          </cell>
          <cell r="J34">
            <v>214.4</v>
          </cell>
          <cell r="K34">
            <v>438.4</v>
          </cell>
          <cell r="L34">
            <v>0</v>
          </cell>
          <cell r="M34">
            <v>2192.1999999999998</v>
          </cell>
          <cell r="N34">
            <v>3413.2</v>
          </cell>
          <cell r="O34">
            <v>7000</v>
          </cell>
          <cell r="P34">
            <v>0.108</v>
          </cell>
          <cell r="Q34">
            <v>0.14699999999999999</v>
          </cell>
          <cell r="R34">
            <v>213.60239999999999</v>
          </cell>
          <cell r="S34">
            <v>437.29559999999998</v>
          </cell>
          <cell r="T34" t="e">
            <v>#NAME?</v>
          </cell>
          <cell r="U34" t="e">
            <v>#NAME?</v>
          </cell>
          <cell r="V34" t="e">
            <v>#NAME?</v>
          </cell>
          <cell r="W34" t="e">
            <v>#NAME?</v>
          </cell>
          <cell r="X34" t="e">
            <v>#NAME?</v>
          </cell>
          <cell r="Y34" t="e">
            <v>#NAME?</v>
          </cell>
          <cell r="Z34" t="e">
            <v>#NAME?</v>
          </cell>
          <cell r="AA34" t="e">
            <v>#NAME?</v>
          </cell>
          <cell r="AB34" t="e">
            <v>#NAME?</v>
          </cell>
          <cell r="AC34" t="e">
            <v>#NAME?</v>
          </cell>
          <cell r="AD34" t="e">
            <v>#NAME?</v>
          </cell>
        </row>
        <row r="35">
          <cell r="A35" t="str">
            <v>40513-NAVSTAR GPS</v>
          </cell>
          <cell r="B35">
            <v>40513</v>
          </cell>
          <cell r="C35" t="str">
            <v>NAVSTAR GPS - SPACE &amp; CONTROL</v>
          </cell>
          <cell r="D35" t="str">
            <v>NAVSTAR GPS SPLIT</v>
          </cell>
          <cell r="E35">
            <v>2000</v>
          </cell>
          <cell r="F35" t="str">
            <v>PdE</v>
          </cell>
          <cell r="G35">
            <v>5015.6000000000004</v>
          </cell>
          <cell r="H35">
            <v>5120.8999999999996</v>
          </cell>
          <cell r="I35">
            <v>33</v>
          </cell>
          <cell r="J35">
            <v>1117.9000000000001</v>
          </cell>
          <cell r="K35">
            <v>1362.1</v>
          </cell>
          <cell r="L35">
            <v>0</v>
          </cell>
          <cell r="M35">
            <v>6133.5</v>
          </cell>
          <cell r="N35">
            <v>6483</v>
          </cell>
          <cell r="O35">
            <v>33</v>
          </cell>
          <cell r="P35">
            <v>0.218</v>
          </cell>
          <cell r="Q35">
            <v>0.26700000000000002</v>
          </cell>
          <cell r="R35">
            <v>1093.4008000000001</v>
          </cell>
          <cell r="S35">
            <v>1367.2802999999999</v>
          </cell>
          <cell r="T35" t="e">
            <v>#NAME?</v>
          </cell>
          <cell r="U35" t="e">
            <v>#NAME?</v>
          </cell>
          <cell r="V35" t="e">
            <v>#NAME?</v>
          </cell>
          <cell r="W35" t="e">
            <v>#NAME?</v>
          </cell>
          <cell r="X35" t="e">
            <v>#NAME?</v>
          </cell>
          <cell r="Y35" t="e">
            <v>#NAME?</v>
          </cell>
          <cell r="Z35" t="e">
            <v>#NAME?</v>
          </cell>
          <cell r="AA35" t="e">
            <v>#NAME?</v>
          </cell>
          <cell r="AB35" t="e">
            <v>#NAME?</v>
          </cell>
          <cell r="AC35" t="e">
            <v>#NAME?</v>
          </cell>
          <cell r="AD35" t="e">
            <v>#NAME?</v>
          </cell>
        </row>
        <row r="36">
          <cell r="A36" t="str">
            <v>40513-NAVSTAR GPS</v>
          </cell>
          <cell r="B36">
            <v>40513</v>
          </cell>
          <cell r="C36" t="str">
            <v>NAVSTAR GPS - USER EQUIPMENT</v>
          </cell>
          <cell r="D36" t="str">
            <v>NAVSTAR GPS SPLIT</v>
          </cell>
          <cell r="E36">
            <v>2000</v>
          </cell>
          <cell r="F36" t="str">
            <v>PdE</v>
          </cell>
          <cell r="G36">
            <v>797.8</v>
          </cell>
          <cell r="H36">
            <v>874.4</v>
          </cell>
          <cell r="I36">
            <v>0</v>
          </cell>
          <cell r="J36">
            <v>418.8</v>
          </cell>
          <cell r="K36">
            <v>512.5</v>
          </cell>
          <cell r="L36">
            <v>0</v>
          </cell>
          <cell r="M36">
            <v>1216.5999999999999</v>
          </cell>
          <cell r="N36">
            <v>1386.9</v>
          </cell>
          <cell r="O36">
            <v>0</v>
          </cell>
          <cell r="P36">
            <v>0.52500000000000002</v>
          </cell>
          <cell r="Q36">
            <v>0.58599999999999997</v>
          </cell>
          <cell r="R36">
            <v>418.84499999999997</v>
          </cell>
          <cell r="S36">
            <v>512.39839999999992</v>
          </cell>
          <cell r="T36" t="e">
            <v>#NAME?</v>
          </cell>
          <cell r="U36" t="e">
            <v>#NAME?</v>
          </cell>
          <cell r="V36" t="e">
            <v>#NAME?</v>
          </cell>
          <cell r="W36" t="e">
            <v>#NAME?</v>
          </cell>
          <cell r="X36" t="e">
            <v>#NAME?</v>
          </cell>
          <cell r="Y36" t="e">
            <v>#NAME?</v>
          </cell>
          <cell r="Z36" t="e">
            <v>#NAME?</v>
          </cell>
          <cell r="AA36" t="e">
            <v>#NAME?</v>
          </cell>
          <cell r="AB36" t="e">
            <v>#NAME?</v>
          </cell>
          <cell r="AC36" t="e">
            <v>#NAME?</v>
          </cell>
          <cell r="AD36" t="e">
            <v>#NAME?</v>
          </cell>
        </row>
        <row r="37">
          <cell r="A37" t="str">
            <v>40513-PATRIOT/MEADS CAP</v>
          </cell>
          <cell r="B37">
            <v>40513</v>
          </cell>
          <cell r="C37" t="str">
            <v>PATRIOT/MEADS CAP - FIRE UNIT</v>
          </cell>
          <cell r="D37" t="str">
            <v>PATRIOT/MEADS CAP SPLIT</v>
          </cell>
          <cell r="E37">
            <v>2004</v>
          </cell>
          <cell r="F37" t="str">
            <v>DE</v>
          </cell>
          <cell r="G37">
            <v>16530.5</v>
          </cell>
          <cell r="H37">
            <v>21839.4</v>
          </cell>
          <cell r="I37">
            <v>48</v>
          </cell>
          <cell r="J37">
            <v>-13651</v>
          </cell>
          <cell r="K37">
            <v>-18535.900000000001</v>
          </cell>
          <cell r="L37">
            <v>-48</v>
          </cell>
          <cell r="M37">
            <v>2879.5</v>
          </cell>
          <cell r="N37">
            <v>3303.5</v>
          </cell>
          <cell r="O37">
            <v>0</v>
          </cell>
          <cell r="P37">
            <v>-0.624</v>
          </cell>
          <cell r="Q37">
            <v>-0.64400000000000002</v>
          </cell>
          <cell r="R37">
            <v>-10315.031999999999</v>
          </cell>
          <cell r="S37">
            <v>-14064.573600000002</v>
          </cell>
          <cell r="T37" t="e">
            <v>#NAME?</v>
          </cell>
          <cell r="U37" t="e">
            <v>#NAME?</v>
          </cell>
          <cell r="V37" t="e">
            <v>#NAME?</v>
          </cell>
          <cell r="W37" t="e">
            <v>#NAME?</v>
          </cell>
          <cell r="X37" t="e">
            <v>#NAME?</v>
          </cell>
          <cell r="Y37" t="e">
            <v>#NAME?</v>
          </cell>
          <cell r="Z37" t="e">
            <v>#NAME?</v>
          </cell>
          <cell r="AA37" t="e">
            <v>#NAME?</v>
          </cell>
          <cell r="AB37" t="e">
            <v>#NAME?</v>
          </cell>
          <cell r="AC37" t="e">
            <v>#NAME?</v>
          </cell>
          <cell r="AD37" t="e">
            <v>#NAME?</v>
          </cell>
        </row>
        <row r="38">
          <cell r="A38" t="str">
            <v>40513-PATRIOT/MEADS CAP</v>
          </cell>
          <cell r="B38">
            <v>40513</v>
          </cell>
          <cell r="C38" t="str">
            <v>PATRIOT/MEADS CAP - MISSILE</v>
          </cell>
          <cell r="D38" t="str">
            <v>PATRIOT/MEADS CAP SPLIT</v>
          </cell>
          <cell r="E38">
            <v>2004</v>
          </cell>
          <cell r="F38" t="str">
            <v>DE</v>
          </cell>
          <cell r="G38">
            <v>6220.9</v>
          </cell>
          <cell r="H38">
            <v>8056</v>
          </cell>
          <cell r="I38">
            <v>1528</v>
          </cell>
          <cell r="J38">
            <v>555.29999999999995</v>
          </cell>
          <cell r="K38">
            <v>1203.8</v>
          </cell>
          <cell r="L38">
            <v>0</v>
          </cell>
          <cell r="M38">
            <v>6776.2</v>
          </cell>
          <cell r="N38">
            <v>9259.7999999999993</v>
          </cell>
          <cell r="O38">
            <v>1528</v>
          </cell>
          <cell r="P38">
            <v>8.8999999999999996E-2</v>
          </cell>
          <cell r="Q38">
            <v>0.14899999999999999</v>
          </cell>
          <cell r="R38">
            <v>553.66009999999994</v>
          </cell>
          <cell r="S38">
            <v>1200.3440000000001</v>
          </cell>
          <cell r="T38" t="e">
            <v>#NAME?</v>
          </cell>
          <cell r="U38" t="e">
            <v>#NAME?</v>
          </cell>
          <cell r="V38" t="e">
            <v>#NAME?</v>
          </cell>
          <cell r="W38" t="e">
            <v>#NAME?</v>
          </cell>
          <cell r="X38" t="e">
            <v>#NAME?</v>
          </cell>
          <cell r="Y38" t="e">
            <v>#NAME?</v>
          </cell>
          <cell r="Z38" t="e">
            <v>#NAME?</v>
          </cell>
          <cell r="AA38" t="e">
            <v>#NAME?</v>
          </cell>
          <cell r="AB38" t="e">
            <v>#NAME?</v>
          </cell>
          <cell r="AC38" t="e">
            <v>#NAME?</v>
          </cell>
          <cell r="AD38" t="e">
            <v>#NAME?</v>
          </cell>
        </row>
        <row r="39">
          <cell r="A39" t="str">
            <v>40878-AB3A REMANUF</v>
          </cell>
          <cell r="B39">
            <v>40878</v>
          </cell>
          <cell r="C39" t="str">
            <v>AB3A REMANUFACTURE</v>
          </cell>
          <cell r="D39" t="str">
            <v>AB3A REMANUFACTURE</v>
          </cell>
          <cell r="E39">
            <v>2010</v>
          </cell>
          <cell r="F39" t="str">
            <v>PdE</v>
          </cell>
          <cell r="G39">
            <v>10468.700000000001</v>
          </cell>
          <cell r="H39">
            <v>11896.6</v>
          </cell>
          <cell r="I39">
            <v>639</v>
          </cell>
          <cell r="J39">
            <v>-219.3</v>
          </cell>
          <cell r="K39">
            <v>71.7</v>
          </cell>
          <cell r="L39" t="str">
            <v>-</v>
          </cell>
          <cell r="M39">
            <v>10249.4</v>
          </cell>
          <cell r="N39">
            <v>11968.3</v>
          </cell>
          <cell r="O39">
            <v>639</v>
          </cell>
          <cell r="P39">
            <v>-2.1000000000000001E-2</v>
          </cell>
          <cell r="Q39">
            <v>6.0000000000000001E-3</v>
          </cell>
          <cell r="R39">
            <v>-219.84270000000004</v>
          </cell>
          <cell r="S39">
            <v>71.379600000000011</v>
          </cell>
          <cell r="T39" t="e">
            <v>#NAME?</v>
          </cell>
          <cell r="U39" t="e">
            <v>#NAME?</v>
          </cell>
          <cell r="V39" t="e">
            <v>#NAME?</v>
          </cell>
          <cell r="W39" t="e">
            <v>#NAME?</v>
          </cell>
          <cell r="X39" t="e">
            <v>#NAME?</v>
          </cell>
          <cell r="Y39" t="e">
            <v>#NAME?</v>
          </cell>
          <cell r="Z39" t="e">
            <v>#NAME?</v>
          </cell>
          <cell r="AA39" t="e">
            <v>#NAME?</v>
          </cell>
          <cell r="AB39" t="e">
            <v>#NAME?</v>
          </cell>
          <cell r="AC39" t="e">
            <v>#NAME?</v>
          </cell>
          <cell r="AD39" t="e">
            <v>#NAME?</v>
          </cell>
        </row>
        <row r="40">
          <cell r="A40" t="str">
            <v>40878-AB3B NEW</v>
          </cell>
          <cell r="B40">
            <v>40878</v>
          </cell>
          <cell r="C40" t="str">
            <v>AB3B NEW BUILD</v>
          </cell>
          <cell r="D40" t="str">
            <v>AB3B NEW BUILD</v>
          </cell>
          <cell r="E40">
            <v>2010</v>
          </cell>
          <cell r="F40" t="str">
            <v>PdE</v>
          </cell>
          <cell r="G40">
            <v>2307</v>
          </cell>
          <cell r="H40">
            <v>2510.4</v>
          </cell>
          <cell r="I40">
            <v>56</v>
          </cell>
          <cell r="J40">
            <v>-400.9</v>
          </cell>
          <cell r="K40">
            <v>-354.6</v>
          </cell>
          <cell r="L40">
            <v>2</v>
          </cell>
          <cell r="M40">
            <v>1906.1</v>
          </cell>
          <cell r="N40">
            <v>2155.8000000000002</v>
          </cell>
          <cell r="O40">
            <v>58</v>
          </cell>
          <cell r="P40">
            <v>-0.20399999999999999</v>
          </cell>
          <cell r="Q40">
            <v>-0.17499999999999999</v>
          </cell>
          <cell r="R40">
            <v>-470.62799999999999</v>
          </cell>
          <cell r="S40">
            <v>-439.32</v>
          </cell>
          <cell r="T40" t="e">
            <v>#NAME?</v>
          </cell>
          <cell r="U40" t="e">
            <v>#NAME?</v>
          </cell>
          <cell r="V40" t="e">
            <v>#NAME?</v>
          </cell>
          <cell r="W40" t="e">
            <v>#NAME?</v>
          </cell>
          <cell r="X40" t="e">
            <v>#NAME?</v>
          </cell>
          <cell r="Y40" t="e">
            <v>#NAME?</v>
          </cell>
          <cell r="Z40" t="e">
            <v>#NAME?</v>
          </cell>
          <cell r="AA40" t="e">
            <v>#NAME?</v>
          </cell>
          <cell r="AB40" t="e">
            <v>#NAME?</v>
          </cell>
          <cell r="AC40" t="e">
            <v>#NAME?</v>
          </cell>
          <cell r="AD40" t="e">
            <v>#NAME?</v>
          </cell>
        </row>
        <row r="41">
          <cell r="A41" t="str">
            <v>40878-IDECM</v>
          </cell>
          <cell r="B41">
            <v>40878</v>
          </cell>
          <cell r="C41" t="str">
            <v>IDECM - IDECM Block 4</v>
          </cell>
          <cell r="D41" t="str">
            <v>IDECM Split</v>
          </cell>
          <cell r="E41">
            <v>2008</v>
          </cell>
          <cell r="F41" t="str">
            <v>DE</v>
          </cell>
          <cell r="G41">
            <v>660.7</v>
          </cell>
          <cell r="H41">
            <v>746.1</v>
          </cell>
          <cell r="I41">
            <v>160</v>
          </cell>
          <cell r="J41">
            <v>135.6</v>
          </cell>
          <cell r="K41">
            <v>160</v>
          </cell>
          <cell r="L41">
            <v>30</v>
          </cell>
          <cell r="M41">
            <v>796.3</v>
          </cell>
          <cell r="N41">
            <v>906.1</v>
          </cell>
          <cell r="O41">
            <v>190</v>
          </cell>
          <cell r="P41">
            <v>0.106</v>
          </cell>
          <cell r="Q41">
            <v>0.111</v>
          </cell>
          <cell r="R41">
            <v>70.034199999999998</v>
          </cell>
          <cell r="S41">
            <v>82.817100000000011</v>
          </cell>
          <cell r="T41" t="e">
            <v>#NAME?</v>
          </cell>
          <cell r="U41" t="e">
            <v>#NAME?</v>
          </cell>
          <cell r="V41" t="e">
            <v>#NAME?</v>
          </cell>
          <cell r="W41" t="e">
            <v>#NAME?</v>
          </cell>
          <cell r="X41" t="e">
            <v>#NAME?</v>
          </cell>
          <cell r="Y41" t="e">
            <v>#NAME?</v>
          </cell>
          <cell r="Z41" t="e">
            <v>#NAME?</v>
          </cell>
          <cell r="AA41" t="e">
            <v>#NAME?</v>
          </cell>
          <cell r="AB41" t="e">
            <v>#NAME?</v>
          </cell>
          <cell r="AC41" t="e">
            <v>#NAME?</v>
          </cell>
          <cell r="AD41" t="e">
            <v>#NAME?</v>
          </cell>
        </row>
        <row r="42">
          <cell r="A42" t="str">
            <v>40878-IDECM</v>
          </cell>
          <cell r="B42">
            <v>40878</v>
          </cell>
          <cell r="C42" t="str">
            <v>IDECM - IDECM Blocks 2/3</v>
          </cell>
          <cell r="D42" t="str">
            <v>IDECM Split</v>
          </cell>
          <cell r="E42">
            <v>2008</v>
          </cell>
          <cell r="F42" t="str">
            <v>PdE</v>
          </cell>
          <cell r="G42">
            <v>1410.9</v>
          </cell>
          <cell r="H42">
            <v>1535.2</v>
          </cell>
          <cell r="I42">
            <v>12809</v>
          </cell>
          <cell r="J42">
            <v>64.2</v>
          </cell>
          <cell r="K42">
            <v>128</v>
          </cell>
          <cell r="L42">
            <v>-4</v>
          </cell>
          <cell r="M42">
            <v>1475.1</v>
          </cell>
          <cell r="N42">
            <v>1663.2</v>
          </cell>
          <cell r="O42">
            <v>12805</v>
          </cell>
          <cell r="P42">
            <v>5.2999999999999999E-2</v>
          </cell>
          <cell r="Q42">
            <v>9.0999999999999998E-2</v>
          </cell>
          <cell r="R42">
            <v>74.777699999999996</v>
          </cell>
          <cell r="S42">
            <v>139.70320000000001</v>
          </cell>
          <cell r="T42" t="e">
            <v>#NAME?</v>
          </cell>
          <cell r="U42" t="e">
            <v>#NAME?</v>
          </cell>
          <cell r="V42" t="e">
            <v>#NAME?</v>
          </cell>
          <cell r="W42" t="e">
            <v>#NAME?</v>
          </cell>
          <cell r="X42" t="e">
            <v>#NAME?</v>
          </cell>
          <cell r="Y42" t="e">
            <v>#NAME?</v>
          </cell>
          <cell r="Z42" t="e">
            <v>#NAME?</v>
          </cell>
          <cell r="AA42" t="e">
            <v>#NAME?</v>
          </cell>
          <cell r="AB42" t="e">
            <v>#NAME?</v>
          </cell>
          <cell r="AC42" t="e">
            <v>#NAME?</v>
          </cell>
          <cell r="AD42" t="e">
            <v>#NAME?</v>
          </cell>
        </row>
        <row r="43">
          <cell r="A43" t="str">
            <v>40878-JASSM</v>
          </cell>
          <cell r="B43">
            <v>40878</v>
          </cell>
          <cell r="C43" t="str">
            <v>JASSM - JASSM Baseline</v>
          </cell>
          <cell r="D43" t="str">
            <v>JASSM Split</v>
          </cell>
          <cell r="E43">
            <v>2010</v>
          </cell>
          <cell r="F43" t="str">
            <v>PdE</v>
          </cell>
          <cell r="G43">
            <v>2890.5</v>
          </cell>
          <cell r="H43">
            <v>2679.7</v>
          </cell>
          <cell r="I43">
            <v>2940</v>
          </cell>
          <cell r="J43">
            <v>698.9</v>
          </cell>
          <cell r="K43">
            <v>875.9</v>
          </cell>
          <cell r="L43">
            <v>-453</v>
          </cell>
          <cell r="M43">
            <v>3589.4</v>
          </cell>
          <cell r="N43">
            <v>3555.6</v>
          </cell>
          <cell r="O43">
            <v>2487</v>
          </cell>
          <cell r="P43">
            <v>0.35899999999999999</v>
          </cell>
          <cell r="Q43">
            <v>0.52300000000000002</v>
          </cell>
          <cell r="R43">
            <v>1037.6895</v>
          </cell>
          <cell r="S43">
            <v>1401.4830999999999</v>
          </cell>
          <cell r="T43" t="e">
            <v>#NAME?</v>
          </cell>
          <cell r="U43" t="e">
            <v>#NAME?</v>
          </cell>
          <cell r="V43" t="e">
            <v>#NAME?</v>
          </cell>
          <cell r="W43" t="e">
            <v>#NAME?</v>
          </cell>
          <cell r="X43" t="e">
            <v>#NAME?</v>
          </cell>
          <cell r="Y43" t="e">
            <v>#NAME?</v>
          </cell>
          <cell r="Z43" t="e">
            <v>#NAME?</v>
          </cell>
          <cell r="AA43" t="e">
            <v>#NAME?</v>
          </cell>
          <cell r="AB43" t="e">
            <v>#NAME?</v>
          </cell>
          <cell r="AC43" t="e">
            <v>#NAME?</v>
          </cell>
          <cell r="AD43" t="e">
            <v>#NAME?</v>
          </cell>
        </row>
        <row r="44">
          <cell r="A44" t="str">
            <v>40878-JASSM</v>
          </cell>
          <cell r="B44">
            <v>40878</v>
          </cell>
          <cell r="C44" t="str">
            <v>JASSM - JASSM-ER</v>
          </cell>
          <cell r="D44" t="str">
            <v>JASSM Split</v>
          </cell>
          <cell r="E44">
            <v>2010</v>
          </cell>
          <cell r="F44" t="str">
            <v>PdE</v>
          </cell>
          <cell r="G44">
            <v>2195</v>
          </cell>
          <cell r="H44">
            <v>2301.4</v>
          </cell>
          <cell r="I44">
            <v>2507</v>
          </cell>
          <cell r="J44">
            <v>982.3</v>
          </cell>
          <cell r="K44">
            <v>1449.1</v>
          </cell>
          <cell r="L44">
            <v>24</v>
          </cell>
          <cell r="M44">
            <v>3177.3</v>
          </cell>
          <cell r="N44">
            <v>3750.5</v>
          </cell>
          <cell r="O44">
            <v>2531</v>
          </cell>
          <cell r="P44">
            <v>0.41499999999999998</v>
          </cell>
          <cell r="Q44">
            <v>0.58499999999999996</v>
          </cell>
          <cell r="R44">
            <v>910.92499999999995</v>
          </cell>
          <cell r="S44">
            <v>1346.319</v>
          </cell>
          <cell r="T44" t="e">
            <v>#NAME?</v>
          </cell>
          <cell r="U44" t="e">
            <v>#NAME?</v>
          </cell>
          <cell r="V44" t="e">
            <v>#NAME?</v>
          </cell>
          <cell r="W44" t="e">
            <v>#NAME?</v>
          </cell>
          <cell r="X44" t="e">
            <v>#NAME?</v>
          </cell>
          <cell r="Y44" t="e">
            <v>#NAME?</v>
          </cell>
          <cell r="Z44" t="e">
            <v>#NAME?</v>
          </cell>
          <cell r="AA44" t="e">
            <v>#NAME?</v>
          </cell>
          <cell r="AB44" t="e">
            <v>#NAME?</v>
          </cell>
          <cell r="AC44" t="e">
            <v>#NAME?</v>
          </cell>
          <cell r="AD44" t="e">
            <v>#NAME?</v>
          </cell>
        </row>
        <row r="45">
          <cell r="A45" t="str">
            <v>40878-JSOW</v>
          </cell>
          <cell r="B45">
            <v>40878</v>
          </cell>
          <cell r="C45" t="str">
            <v>JSOW (BASELINE/UNITARY) - BASELINE/BLU-108</v>
          </cell>
          <cell r="D45" t="str">
            <v>JSOW Split</v>
          </cell>
          <cell r="E45">
            <v>1990</v>
          </cell>
          <cell r="F45" t="str">
            <v>PdE</v>
          </cell>
          <cell r="G45">
            <v>3566.3</v>
          </cell>
          <cell r="H45">
            <v>4898.7</v>
          </cell>
          <cell r="I45">
            <v>16124</v>
          </cell>
          <cell r="J45">
            <v>-2085.6999999999998</v>
          </cell>
          <cell r="K45">
            <v>-3025.4</v>
          </cell>
          <cell r="L45">
            <v>-12790</v>
          </cell>
          <cell r="M45">
            <v>1480.6</v>
          </cell>
          <cell r="N45">
            <v>1873.3</v>
          </cell>
          <cell r="O45">
            <v>3334</v>
          </cell>
          <cell r="P45">
            <v>-1.7999999999999999E-2</v>
          </cell>
          <cell r="Q45">
            <v>0.106</v>
          </cell>
          <cell r="R45">
            <v>-64.193399999999997</v>
          </cell>
          <cell r="S45">
            <v>519.26220000000001</v>
          </cell>
          <cell r="T45" t="e">
            <v>#NAME?</v>
          </cell>
          <cell r="U45" t="e">
            <v>#NAME?</v>
          </cell>
          <cell r="V45" t="e">
            <v>#NAME?</v>
          </cell>
          <cell r="W45" t="e">
            <v>#NAME?</v>
          </cell>
          <cell r="X45" t="e">
            <v>#NAME?</v>
          </cell>
          <cell r="Y45" t="e">
            <v>#NAME?</v>
          </cell>
          <cell r="Z45" t="e">
            <v>#NAME?</v>
          </cell>
          <cell r="AA45" t="e">
            <v>#NAME?</v>
          </cell>
          <cell r="AB45" t="e">
            <v>#NAME?</v>
          </cell>
          <cell r="AC45" t="e">
            <v>#NAME?</v>
          </cell>
          <cell r="AD45" t="e">
            <v>#NAME?</v>
          </cell>
        </row>
        <row r="46">
          <cell r="A46" t="str">
            <v>40878-JSOW</v>
          </cell>
          <cell r="B46">
            <v>40878</v>
          </cell>
          <cell r="C46" t="str">
            <v>JSOW (BASELINE/UNITARY) - UNITARY</v>
          </cell>
          <cell r="D46" t="str">
            <v>JSOW Split</v>
          </cell>
          <cell r="E46">
            <v>1990</v>
          </cell>
          <cell r="F46" t="str">
            <v>PdE</v>
          </cell>
          <cell r="G46">
            <v>1977.8</v>
          </cell>
          <cell r="H46">
            <v>2974.8</v>
          </cell>
          <cell r="I46">
            <v>7000</v>
          </cell>
          <cell r="J46">
            <v>167.1</v>
          </cell>
          <cell r="K46">
            <v>398.6</v>
          </cell>
          <cell r="L46" t="str">
            <v>-</v>
          </cell>
          <cell r="M46">
            <v>2144.9</v>
          </cell>
          <cell r="N46">
            <v>3373.4</v>
          </cell>
          <cell r="O46">
            <v>7000</v>
          </cell>
          <cell r="P46">
            <v>8.4000000000000005E-2</v>
          </cell>
          <cell r="Q46">
            <v>0.13400000000000001</v>
          </cell>
          <cell r="R46">
            <v>166.1352</v>
          </cell>
          <cell r="S46">
            <v>398.62320000000005</v>
          </cell>
          <cell r="T46" t="e">
            <v>#NAME?</v>
          </cell>
          <cell r="U46" t="e">
            <v>#NAME?</v>
          </cell>
          <cell r="V46" t="e">
            <v>#NAME?</v>
          </cell>
          <cell r="W46" t="e">
            <v>#NAME?</v>
          </cell>
          <cell r="X46" t="e">
            <v>#NAME?</v>
          </cell>
          <cell r="Y46" t="e">
            <v>#NAME?</v>
          </cell>
          <cell r="Z46" t="e">
            <v>#NAME?</v>
          </cell>
          <cell r="AA46" t="e">
            <v>#NAME?</v>
          </cell>
          <cell r="AB46" t="e">
            <v>#NAME?</v>
          </cell>
          <cell r="AC46" t="e">
            <v>#NAME?</v>
          </cell>
          <cell r="AD46" t="e">
            <v>#NAME?</v>
          </cell>
        </row>
        <row r="47">
          <cell r="A47" t="str">
            <v>40878-NAVSTAR GPS</v>
          </cell>
          <cell r="B47">
            <v>40878</v>
          </cell>
          <cell r="C47" t="str">
            <v>NAVSTAR GPS - SPACE &amp; CONTROL</v>
          </cell>
          <cell r="D47" t="str">
            <v>NAVSTAR GPS SPLIT</v>
          </cell>
          <cell r="E47">
            <v>2000</v>
          </cell>
          <cell r="F47" t="str">
            <v>PdE</v>
          </cell>
          <cell r="G47">
            <v>5015.6000000000004</v>
          </cell>
          <cell r="H47">
            <v>5120.8999999999996</v>
          </cell>
          <cell r="I47">
            <v>33</v>
          </cell>
          <cell r="J47">
            <v>1191</v>
          </cell>
          <cell r="K47">
            <v>1460.5</v>
          </cell>
          <cell r="L47" t="str">
            <v>-</v>
          </cell>
          <cell r="M47">
            <v>6206.6</v>
          </cell>
          <cell r="N47">
            <v>6581.4</v>
          </cell>
          <cell r="O47">
            <v>33</v>
          </cell>
          <cell r="P47">
            <v>0.23300000000000001</v>
          </cell>
          <cell r="Q47">
            <v>0.28599999999999998</v>
          </cell>
          <cell r="R47">
            <v>1168.6348</v>
          </cell>
          <cell r="S47">
            <v>1464.5773999999997</v>
          </cell>
          <cell r="T47" t="e">
            <v>#NAME?</v>
          </cell>
          <cell r="U47" t="e">
            <v>#NAME?</v>
          </cell>
          <cell r="V47" t="e">
            <v>#NAME?</v>
          </cell>
          <cell r="W47" t="e">
            <v>#NAME?</v>
          </cell>
          <cell r="X47" t="e">
            <v>#NAME?</v>
          </cell>
          <cell r="Y47" t="e">
            <v>#NAME?</v>
          </cell>
          <cell r="Z47" t="e">
            <v>#NAME?</v>
          </cell>
          <cell r="AA47" t="e">
            <v>#NAME?</v>
          </cell>
          <cell r="AB47" t="e">
            <v>#NAME?</v>
          </cell>
          <cell r="AC47" t="e">
            <v>#NAME?</v>
          </cell>
          <cell r="AD47" t="e">
            <v>#NAME?</v>
          </cell>
        </row>
        <row r="48">
          <cell r="A48" t="str">
            <v>40878-NAVSTAR GPS</v>
          </cell>
          <cell r="B48">
            <v>40878</v>
          </cell>
          <cell r="C48" t="str">
            <v>NAVSTAR GPS - USER EQUIPMENT</v>
          </cell>
          <cell r="D48" t="str">
            <v>NAVSTAR GPS SPLIT</v>
          </cell>
          <cell r="E48">
            <v>2000</v>
          </cell>
          <cell r="F48" t="str">
            <v>PdE</v>
          </cell>
          <cell r="G48">
            <v>797.8</v>
          </cell>
          <cell r="H48">
            <v>874.4</v>
          </cell>
          <cell r="I48" t="str">
            <v>-</v>
          </cell>
          <cell r="J48">
            <v>430.6</v>
          </cell>
          <cell r="K48">
            <v>532</v>
          </cell>
          <cell r="L48" t="str">
            <v>-</v>
          </cell>
          <cell r="M48">
            <v>1228.4000000000001</v>
          </cell>
          <cell r="N48">
            <v>1406.4</v>
          </cell>
          <cell r="O48" t="str">
            <v>-</v>
          </cell>
          <cell r="P48">
            <v>0.54</v>
          </cell>
          <cell r="Q48">
            <v>0.60799999999999998</v>
          </cell>
          <cell r="R48">
            <v>430.81200000000001</v>
          </cell>
          <cell r="S48">
            <v>531.63519999999994</v>
          </cell>
          <cell r="T48" t="e">
            <v>#NAME?</v>
          </cell>
          <cell r="U48" t="e">
            <v>#NAME?</v>
          </cell>
          <cell r="V48" t="e">
            <v>#NAME?</v>
          </cell>
          <cell r="W48" t="e">
            <v>#NAME?</v>
          </cell>
          <cell r="X48" t="e">
            <v>#NAME?</v>
          </cell>
          <cell r="Y48" t="e">
            <v>#NAME?</v>
          </cell>
          <cell r="Z48" t="e">
            <v>#NAME?</v>
          </cell>
          <cell r="AA48" t="e">
            <v>#NAME?</v>
          </cell>
          <cell r="AB48" t="e">
            <v>#NAME?</v>
          </cell>
          <cell r="AC48" t="e">
            <v>#NAME?</v>
          </cell>
          <cell r="AD48" t="e">
            <v>#NAME?</v>
          </cell>
        </row>
        <row r="49">
          <cell r="A49" t="str">
            <v>40878-PATRIOT/MEADS CAP</v>
          </cell>
          <cell r="B49">
            <v>40878</v>
          </cell>
          <cell r="C49" t="str">
            <v>PATRIOT/MEADS CAP - FIRE UNIT</v>
          </cell>
          <cell r="D49" t="str">
            <v>PATRIOT/MEADS CAP SPLIT</v>
          </cell>
          <cell r="E49">
            <v>2004</v>
          </cell>
          <cell r="F49" t="str">
            <v>DE</v>
          </cell>
          <cell r="G49">
            <v>16530.5</v>
          </cell>
          <cell r="H49">
            <v>21839.4</v>
          </cell>
          <cell r="I49">
            <v>48</v>
          </cell>
          <cell r="J49">
            <v>-13771.7</v>
          </cell>
          <cell r="K49">
            <v>-18662.3</v>
          </cell>
          <cell r="L49">
            <v>-48</v>
          </cell>
          <cell r="M49">
            <v>2758.8</v>
          </cell>
          <cell r="N49">
            <v>3177.1</v>
          </cell>
          <cell r="O49" t="str">
            <v>-</v>
          </cell>
          <cell r="P49">
            <v>-0.64</v>
          </cell>
          <cell r="Q49">
            <v>-0.65800000000000003</v>
          </cell>
          <cell r="R49">
            <v>-10579.52</v>
          </cell>
          <cell r="S49">
            <v>-14370.325200000001</v>
          </cell>
          <cell r="T49" t="e">
            <v>#NAME?</v>
          </cell>
          <cell r="U49" t="e">
            <v>#NAME?</v>
          </cell>
          <cell r="V49" t="e">
            <v>#NAME?</v>
          </cell>
          <cell r="W49" t="e">
            <v>#NAME?</v>
          </cell>
          <cell r="X49" t="e">
            <v>#NAME?</v>
          </cell>
          <cell r="Y49" t="e">
            <v>#NAME?</v>
          </cell>
          <cell r="Z49" t="e">
            <v>#NAME?</v>
          </cell>
          <cell r="AA49" t="e">
            <v>#NAME?</v>
          </cell>
          <cell r="AB49" t="e">
            <v>#NAME?</v>
          </cell>
          <cell r="AC49" t="e">
            <v>#NAME?</v>
          </cell>
          <cell r="AD49" t="e">
            <v>#NAME?</v>
          </cell>
        </row>
        <row r="50">
          <cell r="A50" t="str">
            <v>40878-PATRIOT/MEADS CAP</v>
          </cell>
          <cell r="B50">
            <v>40878</v>
          </cell>
          <cell r="C50" t="str">
            <v>PATRIOT/MEADS CAP - MISSILE</v>
          </cell>
          <cell r="D50" t="str">
            <v>PATRIOT/MEADS CAP SPLIT</v>
          </cell>
          <cell r="E50">
            <v>2004</v>
          </cell>
          <cell r="F50" t="str">
            <v>DE</v>
          </cell>
          <cell r="G50">
            <v>6220.9</v>
          </cell>
          <cell r="H50">
            <v>8056</v>
          </cell>
          <cell r="I50">
            <v>1528</v>
          </cell>
          <cell r="J50">
            <v>648.70000000000005</v>
          </cell>
          <cell r="K50">
            <v>1719.1</v>
          </cell>
          <cell r="L50" t="str">
            <v>-</v>
          </cell>
          <cell r="M50">
            <v>6869.6</v>
          </cell>
          <cell r="N50">
            <v>9775.1</v>
          </cell>
          <cell r="O50">
            <v>1528</v>
          </cell>
          <cell r="P50">
            <v>0.104</v>
          </cell>
          <cell r="Q50">
            <v>0.21299999999999999</v>
          </cell>
          <cell r="R50">
            <v>646.97359999999992</v>
          </cell>
          <cell r="S50">
            <v>1715.9279999999999</v>
          </cell>
          <cell r="T50" t="e">
            <v>#NAME?</v>
          </cell>
          <cell r="U50" t="e">
            <v>#NAME?</v>
          </cell>
          <cell r="V50" t="e">
            <v>#NAME?</v>
          </cell>
          <cell r="W50" t="e">
            <v>#NAME?</v>
          </cell>
          <cell r="X50" t="e">
            <v>#NAME?</v>
          </cell>
          <cell r="Y50" t="e">
            <v>#NAME?</v>
          </cell>
          <cell r="Z50" t="e">
            <v>#NAME?</v>
          </cell>
          <cell r="AA50" t="e">
            <v>#NAME?</v>
          </cell>
          <cell r="AB50" t="e">
            <v>#NAME?</v>
          </cell>
          <cell r="AC50" t="e">
            <v>#NAME?</v>
          </cell>
          <cell r="AD50" t="e">
            <v>#NAME?</v>
          </cell>
        </row>
        <row r="60">
          <cell r="E60" t="str">
            <v>(SARs Table 4)</v>
          </cell>
        </row>
        <row r="61">
          <cell r="C61" t="str">
            <v>Weapon System</v>
          </cell>
          <cell r="D61" t="str">
            <v>Shorthand</v>
          </cell>
          <cell r="E61" t="str">
            <v>Prior Years  (Then-Year $s)*</v>
          </cell>
          <cell r="F61" t="str">
            <v>Budget FY 2004 (Then-Year $s)*</v>
          </cell>
          <cell r="G61" t="str">
            <v>Budget FY 2005 (Then-Year $s)*</v>
          </cell>
          <cell r="H61" t="str">
            <v>Budget FY 2006 (Then-Year $s)*</v>
          </cell>
          <cell r="I61" t="str">
            <v>Budget FY 2007 (Then-Year $s)*</v>
          </cell>
          <cell r="J61" t="str">
            <v>FY 2008 Budget (Then-Year $s)*</v>
          </cell>
          <cell r="K61" t="str">
            <v>FY 2009 Budget (Then-Year $s)*</v>
          </cell>
          <cell r="L61" t="str">
            <v>FY 2010 Budget (Then-Year $s)*</v>
          </cell>
          <cell r="M61" t="str">
            <v>FY 2011 Budget (Then-Year $s)*</v>
          </cell>
          <cell r="N61" t="str">
            <v>FY 2012 Budget (Then-Year $s)*</v>
          </cell>
          <cell r="O61" t="str">
            <v>FY 2013 Budget (Then-Year $s)*</v>
          </cell>
          <cell r="P61" t="str">
            <v>FY 2014 Budget (Then-Year $s)*</v>
          </cell>
          <cell r="Q61" t="str">
            <v>Balance of Program (Then-Year $s)*</v>
          </cell>
          <cell r="R61" t="str">
            <v>Total (Then-Year $s)*</v>
          </cell>
          <cell r="T61" t="str">
            <v>Prior Years  (Then-Year $s)</v>
          </cell>
          <cell r="U61" t="str">
            <v>Budget FY 2004 (Then-Year $s)</v>
          </cell>
          <cell r="V61" t="str">
            <v>Budget FY 2005 (Then-Year $s)</v>
          </cell>
          <cell r="W61" t="str">
            <v>Budget FY 2006 (Then-Year $s)</v>
          </cell>
          <cell r="X61" t="str">
            <v>Budget FY 2007 (Then-Year $s)</v>
          </cell>
          <cell r="Y61" t="str">
            <v>FY 2008 Budget (Then-Year $s)</v>
          </cell>
          <cell r="Z61" t="str">
            <v>FY 2009 Budget (Then-Year $s)</v>
          </cell>
          <cell r="AA61" t="str">
            <v>FY 2010 Budget (Then-Year $s)</v>
          </cell>
          <cell r="AB61" t="str">
            <v>FY 2011 Budget (Then-Year $s)</v>
          </cell>
          <cell r="AC61" t="str">
            <v>FY 2012 Budget (Then-Year $s)</v>
          </cell>
          <cell r="AD61" t="str">
            <v>FY 2013 Budget (Then-Year $s)</v>
          </cell>
          <cell r="AE61" t="str">
            <v>FY 2014 Budget (Then-Year $s)</v>
          </cell>
          <cell r="AF61" t="str">
            <v>Balance of Program (Then-Year $s)</v>
          </cell>
          <cell r="AG61" t="str">
            <v>Total (Then-Year $s)</v>
          </cell>
          <cell r="AH61" t="str">
            <v>Notes</v>
          </cell>
        </row>
        <row r="62">
          <cell r="C62">
            <v>3</v>
          </cell>
          <cell r="D62">
            <v>4</v>
          </cell>
          <cell r="E62">
            <v>5</v>
          </cell>
          <cell r="F62">
            <v>6</v>
          </cell>
          <cell r="G62">
            <v>7</v>
          </cell>
          <cell r="H62">
            <v>8</v>
          </cell>
          <cell r="I62">
            <v>9</v>
          </cell>
          <cell r="J62">
            <v>10</v>
          </cell>
          <cell r="K62">
            <v>11</v>
          </cell>
          <cell r="L62">
            <v>12</v>
          </cell>
          <cell r="M62">
            <v>13</v>
          </cell>
          <cell r="N62">
            <v>14</v>
          </cell>
          <cell r="O62">
            <v>15</v>
          </cell>
          <cell r="P62">
            <v>16</v>
          </cell>
          <cell r="Q62">
            <v>17</v>
          </cell>
          <cell r="R62">
            <v>18</v>
          </cell>
          <cell r="S62">
            <v>19</v>
          </cell>
          <cell r="T62">
            <v>20</v>
          </cell>
          <cell r="U62">
            <v>21</v>
          </cell>
          <cell r="V62">
            <v>22</v>
          </cell>
          <cell r="W62">
            <v>23</v>
          </cell>
          <cell r="X62">
            <v>24</v>
          </cell>
          <cell r="Y62">
            <v>25</v>
          </cell>
          <cell r="Z62">
            <v>26</v>
          </cell>
          <cell r="AA62">
            <v>27</v>
          </cell>
          <cell r="AB62">
            <v>28</v>
          </cell>
          <cell r="AC62">
            <v>29</v>
          </cell>
          <cell r="AD62">
            <v>30</v>
          </cell>
          <cell r="AE62">
            <v>31</v>
          </cell>
          <cell r="AF62">
            <v>32</v>
          </cell>
          <cell r="AG62">
            <v>33</v>
          </cell>
        </row>
        <row r="63">
          <cell r="A63" t="str">
            <v>39692-IDECM</v>
          </cell>
          <cell r="B63">
            <v>39692</v>
          </cell>
          <cell r="C63" t="str">
            <v>IDECM-Blocks 2/3</v>
          </cell>
          <cell r="D63" t="str">
            <v>IDECM Split</v>
          </cell>
          <cell r="E63">
            <v>586.5</v>
          </cell>
          <cell r="J63">
            <v>57.9</v>
          </cell>
          <cell r="K63">
            <v>61.95</v>
          </cell>
          <cell r="Q63">
            <v>828.85</v>
          </cell>
          <cell r="R63">
            <v>1535.2</v>
          </cell>
          <cell r="T63" t="e">
            <v>#VALUE!</v>
          </cell>
          <cell r="U63" t="e">
            <v>#VALUE!</v>
          </cell>
          <cell r="V63" t="e">
            <v>#VALUE!</v>
          </cell>
          <cell r="W63" t="e">
            <v>#VALUE!</v>
          </cell>
          <cell r="X63" t="e">
            <v>#VALUE!</v>
          </cell>
          <cell r="Y63" t="e">
            <v>#VALUE!</v>
          </cell>
          <cell r="Z63" t="e">
            <v>#VALUE!</v>
          </cell>
          <cell r="AA63" t="e">
            <v>#VALUE!</v>
          </cell>
          <cell r="AB63" t="e">
            <v>#VALUE!</v>
          </cell>
          <cell r="AC63" t="e">
            <v>#VALUE!</v>
          </cell>
          <cell r="AD63" t="e">
            <v>#VALUE!</v>
          </cell>
          <cell r="AE63" t="e">
            <v>#VALUE!</v>
          </cell>
          <cell r="AF63" t="e">
            <v>#VALUE!</v>
          </cell>
          <cell r="AG63" t="e">
            <v>#VALUE!</v>
          </cell>
        </row>
        <row r="64">
          <cell r="A64" t="str">
            <v>39692-IDECM</v>
          </cell>
          <cell r="B64">
            <v>39692</v>
          </cell>
          <cell r="C64" t="str">
            <v>IDECM-Blocks 4</v>
          </cell>
          <cell r="D64" t="str">
            <v>IDECM Split</v>
          </cell>
          <cell r="E64">
            <v>0</v>
          </cell>
          <cell r="J64">
            <v>4.0999999999999996</v>
          </cell>
          <cell r="K64">
            <v>31.5</v>
          </cell>
          <cell r="Q64">
            <v>710.5</v>
          </cell>
          <cell r="R64">
            <v>746.1</v>
          </cell>
          <cell r="T64" t="e">
            <v>#VALUE!</v>
          </cell>
          <cell r="U64" t="e">
            <v>#VALUE!</v>
          </cell>
          <cell r="V64" t="e">
            <v>#VALUE!</v>
          </cell>
          <cell r="W64" t="e">
            <v>#VALUE!</v>
          </cell>
          <cell r="X64" t="e">
            <v>#VALUE!</v>
          </cell>
          <cell r="Y64" t="e">
            <v>#VALUE!</v>
          </cell>
          <cell r="Z64" t="e">
            <v>#VALUE!</v>
          </cell>
          <cell r="AA64" t="e">
            <v>#VALUE!</v>
          </cell>
          <cell r="AB64" t="e">
            <v>#VALUE!</v>
          </cell>
          <cell r="AC64" t="e">
            <v>#VALUE!</v>
          </cell>
          <cell r="AD64" t="e">
            <v>#VALUE!</v>
          </cell>
          <cell r="AE64" t="e">
            <v>#VALUE!</v>
          </cell>
          <cell r="AF64" t="e">
            <v>#VALUE!</v>
          </cell>
          <cell r="AG64" t="e">
            <v>#VALUE!</v>
          </cell>
        </row>
        <row r="65">
          <cell r="A65" t="str">
            <v>39692-JSOW</v>
          </cell>
          <cell r="B65">
            <v>39692</v>
          </cell>
          <cell r="C65" t="str">
            <v>JSOW - BASELINE/BLU-108</v>
          </cell>
          <cell r="D65" t="str">
            <v>JSOW Split</v>
          </cell>
          <cell r="E65">
            <v>1659.9</v>
          </cell>
          <cell r="J65">
            <v>0</v>
          </cell>
          <cell r="K65">
            <v>0</v>
          </cell>
          <cell r="Q65">
            <v>201.7</v>
          </cell>
          <cell r="R65">
            <v>1861.6</v>
          </cell>
          <cell r="T65" t="e">
            <v>#VALUE!</v>
          </cell>
          <cell r="U65" t="e">
            <v>#VALUE!</v>
          </cell>
          <cell r="V65" t="e">
            <v>#VALUE!</v>
          </cell>
          <cell r="W65" t="e">
            <v>#VALUE!</v>
          </cell>
          <cell r="X65" t="e">
            <v>#VALUE!</v>
          </cell>
          <cell r="Y65" t="e">
            <v>#VALUE!</v>
          </cell>
          <cell r="Z65" t="e">
            <v>#VALUE!</v>
          </cell>
          <cell r="AA65" t="e">
            <v>#VALUE!</v>
          </cell>
          <cell r="AB65" t="e">
            <v>#VALUE!</v>
          </cell>
          <cell r="AC65" t="e">
            <v>#VALUE!</v>
          </cell>
          <cell r="AD65" t="e">
            <v>#VALUE!</v>
          </cell>
          <cell r="AE65" t="e">
            <v>#VALUE!</v>
          </cell>
          <cell r="AF65" t="e">
            <v>#VALUE!</v>
          </cell>
          <cell r="AG65" t="e">
            <v>#VALUE!</v>
          </cell>
        </row>
        <row r="66">
          <cell r="A66" t="str">
            <v>39692-JSOW</v>
          </cell>
          <cell r="B66">
            <v>39692</v>
          </cell>
          <cell r="C66" t="str">
            <v>JSOW - UNITARY</v>
          </cell>
          <cell r="D66" t="str">
            <v>JSOW Split</v>
          </cell>
          <cell r="E66">
            <v>790.4</v>
          </cell>
          <cell r="J66">
            <v>159.69999999999999</v>
          </cell>
          <cell r="K66">
            <v>171.8</v>
          </cell>
          <cell r="Q66">
            <v>1603.2</v>
          </cell>
          <cell r="R66">
            <v>2725.1</v>
          </cell>
          <cell r="T66" t="e">
            <v>#VALUE!</v>
          </cell>
          <cell r="U66" t="e">
            <v>#VALUE!</v>
          </cell>
          <cell r="V66" t="e">
            <v>#VALUE!</v>
          </cell>
          <cell r="W66" t="e">
            <v>#VALUE!</v>
          </cell>
          <cell r="X66" t="e">
            <v>#VALUE!</v>
          </cell>
          <cell r="Y66" t="e">
            <v>#VALUE!</v>
          </cell>
          <cell r="Z66" t="e">
            <v>#VALUE!</v>
          </cell>
          <cell r="AA66" t="e">
            <v>#VALUE!</v>
          </cell>
          <cell r="AB66" t="e">
            <v>#VALUE!</v>
          </cell>
          <cell r="AC66" t="e">
            <v>#VALUE!</v>
          </cell>
          <cell r="AD66" t="e">
            <v>#VALUE!</v>
          </cell>
          <cell r="AE66" t="e">
            <v>#VALUE!</v>
          </cell>
          <cell r="AF66" t="e">
            <v>#VALUE!</v>
          </cell>
          <cell r="AG66" t="e">
            <v>#VALUE!</v>
          </cell>
        </row>
        <row r="67">
          <cell r="A67" t="str">
            <v>39692-NAVSTAR GPS</v>
          </cell>
          <cell r="B67">
            <v>39692</v>
          </cell>
          <cell r="C67" t="str">
            <v>NAVSTAR GPS - SPACE &amp; CONTROL</v>
          </cell>
          <cell r="D67" t="str">
            <v>NAVSTAR GPS SPLIT</v>
          </cell>
          <cell r="E67">
            <v>5259.2</v>
          </cell>
          <cell r="J67">
            <v>328.6</v>
          </cell>
          <cell r="K67">
            <v>204.9</v>
          </cell>
          <cell r="Q67">
            <v>513.4</v>
          </cell>
          <cell r="R67">
            <v>6306.1</v>
          </cell>
          <cell r="T67" t="e">
            <v>#VALUE!</v>
          </cell>
          <cell r="U67" t="e">
            <v>#VALUE!</v>
          </cell>
          <cell r="V67" t="e">
            <v>#VALUE!</v>
          </cell>
          <cell r="W67" t="e">
            <v>#VALUE!</v>
          </cell>
          <cell r="X67" t="e">
            <v>#VALUE!</v>
          </cell>
          <cell r="Y67" t="e">
            <v>#VALUE!</v>
          </cell>
          <cell r="Z67" t="e">
            <v>#VALUE!</v>
          </cell>
          <cell r="AA67" t="e">
            <v>#VALUE!</v>
          </cell>
          <cell r="AB67" t="e">
            <v>#VALUE!</v>
          </cell>
          <cell r="AC67" t="e">
            <v>#VALUE!</v>
          </cell>
          <cell r="AD67" t="e">
            <v>#VALUE!</v>
          </cell>
          <cell r="AE67" t="e">
            <v>#VALUE!</v>
          </cell>
          <cell r="AF67" t="e">
            <v>#VALUE!</v>
          </cell>
          <cell r="AG67" t="e">
            <v>#VALUE!</v>
          </cell>
        </row>
        <row r="68">
          <cell r="A68" t="str">
            <v>39692-NAVSTAR GPS</v>
          </cell>
          <cell r="B68">
            <v>39692</v>
          </cell>
          <cell r="C68" t="str">
            <v>NAVSTAR GPS - USER EQUIPMENT</v>
          </cell>
          <cell r="D68" t="str">
            <v>NAVSTAR GPS SPLIT</v>
          </cell>
          <cell r="E68">
            <v>927.1</v>
          </cell>
          <cell r="J68">
            <v>162.9</v>
          </cell>
          <cell r="K68">
            <v>137.80000000000001</v>
          </cell>
          <cell r="Q68">
            <v>865.9</v>
          </cell>
          <cell r="R68">
            <v>2093.6999999999998</v>
          </cell>
          <cell r="T68" t="e">
            <v>#VALUE!</v>
          </cell>
          <cell r="U68" t="e">
            <v>#VALUE!</v>
          </cell>
          <cell r="V68" t="e">
            <v>#VALUE!</v>
          </cell>
          <cell r="W68" t="e">
            <v>#VALUE!</v>
          </cell>
          <cell r="X68" t="e">
            <v>#VALUE!</v>
          </cell>
          <cell r="Y68" t="e">
            <v>#VALUE!</v>
          </cell>
          <cell r="Z68" t="e">
            <v>#VALUE!</v>
          </cell>
          <cell r="AA68" t="e">
            <v>#VALUE!</v>
          </cell>
          <cell r="AB68" t="e">
            <v>#VALUE!</v>
          </cell>
          <cell r="AC68" t="e">
            <v>#VALUE!</v>
          </cell>
          <cell r="AD68" t="e">
            <v>#VALUE!</v>
          </cell>
          <cell r="AE68" t="e">
            <v>#VALUE!</v>
          </cell>
          <cell r="AF68" t="e">
            <v>#VALUE!</v>
          </cell>
          <cell r="AG68" t="e">
            <v>#VALUE!</v>
          </cell>
        </row>
        <row r="69">
          <cell r="A69" t="str">
            <v>39692-PATRIOT/MEADS CAP</v>
          </cell>
          <cell r="B69">
            <v>39692</v>
          </cell>
          <cell r="C69" t="str">
            <v>PATRIOT/MEADS CAP - FIRE UNIT</v>
          </cell>
          <cell r="D69" t="str">
            <v>PATRIOT/MEADS CAP SPLIT</v>
          </cell>
          <cell r="E69">
            <v>694.9</v>
          </cell>
          <cell r="J69">
            <v>316.3</v>
          </cell>
          <cell r="K69">
            <v>431.3</v>
          </cell>
          <cell r="Q69">
            <v>20337.2</v>
          </cell>
          <cell r="R69">
            <v>21779.7</v>
          </cell>
          <cell r="T69" t="e">
            <v>#VALUE!</v>
          </cell>
          <cell r="U69" t="e">
            <v>#VALUE!</v>
          </cell>
          <cell r="V69" t="e">
            <v>#VALUE!</v>
          </cell>
          <cell r="W69" t="e">
            <v>#VALUE!</v>
          </cell>
          <cell r="X69" t="e">
            <v>#VALUE!</v>
          </cell>
          <cell r="Y69" t="e">
            <v>#VALUE!</v>
          </cell>
          <cell r="Z69" t="e">
            <v>#VALUE!</v>
          </cell>
          <cell r="AA69" t="e">
            <v>#VALUE!</v>
          </cell>
          <cell r="AB69" t="e">
            <v>#VALUE!</v>
          </cell>
          <cell r="AC69" t="e">
            <v>#VALUE!</v>
          </cell>
          <cell r="AD69" t="e">
            <v>#VALUE!</v>
          </cell>
          <cell r="AE69" t="e">
            <v>#VALUE!</v>
          </cell>
          <cell r="AF69" t="e">
            <v>#VALUE!</v>
          </cell>
          <cell r="AG69" t="e">
            <v>#VALUE!</v>
          </cell>
        </row>
        <row r="70">
          <cell r="A70" t="str">
            <v>39692-PATRIOT/MEADS CAP</v>
          </cell>
          <cell r="B70">
            <v>39692</v>
          </cell>
          <cell r="C70" t="str">
            <v>PATRIOT/MEADS CAP - MISSILE</v>
          </cell>
          <cell r="D70" t="str">
            <v>PATRIOT/MEADS CAP SPLIT</v>
          </cell>
          <cell r="E70">
            <v>390.5</v>
          </cell>
          <cell r="J70">
            <v>53.5</v>
          </cell>
          <cell r="K70">
            <v>31</v>
          </cell>
          <cell r="Q70">
            <v>7640.5</v>
          </cell>
          <cell r="R70">
            <v>8115.5</v>
          </cell>
          <cell r="T70" t="e">
            <v>#VALUE!</v>
          </cell>
          <cell r="U70" t="e">
            <v>#VALUE!</v>
          </cell>
          <cell r="V70" t="e">
            <v>#VALUE!</v>
          </cell>
          <cell r="W70" t="e">
            <v>#VALUE!</v>
          </cell>
          <cell r="X70" t="e">
            <v>#VALUE!</v>
          </cell>
          <cell r="Y70" t="e">
            <v>#VALUE!</v>
          </cell>
          <cell r="Z70" t="e">
            <v>#VALUE!</v>
          </cell>
          <cell r="AA70" t="e">
            <v>#VALUE!</v>
          </cell>
          <cell r="AB70" t="e">
            <v>#VALUE!</v>
          </cell>
          <cell r="AC70" t="e">
            <v>#VALUE!</v>
          </cell>
          <cell r="AD70" t="e">
            <v>#VALUE!</v>
          </cell>
          <cell r="AE70" t="e">
            <v>#VALUE!</v>
          </cell>
          <cell r="AF70" t="e">
            <v>#VALUE!</v>
          </cell>
          <cell r="AG70" t="e">
            <v>#VALUE!</v>
          </cell>
        </row>
        <row r="71">
          <cell r="A71" t="e">
            <v>#N/A</v>
          </cell>
          <cell r="B71">
            <v>40148</v>
          </cell>
          <cell r="C71" t="str">
            <v>ATIRCM/CMWS</v>
          </cell>
          <cell r="D71" t="e">
            <v>#N/A</v>
          </cell>
          <cell r="E71">
            <v>3236</v>
          </cell>
          <cell r="L71">
            <v>299.10000000000002</v>
          </cell>
          <cell r="M71">
            <v>222</v>
          </cell>
          <cell r="Q71">
            <v>755.7</v>
          </cell>
          <cell r="R71">
            <v>4512.8</v>
          </cell>
          <cell r="T71" t="e">
            <v>#VALUE!</v>
          </cell>
          <cell r="U71" t="e">
            <v>#VALUE!</v>
          </cell>
          <cell r="V71" t="e">
            <v>#VALUE!</v>
          </cell>
          <cell r="W71" t="e">
            <v>#VALUE!</v>
          </cell>
          <cell r="X71" t="e">
            <v>#VALUE!</v>
          </cell>
          <cell r="Y71" t="e">
            <v>#VALUE!</v>
          </cell>
          <cell r="Z71" t="e">
            <v>#VALUE!</v>
          </cell>
          <cell r="AA71" t="e">
            <v>#VALUE!</v>
          </cell>
          <cell r="AB71" t="e">
            <v>#VALUE!</v>
          </cell>
          <cell r="AC71" t="e">
            <v>#VALUE!</v>
          </cell>
          <cell r="AD71" t="e">
            <v>#VALUE!</v>
          </cell>
          <cell r="AE71" t="e">
            <v>#VALUE!</v>
          </cell>
          <cell r="AF71" t="e">
            <v>#VALUE!</v>
          </cell>
          <cell r="AG71" t="e">
            <v>#VALUE!</v>
          </cell>
        </row>
        <row r="72">
          <cell r="A72" t="str">
            <v>40148-CHEM DEMI</v>
          </cell>
          <cell r="B72">
            <v>40148</v>
          </cell>
          <cell r="C72" t="str">
            <v>CHEM DEMIL-ACWA</v>
          </cell>
          <cell r="D72" t="str">
            <v>CHEM DEMIL-ACWA</v>
          </cell>
          <cell r="E72">
            <v>2252.1999999999998</v>
          </cell>
          <cell r="L72">
            <v>550.20000000000005</v>
          </cell>
          <cell r="M72">
            <v>510.9</v>
          </cell>
          <cell r="Q72">
            <v>5039</v>
          </cell>
          <cell r="R72">
            <v>8352.2999999999993</v>
          </cell>
          <cell r="T72" t="e">
            <v>#VALUE!</v>
          </cell>
          <cell r="U72" t="e">
            <v>#VALUE!</v>
          </cell>
          <cell r="V72" t="e">
            <v>#VALUE!</v>
          </cell>
          <cell r="W72" t="e">
            <v>#VALUE!</v>
          </cell>
          <cell r="X72" t="e">
            <v>#VALUE!</v>
          </cell>
          <cell r="Y72" t="e">
            <v>#VALUE!</v>
          </cell>
          <cell r="Z72" t="e">
            <v>#VALUE!</v>
          </cell>
          <cell r="AA72" t="e">
            <v>#VALUE!</v>
          </cell>
          <cell r="AB72" t="e">
            <v>#VALUE!</v>
          </cell>
          <cell r="AC72" t="e">
            <v>#VALUE!</v>
          </cell>
          <cell r="AD72" t="e">
            <v>#VALUE!</v>
          </cell>
          <cell r="AE72" t="e">
            <v>#VALUE!</v>
          </cell>
          <cell r="AF72" t="e">
            <v>#VALUE!</v>
          </cell>
          <cell r="AG72" t="e">
            <v>#VALUE!</v>
          </cell>
        </row>
        <row r="73">
          <cell r="A73" t="str">
            <v>40148-CHEM DEM</v>
          </cell>
          <cell r="B73">
            <v>40148</v>
          </cell>
          <cell r="C73" t="str">
            <v>CHEM DEMIL-CMA</v>
          </cell>
          <cell r="D73" t="str">
            <v>CHEM DEMIL-CMA</v>
          </cell>
          <cell r="E73">
            <v>18110.400000000001</v>
          </cell>
          <cell r="L73">
            <v>1162.0999999999999</v>
          </cell>
          <cell r="M73">
            <v>1081.4000000000001</v>
          </cell>
          <cell r="Q73">
            <v>5400.5</v>
          </cell>
          <cell r="R73">
            <v>25754.400000000001</v>
          </cell>
          <cell r="T73" t="e">
            <v>#VALUE!</v>
          </cell>
          <cell r="U73" t="e">
            <v>#VALUE!</v>
          </cell>
          <cell r="V73" t="e">
            <v>#VALUE!</v>
          </cell>
          <cell r="W73" t="e">
            <v>#VALUE!</v>
          </cell>
          <cell r="X73" t="e">
            <v>#VALUE!</v>
          </cell>
          <cell r="Y73" t="e">
            <v>#VALUE!</v>
          </cell>
          <cell r="Z73" t="e">
            <v>#VALUE!</v>
          </cell>
          <cell r="AA73" t="e">
            <v>#VALUE!</v>
          </cell>
          <cell r="AB73" t="e">
            <v>#VALUE!</v>
          </cell>
          <cell r="AC73" t="e">
            <v>#VALUE!</v>
          </cell>
          <cell r="AD73" t="e">
            <v>#VALUE!</v>
          </cell>
          <cell r="AE73" t="e">
            <v>#VALUE!</v>
          </cell>
          <cell r="AF73" t="e">
            <v>#VALUE!</v>
          </cell>
          <cell r="AG73" t="e">
            <v>#VALUE!</v>
          </cell>
        </row>
        <row r="74">
          <cell r="A74" t="str">
            <v>40148-JT</v>
          </cell>
          <cell r="B74">
            <v>40148</v>
          </cell>
          <cell r="C74" t="str">
            <v>JTRS GMR</v>
          </cell>
          <cell r="D74" t="str">
            <v>JTRS GMR</v>
          </cell>
          <cell r="E74">
            <v>1283</v>
          </cell>
          <cell r="L74">
            <v>202.7</v>
          </cell>
          <cell r="M74">
            <v>251.8</v>
          </cell>
          <cell r="Q74">
            <v>17393.2</v>
          </cell>
          <cell r="R74">
            <v>19130.7</v>
          </cell>
          <cell r="T74" t="e">
            <v>#VALUE!</v>
          </cell>
          <cell r="U74" t="e">
            <v>#VALUE!</v>
          </cell>
          <cell r="V74" t="e">
            <v>#VALUE!</v>
          </cell>
          <cell r="W74" t="e">
            <v>#VALUE!</v>
          </cell>
          <cell r="X74" t="e">
            <v>#VALUE!</v>
          </cell>
          <cell r="Y74" t="e">
            <v>#VALUE!</v>
          </cell>
          <cell r="Z74" t="e">
            <v>#VALUE!</v>
          </cell>
          <cell r="AA74" t="e">
            <v>#VALUE!</v>
          </cell>
          <cell r="AB74" t="e">
            <v>#VALUE!</v>
          </cell>
          <cell r="AC74" t="e">
            <v>#VALUE!</v>
          </cell>
          <cell r="AD74" t="e">
            <v>#VALUE!</v>
          </cell>
          <cell r="AE74" t="e">
            <v>#VALUE!</v>
          </cell>
          <cell r="AF74" t="e">
            <v>#VALUE!</v>
          </cell>
          <cell r="AG74" t="e">
            <v>#VALUE!</v>
          </cell>
        </row>
        <row r="75">
          <cell r="A75" t="str">
            <v>40148-JT</v>
          </cell>
          <cell r="B75">
            <v>40148</v>
          </cell>
          <cell r="C75" t="str">
            <v>JTRS HMS</v>
          </cell>
          <cell r="D75" t="str">
            <v>JTRS HMS</v>
          </cell>
          <cell r="E75">
            <v>653.1</v>
          </cell>
          <cell r="L75">
            <v>182.9</v>
          </cell>
          <cell r="M75">
            <v>244.1</v>
          </cell>
          <cell r="Q75">
            <v>4160.3</v>
          </cell>
          <cell r="R75">
            <v>5240.3999999999996</v>
          </cell>
          <cell r="T75" t="e">
            <v>#VALUE!</v>
          </cell>
          <cell r="U75" t="e">
            <v>#VALUE!</v>
          </cell>
          <cell r="V75" t="e">
            <v>#VALUE!</v>
          </cell>
          <cell r="W75" t="e">
            <v>#VALUE!</v>
          </cell>
          <cell r="X75" t="e">
            <v>#VALUE!</v>
          </cell>
          <cell r="Y75" t="e">
            <v>#VALUE!</v>
          </cell>
          <cell r="Z75" t="e">
            <v>#VALUE!</v>
          </cell>
          <cell r="AA75" t="e">
            <v>#VALUE!</v>
          </cell>
          <cell r="AB75" t="e">
            <v>#VALUE!</v>
          </cell>
          <cell r="AC75" t="e">
            <v>#VALUE!</v>
          </cell>
          <cell r="AD75" t="e">
            <v>#VALUE!</v>
          </cell>
          <cell r="AE75" t="e">
            <v>#VALUE!</v>
          </cell>
          <cell r="AF75" t="e">
            <v>#VALUE!</v>
          </cell>
          <cell r="AG75" t="e">
            <v>#VALUE!</v>
          </cell>
        </row>
        <row r="76">
          <cell r="A76" t="str">
            <v>40148-JT</v>
          </cell>
          <cell r="B76">
            <v>40148</v>
          </cell>
          <cell r="C76" t="str">
            <v>JTRS NED</v>
          </cell>
          <cell r="D76" t="str">
            <v>JTRS NED</v>
          </cell>
          <cell r="E76">
            <v>1300.4000000000001</v>
          </cell>
          <cell r="L76">
            <v>201.1</v>
          </cell>
          <cell r="M76">
            <v>117.6</v>
          </cell>
          <cell r="Q76">
            <v>319.89999999999998</v>
          </cell>
          <cell r="R76">
            <v>1939</v>
          </cell>
          <cell r="T76" t="e">
            <v>#VALUE!</v>
          </cell>
          <cell r="U76" t="e">
            <v>#VALUE!</v>
          </cell>
          <cell r="V76" t="e">
            <v>#VALUE!</v>
          </cell>
          <cell r="W76" t="e">
            <v>#VALUE!</v>
          </cell>
          <cell r="X76" t="e">
            <v>#VALUE!</v>
          </cell>
          <cell r="Y76" t="e">
            <v>#VALUE!</v>
          </cell>
          <cell r="Z76" t="e">
            <v>#VALUE!</v>
          </cell>
          <cell r="AA76" t="e">
            <v>#VALUE!</v>
          </cell>
          <cell r="AB76" t="e">
            <v>#VALUE!</v>
          </cell>
          <cell r="AC76" t="e">
            <v>#VALUE!</v>
          </cell>
          <cell r="AD76" t="e">
            <v>#VALUE!</v>
          </cell>
          <cell r="AE76" t="e">
            <v>#VALUE!</v>
          </cell>
          <cell r="AF76" t="e">
            <v>#VALUE!</v>
          </cell>
          <cell r="AG76" t="e">
            <v>#VALUE!</v>
          </cell>
        </row>
        <row r="77">
          <cell r="A77" t="str">
            <v>40513-AB3A REMANUF</v>
          </cell>
          <cell r="B77">
            <v>40513</v>
          </cell>
          <cell r="C77" t="str">
            <v>AB3A REMANUFACTURE</v>
          </cell>
          <cell r="D77" t="str">
            <v>AB3A REMANUFACTURE</v>
          </cell>
          <cell r="E77">
            <v>1632.9</v>
          </cell>
          <cell r="N77">
            <v>696.5</v>
          </cell>
          <cell r="O77">
            <v>704.4</v>
          </cell>
          <cell r="Q77">
            <v>8859.2999999999993</v>
          </cell>
          <cell r="R77">
            <v>11893.1</v>
          </cell>
          <cell r="T77" t="e">
            <v>#VALUE!</v>
          </cell>
          <cell r="U77" t="e">
            <v>#VALUE!</v>
          </cell>
          <cell r="V77" t="e">
            <v>#VALUE!</v>
          </cell>
          <cell r="W77" t="e">
            <v>#VALUE!</v>
          </cell>
          <cell r="X77" t="e">
            <v>#VALUE!</v>
          </cell>
          <cell r="Y77" t="e">
            <v>#VALUE!</v>
          </cell>
          <cell r="Z77" t="e">
            <v>#VALUE!</v>
          </cell>
          <cell r="AA77" t="e">
            <v>#VALUE!</v>
          </cell>
          <cell r="AB77" t="e">
            <v>#VALUE!</v>
          </cell>
          <cell r="AC77" t="e">
            <v>#VALUE!</v>
          </cell>
          <cell r="AD77" t="e">
            <v>#VALUE!</v>
          </cell>
          <cell r="AE77" t="e">
            <v>#VALUE!</v>
          </cell>
          <cell r="AF77" t="e">
            <v>#VALUE!</v>
          </cell>
          <cell r="AG77" t="e">
            <v>#VALUE!</v>
          </cell>
        </row>
        <row r="78">
          <cell r="A78" t="str">
            <v>40513-AB3B NEW</v>
          </cell>
          <cell r="B78">
            <v>40513</v>
          </cell>
          <cell r="C78" t="str">
            <v>AB3B NEW BUILD</v>
          </cell>
          <cell r="D78" t="str">
            <v>AB3B NEW BUILD</v>
          </cell>
          <cell r="E78">
            <v>0</v>
          </cell>
          <cell r="N78">
            <v>139.80000000000001</v>
          </cell>
          <cell r="O78">
            <v>548</v>
          </cell>
          <cell r="Q78">
            <v>1664.9</v>
          </cell>
          <cell r="R78">
            <v>2352.6999999999998</v>
          </cell>
          <cell r="T78" t="e">
            <v>#VALUE!</v>
          </cell>
          <cell r="U78" t="e">
            <v>#VALUE!</v>
          </cell>
          <cell r="V78" t="e">
            <v>#VALUE!</v>
          </cell>
          <cell r="W78" t="e">
            <v>#VALUE!</v>
          </cell>
          <cell r="X78" t="e">
            <v>#VALUE!</v>
          </cell>
          <cell r="Y78" t="e">
            <v>#VALUE!</v>
          </cell>
          <cell r="Z78" t="e">
            <v>#VALUE!</v>
          </cell>
          <cell r="AA78" t="e">
            <v>#VALUE!</v>
          </cell>
          <cell r="AB78" t="e">
            <v>#VALUE!</v>
          </cell>
          <cell r="AC78" t="e">
            <v>#VALUE!</v>
          </cell>
          <cell r="AD78" t="e">
            <v>#VALUE!</v>
          </cell>
          <cell r="AE78" t="e">
            <v>#VALUE!</v>
          </cell>
          <cell r="AF78" t="e">
            <v>#VALUE!</v>
          </cell>
          <cell r="AG78" t="e">
            <v>#VALUE!</v>
          </cell>
        </row>
        <row r="79">
          <cell r="A79" t="str">
            <v>40513-ATIRCM/CMWS</v>
          </cell>
          <cell r="B79">
            <v>40513</v>
          </cell>
          <cell r="C79" t="str">
            <v>ATIRCM/CMWS - ATIRCM QRC</v>
          </cell>
          <cell r="D79" t="str">
            <v>ATIRCM/CMWS SPLIT</v>
          </cell>
          <cell r="E79">
            <v>1006.6</v>
          </cell>
          <cell r="N79">
            <v>0</v>
          </cell>
          <cell r="O79">
            <v>0</v>
          </cell>
          <cell r="Q79">
            <v>0</v>
          </cell>
          <cell r="R79">
            <v>1006.6</v>
          </cell>
          <cell r="T79" t="e">
            <v>#VALUE!</v>
          </cell>
          <cell r="U79" t="e">
            <v>#VALUE!</v>
          </cell>
          <cell r="V79" t="e">
            <v>#VALUE!</v>
          </cell>
          <cell r="W79" t="e">
            <v>#VALUE!</v>
          </cell>
          <cell r="X79" t="e">
            <v>#VALUE!</v>
          </cell>
          <cell r="Y79" t="e">
            <v>#VALUE!</v>
          </cell>
          <cell r="Z79" t="e">
            <v>#VALUE!</v>
          </cell>
          <cell r="AA79" t="e">
            <v>#VALUE!</v>
          </cell>
          <cell r="AB79" t="e">
            <v>#VALUE!</v>
          </cell>
          <cell r="AC79" t="e">
            <v>#VALUE!</v>
          </cell>
          <cell r="AD79" t="e">
            <v>#VALUE!</v>
          </cell>
          <cell r="AE79" t="e">
            <v>#VALUE!</v>
          </cell>
          <cell r="AF79" t="e">
            <v>#VALUE!</v>
          </cell>
          <cell r="AG79" t="e">
            <v>#VALUE!</v>
          </cell>
        </row>
        <row r="80">
          <cell r="A80" t="str">
            <v>40513-ATIRCM/CMWS</v>
          </cell>
          <cell r="B80">
            <v>40513</v>
          </cell>
          <cell r="C80" t="str">
            <v>ATIRCM/CMWS - CMWS</v>
          </cell>
          <cell r="D80" t="str">
            <v>ATIRCM/CMWS SPLIT</v>
          </cell>
          <cell r="E80">
            <v>2717.6</v>
          </cell>
          <cell r="N80">
            <v>180</v>
          </cell>
          <cell r="O80">
            <v>163.19999999999999</v>
          </cell>
          <cell r="Q80">
            <v>547</v>
          </cell>
          <cell r="R80">
            <v>3607.8</v>
          </cell>
          <cell r="T80" t="e">
            <v>#VALUE!</v>
          </cell>
          <cell r="U80" t="e">
            <v>#VALUE!</v>
          </cell>
          <cell r="V80" t="e">
            <v>#VALUE!</v>
          </cell>
          <cell r="W80" t="e">
            <v>#VALUE!</v>
          </cell>
          <cell r="X80" t="e">
            <v>#VALUE!</v>
          </cell>
          <cell r="Y80" t="e">
            <v>#VALUE!</v>
          </cell>
          <cell r="Z80" t="e">
            <v>#VALUE!</v>
          </cell>
          <cell r="AA80" t="e">
            <v>#VALUE!</v>
          </cell>
          <cell r="AB80" t="e">
            <v>#VALUE!</v>
          </cell>
          <cell r="AC80" t="e">
            <v>#VALUE!</v>
          </cell>
          <cell r="AD80" t="e">
            <v>#VALUE!</v>
          </cell>
          <cell r="AE80" t="e">
            <v>#VALUE!</v>
          </cell>
          <cell r="AF80" t="e">
            <v>#VALUE!</v>
          </cell>
          <cell r="AG80" t="e">
            <v>#VALUE!</v>
          </cell>
        </row>
        <row r="81">
          <cell r="A81" t="str">
            <v>40513-IDECM</v>
          </cell>
          <cell r="B81">
            <v>40513</v>
          </cell>
          <cell r="C81" t="str">
            <v>IDECM - IDECM Block 4</v>
          </cell>
          <cell r="D81" t="str">
            <v>IDECM Split</v>
          </cell>
          <cell r="E81">
            <v>814.1</v>
          </cell>
          <cell r="N81">
            <v>20.2</v>
          </cell>
          <cell r="O81">
            <v>21.3</v>
          </cell>
          <cell r="Q81">
            <v>791.7</v>
          </cell>
          <cell r="R81">
            <v>1647.3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</row>
        <row r="82">
          <cell r="A82" t="str">
            <v>40513-IDECM</v>
          </cell>
          <cell r="B82">
            <v>40513</v>
          </cell>
          <cell r="C82" t="str">
            <v>IDECM - IDECM Blocks 2/3</v>
          </cell>
          <cell r="D82" t="str">
            <v>IDECM Split</v>
          </cell>
          <cell r="E82">
            <v>129.1</v>
          </cell>
          <cell r="N82">
            <v>142.5</v>
          </cell>
          <cell r="O82">
            <v>127.2</v>
          </cell>
          <cell r="Q82">
            <v>464.4</v>
          </cell>
          <cell r="R82">
            <v>863.2</v>
          </cell>
          <cell r="T82" t="e">
            <v>#VALUE!</v>
          </cell>
          <cell r="U82" t="e">
            <v>#VALUE!</v>
          </cell>
          <cell r="V82" t="e">
            <v>#VALUE!</v>
          </cell>
          <cell r="W82" t="e">
            <v>#VALUE!</v>
          </cell>
          <cell r="X82" t="e">
            <v>#VALUE!</v>
          </cell>
          <cell r="Y82" t="e">
            <v>#VALUE!</v>
          </cell>
          <cell r="Z82" t="e">
            <v>#VALUE!</v>
          </cell>
          <cell r="AA82" t="e">
            <v>#VALUE!</v>
          </cell>
          <cell r="AB82" t="e">
            <v>#VALUE!</v>
          </cell>
          <cell r="AC82" t="e">
            <v>#VALUE!</v>
          </cell>
          <cell r="AD82" t="e">
            <v>#VALUE!</v>
          </cell>
          <cell r="AE82" t="e">
            <v>#VALUE!</v>
          </cell>
          <cell r="AF82" t="e">
            <v>#VALUE!</v>
          </cell>
          <cell r="AG82" t="e">
            <v>#VALUE!</v>
          </cell>
        </row>
        <row r="83">
          <cell r="A83" t="str">
            <v>40513-JASSM</v>
          </cell>
          <cell r="B83">
            <v>40513</v>
          </cell>
          <cell r="C83" t="str">
            <v>JASSM Baseline</v>
          </cell>
          <cell r="D83" t="str">
            <v>JASSM Split</v>
          </cell>
          <cell r="E83">
            <v>2079.6</v>
          </cell>
          <cell r="N83">
            <v>157.6</v>
          </cell>
          <cell r="O83">
            <v>156.1</v>
          </cell>
          <cell r="Q83">
            <v>1256.7</v>
          </cell>
          <cell r="R83">
            <v>3650</v>
          </cell>
          <cell r="T83" t="e">
            <v>#VALUE!</v>
          </cell>
          <cell r="U83" t="e">
            <v>#VALUE!</v>
          </cell>
          <cell r="V83" t="e">
            <v>#VALUE!</v>
          </cell>
          <cell r="W83" t="e">
            <v>#VALUE!</v>
          </cell>
          <cell r="X83" t="e">
            <v>#VALUE!</v>
          </cell>
          <cell r="Y83" t="e">
            <v>#VALUE!</v>
          </cell>
          <cell r="Z83" t="e">
            <v>#VALUE!</v>
          </cell>
          <cell r="AA83" t="e">
            <v>#VALUE!</v>
          </cell>
          <cell r="AB83" t="e">
            <v>#VALUE!</v>
          </cell>
          <cell r="AC83" t="e">
            <v>#VALUE!</v>
          </cell>
          <cell r="AD83" t="e">
            <v>#VALUE!</v>
          </cell>
          <cell r="AE83" t="e">
            <v>#VALUE!</v>
          </cell>
          <cell r="AF83" t="e">
            <v>#VALUE!</v>
          </cell>
          <cell r="AG83" t="e">
            <v>#VALUE!</v>
          </cell>
        </row>
        <row r="84">
          <cell r="A84" t="str">
            <v>40513-JASSM</v>
          </cell>
          <cell r="B84">
            <v>40513</v>
          </cell>
          <cell r="C84" t="str">
            <v>JASSM -ER</v>
          </cell>
          <cell r="D84" t="str">
            <v>JASSM Split</v>
          </cell>
          <cell r="E84">
            <v>260.7</v>
          </cell>
          <cell r="N84">
            <v>84.4</v>
          </cell>
          <cell r="O84">
            <v>85.2</v>
          </cell>
          <cell r="Q84">
            <v>3957.2</v>
          </cell>
          <cell r="R84">
            <v>4387.5</v>
          </cell>
          <cell r="T84" t="e">
            <v>#VALUE!</v>
          </cell>
          <cell r="U84" t="e">
            <v>#VALUE!</v>
          </cell>
          <cell r="V84" t="e">
            <v>#VALUE!</v>
          </cell>
          <cell r="W84" t="e">
            <v>#VALUE!</v>
          </cell>
          <cell r="X84" t="e">
            <v>#VALUE!</v>
          </cell>
          <cell r="Y84" t="e">
            <v>#VALUE!</v>
          </cell>
          <cell r="Z84" t="e">
            <v>#VALUE!</v>
          </cell>
          <cell r="AA84" t="e">
            <v>#VALUE!</v>
          </cell>
          <cell r="AB84" t="e">
            <v>#VALUE!</v>
          </cell>
          <cell r="AC84" t="e">
            <v>#VALUE!</v>
          </cell>
          <cell r="AD84" t="e">
            <v>#VALUE!</v>
          </cell>
          <cell r="AE84" t="e">
            <v>#VALUE!</v>
          </cell>
          <cell r="AF84" t="e">
            <v>#VALUE!</v>
          </cell>
          <cell r="AG84" t="e">
            <v>#VALUE!</v>
          </cell>
        </row>
        <row r="85">
          <cell r="A85" t="str">
            <v>40513-JSOW</v>
          </cell>
          <cell r="B85">
            <v>40513</v>
          </cell>
          <cell r="C85" t="str">
            <v>JSOW (BASELINE/UNITARY) - BASELINE/BLU-108</v>
          </cell>
          <cell r="D85" t="str">
            <v>JSOW Split</v>
          </cell>
          <cell r="E85">
            <v>1659.9</v>
          </cell>
          <cell r="N85">
            <v>0</v>
          </cell>
          <cell r="O85">
            <v>0</v>
          </cell>
          <cell r="Q85">
            <v>240</v>
          </cell>
          <cell r="R85">
            <v>1899.9</v>
          </cell>
          <cell r="T85" t="e">
            <v>#VALUE!</v>
          </cell>
          <cell r="U85" t="e">
            <v>#VALUE!</v>
          </cell>
          <cell r="V85" t="e">
            <v>#VALUE!</v>
          </cell>
          <cell r="W85" t="e">
            <v>#VALUE!</v>
          </cell>
          <cell r="X85" t="e">
            <v>#VALUE!</v>
          </cell>
          <cell r="Y85" t="e">
            <v>#VALUE!</v>
          </cell>
          <cell r="Z85" t="e">
            <v>#VALUE!</v>
          </cell>
          <cell r="AA85" t="e">
            <v>#VALUE!</v>
          </cell>
          <cell r="AB85" t="e">
            <v>#VALUE!</v>
          </cell>
          <cell r="AC85" t="e">
            <v>#VALUE!</v>
          </cell>
          <cell r="AD85" t="e">
            <v>#VALUE!</v>
          </cell>
          <cell r="AE85" t="e">
            <v>#VALUE!</v>
          </cell>
          <cell r="AF85" t="e">
            <v>#VALUE!</v>
          </cell>
          <cell r="AG85" t="e">
            <v>#VALUE!</v>
          </cell>
        </row>
        <row r="86">
          <cell r="A86" t="str">
            <v>40513-JSOW</v>
          </cell>
          <cell r="B86">
            <v>40513</v>
          </cell>
          <cell r="C86" t="str">
            <v>JSOW (BASELINE/UNITARY) - UNITARY</v>
          </cell>
          <cell r="D86" t="str">
            <v>JSOW Split</v>
          </cell>
          <cell r="E86">
            <v>1410.1</v>
          </cell>
          <cell r="N86">
            <v>145.4</v>
          </cell>
          <cell r="O86">
            <v>148.6</v>
          </cell>
          <cell r="Q86">
            <v>1709.1</v>
          </cell>
          <cell r="R86">
            <v>3413.2</v>
          </cell>
          <cell r="T86" t="e">
            <v>#VALUE!</v>
          </cell>
          <cell r="U86" t="e">
            <v>#VALUE!</v>
          </cell>
          <cell r="V86" t="e">
            <v>#VALUE!</v>
          </cell>
          <cell r="W86" t="e">
            <v>#VALUE!</v>
          </cell>
          <cell r="X86" t="e">
            <v>#VALUE!</v>
          </cell>
          <cell r="Y86" t="e">
            <v>#VALUE!</v>
          </cell>
          <cell r="Z86" t="e">
            <v>#VALUE!</v>
          </cell>
          <cell r="AA86" t="e">
            <v>#VALUE!</v>
          </cell>
          <cell r="AB86" t="e">
            <v>#VALUE!</v>
          </cell>
          <cell r="AC86" t="e">
            <v>#VALUE!</v>
          </cell>
          <cell r="AD86" t="e">
            <v>#VALUE!</v>
          </cell>
          <cell r="AE86" t="e">
            <v>#VALUE!</v>
          </cell>
          <cell r="AF86" t="e">
            <v>#VALUE!</v>
          </cell>
          <cell r="AG86" t="e">
            <v>#VALUE!</v>
          </cell>
        </row>
        <row r="87">
          <cell r="A87" t="str">
            <v>40513-NAVSTAR GPS</v>
          </cell>
          <cell r="B87">
            <v>40513</v>
          </cell>
          <cell r="C87" t="str">
            <v>NAVSTAR GPS - SPACE &amp; CONTROL</v>
          </cell>
          <cell r="D87" t="str">
            <v>NAVSTAR GPS SPLIT</v>
          </cell>
          <cell r="E87">
            <v>6212.7</v>
          </cell>
          <cell r="N87">
            <v>93.2</v>
          </cell>
          <cell r="O87">
            <v>84.3</v>
          </cell>
          <cell r="Q87">
            <v>92.8</v>
          </cell>
          <cell r="R87">
            <v>6483</v>
          </cell>
          <cell r="T87" t="e">
            <v>#VALUE!</v>
          </cell>
          <cell r="U87" t="e">
            <v>#VALUE!</v>
          </cell>
          <cell r="V87" t="e">
            <v>#VALUE!</v>
          </cell>
          <cell r="W87" t="e">
            <v>#VALUE!</v>
          </cell>
          <cell r="X87" t="e">
            <v>#VALUE!</v>
          </cell>
          <cell r="Y87" t="e">
            <v>#VALUE!</v>
          </cell>
          <cell r="Z87" t="e">
            <v>#VALUE!</v>
          </cell>
          <cell r="AA87" t="e">
            <v>#VALUE!</v>
          </cell>
          <cell r="AB87" t="e">
            <v>#VALUE!</v>
          </cell>
          <cell r="AC87" t="e">
            <v>#VALUE!</v>
          </cell>
          <cell r="AD87" t="e">
            <v>#VALUE!</v>
          </cell>
          <cell r="AE87" t="e">
            <v>#VALUE!</v>
          </cell>
          <cell r="AF87" t="e">
            <v>#VALUE!</v>
          </cell>
          <cell r="AG87" t="e">
            <v>#VALUE!</v>
          </cell>
        </row>
        <row r="88">
          <cell r="A88" t="str">
            <v>40513-NAVSTAR GPS</v>
          </cell>
          <cell r="B88">
            <v>40513</v>
          </cell>
          <cell r="C88" t="str">
            <v>NAVSTAR GPS - USER EQUIPMENT</v>
          </cell>
          <cell r="D88" t="str">
            <v>NAVSTAR GPS SPLIT</v>
          </cell>
          <cell r="E88">
            <v>1282.9000000000001</v>
          </cell>
          <cell r="N88">
            <v>104</v>
          </cell>
          <cell r="O88">
            <v>0</v>
          </cell>
          <cell r="Q88">
            <v>0</v>
          </cell>
          <cell r="R88">
            <v>1386.9</v>
          </cell>
          <cell r="T88" t="e">
            <v>#VALUE!</v>
          </cell>
          <cell r="U88" t="e">
            <v>#VALUE!</v>
          </cell>
          <cell r="V88" t="e">
            <v>#VALUE!</v>
          </cell>
          <cell r="W88" t="e">
            <v>#VALUE!</v>
          </cell>
          <cell r="X88" t="e">
            <v>#VALUE!</v>
          </cell>
          <cell r="Y88" t="e">
            <v>#VALUE!</v>
          </cell>
          <cell r="Z88" t="e">
            <v>#VALUE!</v>
          </cell>
          <cell r="AA88" t="e">
            <v>#VALUE!</v>
          </cell>
          <cell r="AB88" t="e">
            <v>#VALUE!</v>
          </cell>
          <cell r="AC88" t="e">
            <v>#VALUE!</v>
          </cell>
          <cell r="AD88" t="e">
            <v>#VALUE!</v>
          </cell>
          <cell r="AE88" t="e">
            <v>#VALUE!</v>
          </cell>
          <cell r="AF88" t="e">
            <v>#VALUE!</v>
          </cell>
          <cell r="AG88" t="e">
            <v>#VALUE!</v>
          </cell>
        </row>
        <row r="89">
          <cell r="A89" t="str">
            <v>40513-PATRIOT/MEADS CAP</v>
          </cell>
          <cell r="B89">
            <v>40513</v>
          </cell>
          <cell r="C89" t="str">
            <v>PATRIOT/MEADS CAP - FIRE UNIT</v>
          </cell>
          <cell r="D89" t="str">
            <v>PATRIOT/MEADS CAP SPLIT</v>
          </cell>
          <cell r="E89">
            <v>2403.1</v>
          </cell>
          <cell r="N89">
            <v>406.6</v>
          </cell>
          <cell r="O89">
            <v>493.8</v>
          </cell>
          <cell r="Q89">
            <v>0</v>
          </cell>
          <cell r="R89">
            <v>3303.5</v>
          </cell>
          <cell r="T89" t="e">
            <v>#VALUE!</v>
          </cell>
          <cell r="U89" t="e">
            <v>#VALUE!</v>
          </cell>
          <cell r="V89" t="e">
            <v>#VALUE!</v>
          </cell>
          <cell r="W89" t="e">
            <v>#VALUE!</v>
          </cell>
          <cell r="X89" t="e">
            <v>#VALUE!</v>
          </cell>
          <cell r="Y89" t="e">
            <v>#VALUE!</v>
          </cell>
          <cell r="Z89" t="e">
            <v>#VALUE!</v>
          </cell>
          <cell r="AA89" t="e">
            <v>#VALUE!</v>
          </cell>
          <cell r="AB89" t="e">
            <v>#VALUE!</v>
          </cell>
          <cell r="AC89" t="e">
            <v>#VALUE!</v>
          </cell>
          <cell r="AD89" t="e">
            <v>#VALUE!</v>
          </cell>
          <cell r="AE89" t="e">
            <v>#VALUE!</v>
          </cell>
          <cell r="AF89" t="e">
            <v>#VALUE!</v>
          </cell>
          <cell r="AG89" t="e">
            <v>#VALUE!</v>
          </cell>
        </row>
        <row r="90">
          <cell r="A90" t="str">
            <v>40513-PATRIOT/MEADS CAP</v>
          </cell>
          <cell r="B90">
            <v>40513</v>
          </cell>
          <cell r="C90" t="str">
            <v>PATRIOT/MEADS CAP - MISSILE</v>
          </cell>
          <cell r="D90" t="str">
            <v>PATRIOT/MEADS CAP SPLIT</v>
          </cell>
          <cell r="E90">
            <v>602.6</v>
          </cell>
          <cell r="N90">
            <v>164</v>
          </cell>
          <cell r="O90">
            <v>627.79999999999995</v>
          </cell>
          <cell r="Q90">
            <v>7865.4</v>
          </cell>
          <cell r="R90">
            <v>9259.7999999999993</v>
          </cell>
          <cell r="T90" t="e">
            <v>#VALUE!</v>
          </cell>
          <cell r="U90" t="e">
            <v>#VALUE!</v>
          </cell>
          <cell r="V90" t="e">
            <v>#VALUE!</v>
          </cell>
          <cell r="W90" t="e">
            <v>#VALUE!</v>
          </cell>
          <cell r="X90" t="e">
            <v>#VALUE!</v>
          </cell>
          <cell r="Y90" t="e">
            <v>#VALUE!</v>
          </cell>
          <cell r="Z90" t="e">
            <v>#VALUE!</v>
          </cell>
          <cell r="AA90" t="e">
            <v>#VALUE!</v>
          </cell>
          <cell r="AB90" t="e">
            <v>#VALUE!</v>
          </cell>
          <cell r="AC90" t="e">
            <v>#VALUE!</v>
          </cell>
          <cell r="AD90" t="e">
            <v>#VALUE!</v>
          </cell>
          <cell r="AE90" t="e">
            <v>#VALUE!</v>
          </cell>
          <cell r="AF90" t="e">
            <v>#VALUE!</v>
          </cell>
          <cell r="AG90" t="e">
            <v>#VALUE!</v>
          </cell>
        </row>
        <row r="91">
          <cell r="A91" t="str">
            <v>40878-AB3A REMANUF</v>
          </cell>
          <cell r="B91">
            <v>40878</v>
          </cell>
          <cell r="C91" t="str">
            <v>AB3A REMANUFACTURE</v>
          </cell>
          <cell r="D91" t="str">
            <v>AB3A REMANUFACTURE</v>
          </cell>
          <cell r="E91">
            <v>1661.9</v>
          </cell>
          <cell r="N91">
            <v>654</v>
          </cell>
          <cell r="O91">
            <v>809.3</v>
          </cell>
          <cell r="Q91">
            <v>8843.1</v>
          </cell>
          <cell r="R91">
            <v>11968.3</v>
          </cell>
          <cell r="T91" t="e">
            <v>#VALUE!</v>
          </cell>
          <cell r="U91" t="e">
            <v>#VALUE!</v>
          </cell>
          <cell r="V91" t="e">
            <v>#VALUE!</v>
          </cell>
          <cell r="W91" t="e">
            <v>#VALUE!</v>
          </cell>
          <cell r="X91" t="e">
            <v>#VALUE!</v>
          </cell>
          <cell r="Y91" t="e">
            <v>#VALUE!</v>
          </cell>
          <cell r="Z91" t="e">
            <v>#VALUE!</v>
          </cell>
          <cell r="AA91" t="e">
            <v>#VALUE!</v>
          </cell>
          <cell r="AB91" t="e">
            <v>#VALUE!</v>
          </cell>
          <cell r="AC91" t="e">
            <v>#VALUE!</v>
          </cell>
          <cell r="AD91" t="e">
            <v>#VALUE!</v>
          </cell>
          <cell r="AE91" t="e">
            <v>#VALUE!</v>
          </cell>
          <cell r="AF91" t="e">
            <v>#VALUE!</v>
          </cell>
          <cell r="AG91" t="e">
            <v>#VALUE!</v>
          </cell>
        </row>
        <row r="92">
          <cell r="A92" t="str">
            <v>40878-AB3B NEW</v>
          </cell>
          <cell r="B92">
            <v>40878</v>
          </cell>
          <cell r="C92" t="str">
            <v>AB3B NEW BUILD</v>
          </cell>
          <cell r="D92" t="str">
            <v>AB3B NEW BUILD</v>
          </cell>
          <cell r="E92" t="str">
            <v>-</v>
          </cell>
          <cell r="N92">
            <v>104.2</v>
          </cell>
          <cell r="O92">
            <v>371.1</v>
          </cell>
          <cell r="Q92">
            <v>1680.5</v>
          </cell>
          <cell r="R92">
            <v>2155.8000000000002</v>
          </cell>
          <cell r="T92" t="e">
            <v>#VALUE!</v>
          </cell>
          <cell r="U92" t="e">
            <v>#VALUE!</v>
          </cell>
          <cell r="V92" t="e">
            <v>#VALUE!</v>
          </cell>
          <cell r="W92" t="e">
            <v>#VALUE!</v>
          </cell>
          <cell r="X92" t="e">
            <v>#VALUE!</v>
          </cell>
          <cell r="Y92" t="e">
            <v>#VALUE!</v>
          </cell>
          <cell r="Z92" t="e">
            <v>#VALUE!</v>
          </cell>
          <cell r="AA92" t="e">
            <v>#VALUE!</v>
          </cell>
          <cell r="AB92" t="e">
            <v>#VALUE!</v>
          </cell>
          <cell r="AC92" t="e">
            <v>#VALUE!</v>
          </cell>
          <cell r="AD92" t="e">
            <v>#VALUE!</v>
          </cell>
          <cell r="AE92" t="e">
            <v>#VALUE!</v>
          </cell>
          <cell r="AF92" t="e">
            <v>#VALUE!</v>
          </cell>
          <cell r="AG92" t="e">
            <v>#VALUE!</v>
          </cell>
        </row>
        <row r="93">
          <cell r="A93" t="str">
            <v>40878-IDECM</v>
          </cell>
          <cell r="B93">
            <v>40878</v>
          </cell>
          <cell r="C93" t="str">
            <v>IDECM - IDECM Blocks 2/3</v>
          </cell>
          <cell r="D93" t="str">
            <v>IDECM Split</v>
          </cell>
          <cell r="E93">
            <v>126.7</v>
          </cell>
          <cell r="N93">
            <v>106.2</v>
          </cell>
          <cell r="O93">
            <v>93.1</v>
          </cell>
          <cell r="Q93">
            <v>580.1</v>
          </cell>
          <cell r="R93">
            <v>906.1</v>
          </cell>
          <cell r="T93" t="e">
            <v>#VALUE!</v>
          </cell>
          <cell r="U93" t="e">
            <v>#VALUE!</v>
          </cell>
          <cell r="V93" t="e">
            <v>#VALUE!</v>
          </cell>
          <cell r="W93" t="e">
            <v>#VALUE!</v>
          </cell>
          <cell r="X93" t="e">
            <v>#VALUE!</v>
          </cell>
          <cell r="Y93" t="e">
            <v>#VALUE!</v>
          </cell>
          <cell r="Z93" t="e">
            <v>#VALUE!</v>
          </cell>
          <cell r="AA93" t="e">
            <v>#VALUE!</v>
          </cell>
          <cell r="AB93" t="e">
            <v>#VALUE!</v>
          </cell>
          <cell r="AC93" t="e">
            <v>#VALUE!</v>
          </cell>
          <cell r="AD93" t="e">
            <v>#VALUE!</v>
          </cell>
          <cell r="AE93" t="e">
            <v>#VALUE!</v>
          </cell>
          <cell r="AF93" t="e">
            <v>#VALUE!</v>
          </cell>
          <cell r="AG93" t="e">
            <v>#VALUE!</v>
          </cell>
        </row>
        <row r="94">
          <cell r="A94" t="str">
            <v>40878-IDECM</v>
          </cell>
          <cell r="B94">
            <v>40878</v>
          </cell>
          <cell r="C94" t="str">
            <v>IDECM - IDECM Block 4</v>
          </cell>
          <cell r="D94" t="str">
            <v>IDECM Split</v>
          </cell>
          <cell r="E94">
            <v>815.8</v>
          </cell>
          <cell r="N94">
            <v>20.2</v>
          </cell>
          <cell r="O94">
            <v>20.9</v>
          </cell>
          <cell r="Q94">
            <v>806.3</v>
          </cell>
          <cell r="R94">
            <v>1663.2</v>
          </cell>
          <cell r="T94" t="e">
            <v>#VALUE!</v>
          </cell>
          <cell r="U94" t="e">
            <v>#VALUE!</v>
          </cell>
          <cell r="V94" t="e">
            <v>#VALUE!</v>
          </cell>
          <cell r="W94" t="e">
            <v>#VALUE!</v>
          </cell>
          <cell r="X94" t="e">
            <v>#VALUE!</v>
          </cell>
          <cell r="Y94" t="e">
            <v>#VALUE!</v>
          </cell>
          <cell r="Z94" t="e">
            <v>#VALUE!</v>
          </cell>
          <cell r="AA94" t="e">
            <v>#VALUE!</v>
          </cell>
          <cell r="AB94" t="e">
            <v>#VALUE!</v>
          </cell>
          <cell r="AC94" t="e">
            <v>#VALUE!</v>
          </cell>
          <cell r="AD94" t="e">
            <v>#VALUE!</v>
          </cell>
          <cell r="AE94" t="e">
            <v>#VALUE!</v>
          </cell>
          <cell r="AF94" t="e">
            <v>#VALUE!</v>
          </cell>
          <cell r="AG94" t="e">
            <v>#VALUE!</v>
          </cell>
        </row>
        <row r="95">
          <cell r="A95" t="str">
            <v>40878-JASSM</v>
          </cell>
          <cell r="B95">
            <v>40878</v>
          </cell>
          <cell r="C95" t="str">
            <v>JASSM - JASSM Baseline</v>
          </cell>
          <cell r="D95" t="str">
            <v>JASSM Split</v>
          </cell>
          <cell r="E95">
            <v>2093.9</v>
          </cell>
          <cell r="N95">
            <v>167.2</v>
          </cell>
          <cell r="O95">
            <v>159.1</v>
          </cell>
          <cell r="Q95">
            <v>1135.4000000000001</v>
          </cell>
          <cell r="R95">
            <v>3555.6</v>
          </cell>
          <cell r="T95" t="e">
            <v>#VALUE!</v>
          </cell>
          <cell r="U95" t="e">
            <v>#VALUE!</v>
          </cell>
          <cell r="V95" t="e">
            <v>#VALUE!</v>
          </cell>
          <cell r="W95" t="e">
            <v>#VALUE!</v>
          </cell>
          <cell r="X95" t="e">
            <v>#VALUE!</v>
          </cell>
          <cell r="Y95" t="e">
            <v>#VALUE!</v>
          </cell>
          <cell r="Z95" t="e">
            <v>#VALUE!</v>
          </cell>
          <cell r="AA95" t="e">
            <v>#VALUE!</v>
          </cell>
          <cell r="AB95" t="e">
            <v>#VALUE!</v>
          </cell>
          <cell r="AC95" t="e">
            <v>#VALUE!</v>
          </cell>
          <cell r="AD95" t="e">
            <v>#VALUE!</v>
          </cell>
          <cell r="AE95" t="e">
            <v>#VALUE!</v>
          </cell>
          <cell r="AF95" t="e">
            <v>#VALUE!</v>
          </cell>
          <cell r="AG95" t="e">
            <v>#VALUE!</v>
          </cell>
        </row>
        <row r="96">
          <cell r="A96" t="str">
            <v>40878-JASSM</v>
          </cell>
          <cell r="B96">
            <v>40878</v>
          </cell>
          <cell r="C96" t="str">
            <v>JASSM - JASSM-ER</v>
          </cell>
          <cell r="D96" t="str">
            <v>JASSM Split</v>
          </cell>
          <cell r="E96">
            <v>249.4</v>
          </cell>
          <cell r="N96">
            <v>74.8</v>
          </cell>
          <cell r="O96">
            <v>89.2</v>
          </cell>
          <cell r="Q96">
            <v>3337.1</v>
          </cell>
          <cell r="R96">
            <v>3750.5</v>
          </cell>
          <cell r="T96" t="e">
            <v>#VALUE!</v>
          </cell>
          <cell r="U96" t="e">
            <v>#VALUE!</v>
          </cell>
          <cell r="V96" t="e">
            <v>#VALUE!</v>
          </cell>
          <cell r="W96" t="e">
            <v>#VALUE!</v>
          </cell>
          <cell r="X96" t="e">
            <v>#VALUE!</v>
          </cell>
          <cell r="Y96" t="e">
            <v>#VALUE!</v>
          </cell>
          <cell r="Z96" t="e">
            <v>#VALUE!</v>
          </cell>
          <cell r="AA96" t="e">
            <v>#VALUE!</v>
          </cell>
          <cell r="AB96" t="e">
            <v>#VALUE!</v>
          </cell>
          <cell r="AC96" t="e">
            <v>#VALUE!</v>
          </cell>
          <cell r="AD96" t="e">
            <v>#VALUE!</v>
          </cell>
          <cell r="AE96" t="e">
            <v>#VALUE!</v>
          </cell>
          <cell r="AF96" t="e">
            <v>#VALUE!</v>
          </cell>
          <cell r="AG96" t="e">
            <v>#VALUE!</v>
          </cell>
        </row>
        <row r="97">
          <cell r="A97" t="str">
            <v>40878-JSOW</v>
          </cell>
          <cell r="B97">
            <v>40878</v>
          </cell>
          <cell r="C97" t="str">
            <v>JSOW (BASELINE/UNITARY) - BASELINE/BLU-108</v>
          </cell>
          <cell r="D97" t="str">
            <v>JSOW Split</v>
          </cell>
          <cell r="E97">
            <v>1659.9</v>
          </cell>
          <cell r="N97" t="str">
            <v>-</v>
          </cell>
          <cell r="O97" t="str">
            <v>-</v>
          </cell>
          <cell r="Q97">
            <v>213.4</v>
          </cell>
          <cell r="R97">
            <v>1873.3</v>
          </cell>
          <cell r="T97" t="e">
            <v>#VALUE!</v>
          </cell>
          <cell r="U97" t="e">
            <v>#VALUE!</v>
          </cell>
          <cell r="V97" t="e">
            <v>#VALUE!</v>
          </cell>
          <cell r="W97" t="e">
            <v>#VALUE!</v>
          </cell>
          <cell r="X97" t="e">
            <v>#VALUE!</v>
          </cell>
          <cell r="Y97" t="e">
            <v>#VALUE!</v>
          </cell>
          <cell r="Z97" t="e">
            <v>#VALUE!</v>
          </cell>
          <cell r="AA97" t="e">
            <v>#VALUE!</v>
          </cell>
          <cell r="AB97" t="e">
            <v>#VALUE!</v>
          </cell>
          <cell r="AC97" t="e">
            <v>#VALUE!</v>
          </cell>
          <cell r="AD97" t="e">
            <v>#VALUE!</v>
          </cell>
          <cell r="AE97" t="e">
            <v>#VALUE!</v>
          </cell>
          <cell r="AF97" t="e">
            <v>#VALUE!</v>
          </cell>
          <cell r="AG97" t="e">
            <v>#VALUE!</v>
          </cell>
        </row>
        <row r="98">
          <cell r="A98" t="str">
            <v>40878-JSOW</v>
          </cell>
          <cell r="B98">
            <v>40878</v>
          </cell>
          <cell r="C98" t="str">
            <v>JSOW (BASELINE/UNITARY) - UNITARY</v>
          </cell>
          <cell r="D98" t="str">
            <v>JSOW Split</v>
          </cell>
          <cell r="E98">
            <v>1409.8</v>
          </cell>
          <cell r="N98">
            <v>139.4</v>
          </cell>
          <cell r="O98">
            <v>133.30000000000001</v>
          </cell>
          <cell r="Q98">
            <v>1690.9</v>
          </cell>
          <cell r="R98">
            <v>3373.4</v>
          </cell>
          <cell r="T98" t="e">
            <v>#VALUE!</v>
          </cell>
          <cell r="U98" t="e">
            <v>#VALUE!</v>
          </cell>
          <cell r="V98" t="e">
            <v>#VALUE!</v>
          </cell>
          <cell r="W98" t="e">
            <v>#VALUE!</v>
          </cell>
          <cell r="X98" t="e">
            <v>#VALUE!</v>
          </cell>
          <cell r="Y98" t="e">
            <v>#VALUE!</v>
          </cell>
          <cell r="Z98" t="e">
            <v>#VALUE!</v>
          </cell>
          <cell r="AA98" t="e">
            <v>#VALUE!</v>
          </cell>
          <cell r="AB98" t="e">
            <v>#VALUE!</v>
          </cell>
          <cell r="AC98" t="e">
            <v>#VALUE!</v>
          </cell>
          <cell r="AD98" t="e">
            <v>#VALUE!</v>
          </cell>
          <cell r="AE98" t="e">
            <v>#VALUE!</v>
          </cell>
          <cell r="AF98" t="e">
            <v>#VALUE!</v>
          </cell>
          <cell r="AG98" t="e">
            <v>#VALUE!</v>
          </cell>
        </row>
        <row r="99">
          <cell r="A99" t="str">
            <v>40878-NAVSTAR GPS</v>
          </cell>
          <cell r="B99">
            <v>40878</v>
          </cell>
          <cell r="C99" t="str">
            <v>NAVSTAR GPS - SPACE &amp; CONTROL</v>
          </cell>
          <cell r="D99" t="str">
            <v>NAVSTAR GPS SPLIT</v>
          </cell>
          <cell r="E99">
            <v>6264</v>
          </cell>
          <cell r="N99">
            <v>133</v>
          </cell>
          <cell r="O99">
            <v>80.3</v>
          </cell>
          <cell r="Q99">
            <v>104.1</v>
          </cell>
          <cell r="R99">
            <v>6581.4</v>
          </cell>
          <cell r="T99" t="e">
            <v>#VALUE!</v>
          </cell>
          <cell r="U99" t="e">
            <v>#VALUE!</v>
          </cell>
          <cell r="V99" t="e">
            <v>#VALUE!</v>
          </cell>
          <cell r="W99" t="e">
            <v>#VALUE!</v>
          </cell>
          <cell r="X99" t="e">
            <v>#VALUE!</v>
          </cell>
          <cell r="Y99" t="e">
            <v>#VALUE!</v>
          </cell>
          <cell r="Z99" t="e">
            <v>#VALUE!</v>
          </cell>
          <cell r="AA99" t="e">
            <v>#VALUE!</v>
          </cell>
          <cell r="AB99" t="e">
            <v>#VALUE!</v>
          </cell>
          <cell r="AC99" t="e">
            <v>#VALUE!</v>
          </cell>
          <cell r="AD99" t="e">
            <v>#VALUE!</v>
          </cell>
          <cell r="AE99" t="e">
            <v>#VALUE!</v>
          </cell>
          <cell r="AF99" t="e">
            <v>#VALUE!</v>
          </cell>
          <cell r="AG99" t="e">
            <v>#VALUE!</v>
          </cell>
        </row>
        <row r="100">
          <cell r="A100" t="str">
            <v>40878-NAVSTAR GPS</v>
          </cell>
          <cell r="B100">
            <v>40878</v>
          </cell>
          <cell r="C100" t="str">
            <v>NAVSTAR GPS - USER EQUIPMENT</v>
          </cell>
          <cell r="D100" t="str">
            <v>NAVSTAR GPS SPLIT</v>
          </cell>
          <cell r="E100">
            <v>1272.8</v>
          </cell>
          <cell r="N100">
            <v>104</v>
          </cell>
          <cell r="O100">
            <v>29.6</v>
          </cell>
          <cell r="Q100" t="str">
            <v>-</v>
          </cell>
          <cell r="R100">
            <v>1406.4</v>
          </cell>
          <cell r="T100" t="e">
            <v>#VALUE!</v>
          </cell>
          <cell r="U100" t="e">
            <v>#VALUE!</v>
          </cell>
          <cell r="V100" t="e">
            <v>#VALUE!</v>
          </cell>
          <cell r="W100" t="e">
            <v>#VALUE!</v>
          </cell>
          <cell r="X100" t="e">
            <v>#VALUE!</v>
          </cell>
          <cell r="Y100" t="e">
            <v>#VALUE!</v>
          </cell>
          <cell r="Z100" t="e">
            <v>#VALUE!</v>
          </cell>
          <cell r="AA100" t="e">
            <v>#VALUE!</v>
          </cell>
          <cell r="AB100" t="e">
            <v>#VALUE!</v>
          </cell>
          <cell r="AC100" t="e">
            <v>#VALUE!</v>
          </cell>
          <cell r="AD100" t="e">
            <v>#VALUE!</v>
          </cell>
          <cell r="AE100" t="e">
            <v>#VALUE!</v>
          </cell>
          <cell r="AF100" t="e">
            <v>#VALUE!</v>
          </cell>
          <cell r="AG100" t="e">
            <v>#VALUE!</v>
          </cell>
        </row>
        <row r="101">
          <cell r="A101" t="str">
            <v>40878-PATRIOT/MEADS CAP</v>
          </cell>
          <cell r="B101">
            <v>40878</v>
          </cell>
          <cell r="C101" t="str">
            <v>PATRIOT/MEADS CAP - FIRE UNIT</v>
          </cell>
          <cell r="D101" t="str">
            <v>PATRIOT/MEADS CAP SPLIT</v>
          </cell>
          <cell r="E101">
            <v>2386.6</v>
          </cell>
          <cell r="N101">
            <v>389.6</v>
          </cell>
          <cell r="O101">
            <v>400.9</v>
          </cell>
          <cell r="Q101" t="str">
            <v>-</v>
          </cell>
          <cell r="R101">
            <v>3177.1</v>
          </cell>
          <cell r="T101" t="e">
            <v>#VALUE!</v>
          </cell>
          <cell r="U101" t="e">
            <v>#VALUE!</v>
          </cell>
          <cell r="V101" t="e">
            <v>#VALUE!</v>
          </cell>
          <cell r="W101" t="e">
            <v>#VALUE!</v>
          </cell>
          <cell r="X101" t="e">
            <v>#VALUE!</v>
          </cell>
          <cell r="Y101" t="e">
            <v>#VALUE!</v>
          </cell>
          <cell r="Z101" t="e">
            <v>#VALUE!</v>
          </cell>
          <cell r="AA101" t="e">
            <v>#VALUE!</v>
          </cell>
          <cell r="AB101" t="e">
            <v>#VALUE!</v>
          </cell>
          <cell r="AC101" t="e">
            <v>#VALUE!</v>
          </cell>
          <cell r="AD101" t="e">
            <v>#VALUE!</v>
          </cell>
          <cell r="AE101" t="e">
            <v>#VALUE!</v>
          </cell>
          <cell r="AF101" t="e">
            <v>#VALUE!</v>
          </cell>
          <cell r="AG101" t="e">
            <v>#VALUE!</v>
          </cell>
        </row>
        <row r="102">
          <cell r="A102" t="str">
            <v>40878-PATRIOT/MEADS CAP</v>
          </cell>
          <cell r="B102">
            <v>40878</v>
          </cell>
          <cell r="C102" t="str">
            <v>PATRIOT/MEADS CAP - MISSILE</v>
          </cell>
          <cell r="D102" t="str">
            <v>PATRIOT/MEADS CAP SPLIT</v>
          </cell>
          <cell r="E102">
            <v>661.6</v>
          </cell>
          <cell r="N102">
            <v>164</v>
          </cell>
          <cell r="O102">
            <v>50.5</v>
          </cell>
          <cell r="Q102">
            <v>8899</v>
          </cell>
          <cell r="R102">
            <v>9775.1</v>
          </cell>
          <cell r="T102" t="e">
            <v>#VALUE!</v>
          </cell>
          <cell r="U102" t="e">
            <v>#VALUE!</v>
          </cell>
          <cell r="V102" t="e">
            <v>#VALUE!</v>
          </cell>
          <cell r="W102" t="e">
            <v>#VALUE!</v>
          </cell>
          <cell r="X102" t="e">
            <v>#VALUE!</v>
          </cell>
          <cell r="Y102" t="e">
            <v>#VALUE!</v>
          </cell>
          <cell r="Z102" t="e">
            <v>#VALUE!</v>
          </cell>
          <cell r="AA102" t="e">
            <v>#VALUE!</v>
          </cell>
          <cell r="AB102" t="e">
            <v>#VALUE!</v>
          </cell>
          <cell r="AC102" t="e">
            <v>#VALUE!</v>
          </cell>
          <cell r="AD102" t="e">
            <v>#VALUE!</v>
          </cell>
          <cell r="AE102" t="e">
            <v>#VALUE!</v>
          </cell>
          <cell r="AF102" t="e">
            <v>#VALUE!</v>
          </cell>
          <cell r="AG102" t="e">
            <v>#VALUE!</v>
          </cell>
        </row>
        <row r="112">
          <cell r="F112" t="str">
            <v>(SARs Table 2-3)</v>
          </cell>
        </row>
        <row r="113">
          <cell r="C113" t="str">
            <v xml:space="preserve">Cost Changes Between the Baseline and Current Estimate
</v>
          </cell>
          <cell r="F113" t="str">
            <v>Base Year $s</v>
          </cell>
          <cell r="G113" t="str">
            <v>Base Year $s</v>
          </cell>
          <cell r="H113" t="str">
            <v>Base Year $s</v>
          </cell>
          <cell r="I113" t="str">
            <v>Base Year $s</v>
          </cell>
          <cell r="J113" t="str">
            <v>Base Year $s</v>
          </cell>
          <cell r="K113" t="str">
            <v>Base Year $s</v>
          </cell>
          <cell r="L113" t="str">
            <v>Base Year $s</v>
          </cell>
          <cell r="M113" t="str">
            <v>Base Year $s</v>
          </cell>
          <cell r="N113" t="str">
            <v>Base Year $s</v>
          </cell>
          <cell r="O113" t="str">
            <v>Base Year $s</v>
          </cell>
          <cell r="P113" t="str">
            <v>Base Year $s</v>
          </cell>
          <cell r="Q113" t="str">
            <v>Base Year $s</v>
          </cell>
          <cell r="R113" t="str">
            <v>Base Year $s</v>
          </cell>
          <cell r="S113" t="str">
            <v>Base Year $s</v>
          </cell>
          <cell r="T113" t="str">
            <v>Then Year</v>
          </cell>
          <cell r="U113" t="str">
            <v>Then Year</v>
          </cell>
          <cell r="V113" t="str">
            <v>Then Year</v>
          </cell>
          <cell r="W113" t="str">
            <v>Then Year</v>
          </cell>
          <cell r="X113" t="str">
            <v>Then Year</v>
          </cell>
          <cell r="Y113" t="str">
            <v>Then Year</v>
          </cell>
          <cell r="Z113" t="str">
            <v>Then Year</v>
          </cell>
          <cell r="AA113" t="str">
            <v>Then Year</v>
          </cell>
          <cell r="AB113" t="str">
            <v>Then Year</v>
          </cell>
          <cell r="AC113" t="str">
            <v>Then Year</v>
          </cell>
          <cell r="AD113" t="str">
            <v>Then Year</v>
          </cell>
          <cell r="AE113" t="str">
            <v>Then Year</v>
          </cell>
          <cell r="AF113" t="str">
            <v>Then Year</v>
          </cell>
          <cell r="AG113" t="str">
            <v>Then Year</v>
          </cell>
          <cell r="AH113" t="str">
            <v>Then Year</v>
          </cell>
          <cell r="AI113" t="str">
            <v>Then Year</v>
          </cell>
          <cell r="AJ113" t="str">
            <v>Base Year $s</v>
          </cell>
          <cell r="AK113" t="str">
            <v>Base Year $s</v>
          </cell>
          <cell r="AL113" t="str">
            <v>Base Year $s</v>
          </cell>
          <cell r="AM113" t="str">
            <v>Base Year $s</v>
          </cell>
          <cell r="AN113" t="str">
            <v>Base Year $s</v>
          </cell>
          <cell r="AO113" t="str">
            <v>Base Year $s</v>
          </cell>
          <cell r="AP113" t="str">
            <v>Base Year $s</v>
          </cell>
          <cell r="AQ113" t="str">
            <v>Base Year $s</v>
          </cell>
          <cell r="AR113" t="str">
            <v>Base Year $s</v>
          </cell>
          <cell r="AS113" t="str">
            <v>Base Year $s</v>
          </cell>
          <cell r="AT113" t="str">
            <v>Base Year $s</v>
          </cell>
          <cell r="AU113" t="str">
            <v>Base Year $s</v>
          </cell>
          <cell r="AV113" t="str">
            <v>Base Year $s</v>
          </cell>
          <cell r="AW113" t="str">
            <v>Base Year $s</v>
          </cell>
          <cell r="AX113" t="str">
            <v>Then Year</v>
          </cell>
          <cell r="AY113" t="str">
            <v>Then Year</v>
          </cell>
          <cell r="AZ113" t="str">
            <v>Then Year</v>
          </cell>
          <cell r="BA113" t="str">
            <v>Then Year</v>
          </cell>
          <cell r="BB113" t="str">
            <v>Then Year</v>
          </cell>
          <cell r="BC113" t="str">
            <v>Then Year</v>
          </cell>
          <cell r="BD113" t="str">
            <v>Then Year</v>
          </cell>
          <cell r="BE113" t="str">
            <v>Then Year</v>
          </cell>
          <cell r="BF113" t="str">
            <v>Then Year</v>
          </cell>
          <cell r="BG113" t="str">
            <v>Then Year</v>
          </cell>
          <cell r="BH113" t="str">
            <v>Then Year</v>
          </cell>
          <cell r="BI113" t="str">
            <v>Then Year</v>
          </cell>
          <cell r="BJ113" t="str">
            <v>Then Year</v>
          </cell>
          <cell r="BK113" t="str">
            <v>Then Year</v>
          </cell>
          <cell r="BL113" t="str">
            <v>Then Year</v>
          </cell>
          <cell r="BM113" t="str">
            <v>Then Year</v>
          </cell>
        </row>
        <row r="114">
          <cell r="F114" t="str">
            <v>Quantity</v>
          </cell>
          <cell r="G114" t="str">
            <v>Quantity</v>
          </cell>
          <cell r="H114" t="str">
            <v>Schedule</v>
          </cell>
          <cell r="I114" t="str">
            <v>Schedule</v>
          </cell>
          <cell r="J114" t="str">
            <v>Engineering</v>
          </cell>
          <cell r="K114" t="str">
            <v>Engineering</v>
          </cell>
          <cell r="L114" t="str">
            <v>Estimating</v>
          </cell>
          <cell r="M114" t="str">
            <v>Estimating</v>
          </cell>
          <cell r="N114" t="str">
            <v>Other</v>
          </cell>
          <cell r="O114" t="str">
            <v>Other</v>
          </cell>
          <cell r="P114" t="str">
            <v>Support</v>
          </cell>
          <cell r="Q114" t="str">
            <v>Support</v>
          </cell>
          <cell r="R114" t="str">
            <v>Total</v>
          </cell>
          <cell r="S114" t="str">
            <v>Total</v>
          </cell>
          <cell r="T114" t="str">
            <v>Economic</v>
          </cell>
          <cell r="U114" t="str">
            <v>Economic</v>
          </cell>
          <cell r="V114" t="str">
            <v>Quantity</v>
          </cell>
          <cell r="W114" t="str">
            <v>Quantity</v>
          </cell>
          <cell r="X114" t="str">
            <v>Schedule</v>
          </cell>
          <cell r="Y114" t="str">
            <v>Schedule</v>
          </cell>
          <cell r="Z114" t="str">
            <v>Engineering</v>
          </cell>
          <cell r="AA114" t="str">
            <v>Engineering</v>
          </cell>
          <cell r="AB114" t="str">
            <v>Estimating</v>
          </cell>
          <cell r="AC114" t="str">
            <v>Estimating</v>
          </cell>
          <cell r="AD114" t="str">
            <v>Other</v>
          </cell>
          <cell r="AE114" t="str">
            <v>Other</v>
          </cell>
          <cell r="AF114" t="str">
            <v>Support</v>
          </cell>
          <cell r="AG114" t="str">
            <v>Support</v>
          </cell>
          <cell r="AH114" t="str">
            <v>Total</v>
          </cell>
          <cell r="AI114" t="str">
            <v xml:space="preserve">Total
</v>
          </cell>
          <cell r="AJ114" t="str">
            <v>Quantity</v>
          </cell>
          <cell r="AK114" t="str">
            <v>Quantity</v>
          </cell>
          <cell r="AL114" t="str">
            <v>Schedule</v>
          </cell>
          <cell r="AM114" t="str">
            <v>Schedule</v>
          </cell>
          <cell r="AN114" t="str">
            <v>Engineering</v>
          </cell>
          <cell r="AO114" t="str">
            <v>Engineering</v>
          </cell>
          <cell r="AP114" t="str">
            <v>Estimating</v>
          </cell>
          <cell r="AQ114" t="str">
            <v>Estimating</v>
          </cell>
          <cell r="AR114" t="str">
            <v>Other</v>
          </cell>
          <cell r="AS114" t="str">
            <v>Other</v>
          </cell>
          <cell r="AT114" t="str">
            <v>Support</v>
          </cell>
          <cell r="AU114" t="str">
            <v>Support</v>
          </cell>
          <cell r="AV114" t="str">
            <v>Total</v>
          </cell>
          <cell r="AW114" t="str">
            <v>Total</v>
          </cell>
          <cell r="AX114" t="str">
            <v>Economic</v>
          </cell>
          <cell r="AY114" t="str">
            <v>Economic</v>
          </cell>
          <cell r="AZ114" t="str">
            <v>Quantity</v>
          </cell>
          <cell r="BA114" t="str">
            <v>Quantity</v>
          </cell>
          <cell r="BB114" t="str">
            <v>Schedule</v>
          </cell>
          <cell r="BC114" t="str">
            <v>Schedule</v>
          </cell>
          <cell r="BD114" t="str">
            <v>Engineering</v>
          </cell>
          <cell r="BE114" t="str">
            <v>Engineering</v>
          </cell>
          <cell r="BF114" t="str">
            <v>Estimating</v>
          </cell>
          <cell r="BG114" t="str">
            <v>Estimating</v>
          </cell>
          <cell r="BH114" t="str">
            <v>Other</v>
          </cell>
          <cell r="BI114" t="str">
            <v>Other</v>
          </cell>
          <cell r="BJ114" t="str">
            <v>Support</v>
          </cell>
          <cell r="BK114" t="str">
            <v>Support</v>
          </cell>
          <cell r="BL114" t="str">
            <v>Total</v>
          </cell>
          <cell r="BM114" t="str">
            <v xml:space="preserve">Total
</v>
          </cell>
        </row>
        <row r="115">
          <cell r="C115" t="str">
            <v xml:space="preserve">Program
</v>
          </cell>
          <cell r="E115" t="str">
            <v xml:space="preserve">Base Year
</v>
          </cell>
          <cell r="F115" t="str">
            <v>This Qtr</v>
          </cell>
          <cell r="G115" t="str">
            <v>To Date</v>
          </cell>
          <cell r="H115" t="str">
            <v>This Qtr</v>
          </cell>
          <cell r="I115" t="str">
            <v>To Date</v>
          </cell>
          <cell r="J115" t="str">
            <v>This Qtr</v>
          </cell>
          <cell r="K115" t="str">
            <v>To Date</v>
          </cell>
          <cell r="L115" t="str">
            <v>This Qtr</v>
          </cell>
          <cell r="M115" t="str">
            <v>To Date</v>
          </cell>
          <cell r="N115" t="str">
            <v>This Qtr</v>
          </cell>
          <cell r="O115" t="str">
            <v>To Date</v>
          </cell>
          <cell r="P115" t="str">
            <v>This Qtr</v>
          </cell>
          <cell r="Q115" t="str">
            <v>To Date</v>
          </cell>
          <cell r="R115" t="str">
            <v>This Qtr</v>
          </cell>
          <cell r="S115" t="str">
            <v>To Date</v>
          </cell>
          <cell r="T115" t="str">
            <v>This Qtr</v>
          </cell>
          <cell r="U115" t="str">
            <v>To Date</v>
          </cell>
          <cell r="V115" t="str">
            <v>This Qtr</v>
          </cell>
          <cell r="W115" t="str">
            <v>To Date</v>
          </cell>
          <cell r="X115" t="str">
            <v>This Qtr</v>
          </cell>
          <cell r="Y115" t="str">
            <v>To Date</v>
          </cell>
          <cell r="Z115" t="str">
            <v>This Qtr</v>
          </cell>
          <cell r="AA115" t="str">
            <v>To Date</v>
          </cell>
          <cell r="AB115" t="str">
            <v>This Qtr</v>
          </cell>
          <cell r="AC115" t="str">
            <v>To Date</v>
          </cell>
          <cell r="AD115" t="str">
            <v>This Qtr</v>
          </cell>
          <cell r="AE115" t="str">
            <v>To Date</v>
          </cell>
          <cell r="AF115" t="str">
            <v>This Qtr</v>
          </cell>
          <cell r="AG115" t="str">
            <v>To Date</v>
          </cell>
          <cell r="AH115" t="str">
            <v>This Qtr</v>
          </cell>
          <cell r="AI115" t="str">
            <v>To Date</v>
          </cell>
          <cell r="AJ115" t="str">
            <v>This Qtr</v>
          </cell>
          <cell r="AK115" t="str">
            <v>To Date</v>
          </cell>
          <cell r="AL115" t="str">
            <v>This Qtr</v>
          </cell>
          <cell r="AM115" t="str">
            <v>To Date</v>
          </cell>
          <cell r="AN115" t="str">
            <v>This Qtr</v>
          </cell>
          <cell r="AO115" t="str">
            <v>To Date</v>
          </cell>
          <cell r="AP115" t="str">
            <v>This Qtr</v>
          </cell>
          <cell r="AQ115" t="str">
            <v>To Date</v>
          </cell>
          <cell r="AR115" t="str">
            <v>This Qtr</v>
          </cell>
          <cell r="AS115" t="str">
            <v>To Date</v>
          </cell>
          <cell r="AT115" t="str">
            <v>This Qtr</v>
          </cell>
          <cell r="AU115" t="str">
            <v>To Date</v>
          </cell>
          <cell r="AV115" t="str">
            <v>This Qtr</v>
          </cell>
          <cell r="AW115" t="str">
            <v>To Date</v>
          </cell>
          <cell r="AX115" t="str">
            <v>This Qtr</v>
          </cell>
          <cell r="AY115" t="str">
            <v>To Date</v>
          </cell>
          <cell r="AZ115" t="str">
            <v>This Qtr</v>
          </cell>
          <cell r="BA115" t="str">
            <v>To Date</v>
          </cell>
          <cell r="BB115" t="str">
            <v>This Qtr</v>
          </cell>
          <cell r="BC115" t="str">
            <v>To Date</v>
          </cell>
          <cell r="BD115" t="str">
            <v>This Qtr</v>
          </cell>
          <cell r="BE115" t="str">
            <v>To Date</v>
          </cell>
          <cell r="BF115" t="str">
            <v>This Qtr</v>
          </cell>
          <cell r="BG115" t="str">
            <v>To Date</v>
          </cell>
          <cell r="BH115" t="str">
            <v>This Qtr</v>
          </cell>
          <cell r="BI115" t="str">
            <v>To Date</v>
          </cell>
          <cell r="BJ115" t="str">
            <v>This Qtr</v>
          </cell>
          <cell r="BK115" t="str">
            <v>To Date</v>
          </cell>
          <cell r="BL115" t="str">
            <v>This Qtr</v>
          </cell>
          <cell r="BM115" t="str">
            <v>To Date</v>
          </cell>
        </row>
        <row r="116">
          <cell r="A116" t="str">
            <v>Shorthand</v>
          </cell>
          <cell r="C116" t="str">
            <v xml:space="preserve">Program
</v>
          </cell>
          <cell r="D116" t="str">
            <v>Shorthand</v>
          </cell>
          <cell r="E116" t="str">
            <v xml:space="preserve">Base Year
</v>
          </cell>
          <cell r="F116" t="str">
            <v>Quantity This Qtr (Base Year $s)*</v>
          </cell>
          <cell r="G116" t="str">
            <v>Quantity To Date (Base Year $s)*</v>
          </cell>
          <cell r="H116" t="str">
            <v>Schedule This Qtr (Base Year $s)*</v>
          </cell>
          <cell r="I116" t="str">
            <v>Schedule To Date (Base Year $s)*</v>
          </cell>
          <cell r="J116" t="str">
            <v>Engineering This Qtr (Base Year $s)*</v>
          </cell>
          <cell r="K116" t="str">
            <v>Engineering To Date (Base Year $s)*</v>
          </cell>
          <cell r="L116" t="str">
            <v>Estimating This Qtr (Base Year $s)*</v>
          </cell>
          <cell r="M116" t="str">
            <v>Estimating To Date (Base Year $s)*</v>
          </cell>
          <cell r="N116" t="str">
            <v>Other This Qtr (Base Year $s)*</v>
          </cell>
          <cell r="O116" t="str">
            <v>Other To Date (Base Year $s)*</v>
          </cell>
          <cell r="P116" t="str">
            <v>Support This Qtr (Base Year $s)*</v>
          </cell>
          <cell r="Q116" t="str">
            <v>Support To Date (Base Year $s)*</v>
          </cell>
          <cell r="R116" t="str">
            <v>Total This Qtr (Base Year $s)*</v>
          </cell>
          <cell r="S116" t="str">
            <v>Total To Date (Base Year $s)*</v>
          </cell>
          <cell r="T116" t="str">
            <v>Economic This Qtr (Then Year)*</v>
          </cell>
          <cell r="U116" t="str">
            <v>Economic To Date (Then Year)*</v>
          </cell>
          <cell r="V116" t="str">
            <v>Quantity This Qtr (Then Year)*</v>
          </cell>
          <cell r="W116" t="str">
            <v>Quantity To Date (Then Year)*</v>
          </cell>
          <cell r="X116" t="str">
            <v>Schedule This Qtr (Then Year)*</v>
          </cell>
          <cell r="Y116" t="str">
            <v>Schedule To Date (Then Year)*</v>
          </cell>
          <cell r="Z116" t="str">
            <v>Engineering This Qtr (Then Year)*</v>
          </cell>
          <cell r="AA116" t="str">
            <v>Engineering To Date (Then Year)*</v>
          </cell>
          <cell r="AB116" t="str">
            <v>Estimating This Qtr (Then Year)*</v>
          </cell>
          <cell r="AC116" t="str">
            <v>Estimating To Date (Then Year)*</v>
          </cell>
          <cell r="AD116" t="str">
            <v>Other This Qtr (Then Year)*</v>
          </cell>
          <cell r="AE116" t="str">
            <v>Other To Date (Then Year)*</v>
          </cell>
          <cell r="AF116" t="str">
            <v>Support This Qtr (Then Year)*</v>
          </cell>
          <cell r="AG116" t="str">
            <v>Support To Date (Then Year)*</v>
          </cell>
          <cell r="AH116" t="str">
            <v>Total This Qtr (Then Year)*</v>
          </cell>
          <cell r="AI116" t="str">
            <v>Total
 To Date (Then Year)*</v>
          </cell>
          <cell r="AJ116" t="str">
            <v>Quantity This Qtr (Base Year $s)</v>
          </cell>
          <cell r="AK116" t="str">
            <v>Quantity To Date (Base Year $s)</v>
          </cell>
          <cell r="AL116" t="str">
            <v>Schedule This Qtr (Base Year $s)</v>
          </cell>
          <cell r="AM116" t="str">
            <v>Schedule To Date (Base Year $s)</v>
          </cell>
          <cell r="AN116" t="str">
            <v>Engineering This Qtr (Base Year $s)</v>
          </cell>
          <cell r="AO116" t="str">
            <v>Engineering To Date (Base Year $s)</v>
          </cell>
          <cell r="AP116" t="str">
            <v>Estimating This Qtr (Base Year $s)</v>
          </cell>
          <cell r="AQ116" t="str">
            <v>Estimating To Date (Base Year $s)</v>
          </cell>
          <cell r="AR116" t="str">
            <v>Other This Qtr (Base Year $s)</v>
          </cell>
          <cell r="AS116" t="str">
            <v>Other (Base Year $s)</v>
          </cell>
          <cell r="AT116" t="str">
            <v>Support This Qtr (Base Year $s)</v>
          </cell>
          <cell r="AU116" t="str">
            <v>Support (Base Year $s)</v>
          </cell>
          <cell r="AV116" t="str">
            <v>Total This Qtr (Base Year $s)</v>
          </cell>
          <cell r="AW116" t="str">
            <v>Total (Base Year $s)</v>
          </cell>
          <cell r="AX116" t="str">
            <v>Economic This Qtr (Then Year)</v>
          </cell>
          <cell r="AY116" t="str">
            <v>Economic (Then Year)</v>
          </cell>
          <cell r="AZ116" t="str">
            <v>Quantity This Qtr (Then Year)</v>
          </cell>
          <cell r="BA116" t="str">
            <v>Quantity (Then Year)</v>
          </cell>
          <cell r="BB116" t="str">
            <v>Schedule This Qtr (Then Year)</v>
          </cell>
          <cell r="BC116" t="str">
            <v>Schedule (Then Year)</v>
          </cell>
          <cell r="BD116" t="str">
            <v>Engineering This Qtr (Then Year)</v>
          </cell>
          <cell r="BE116" t="str">
            <v>Engineering (Then Year)</v>
          </cell>
          <cell r="BF116" t="str">
            <v>Estimating This Qtr (Then Year)</v>
          </cell>
          <cell r="BG116" t="str">
            <v>Estimating (Then Year)</v>
          </cell>
          <cell r="BH116" t="str">
            <v>Other This Qtr (Then Year)</v>
          </cell>
          <cell r="BI116" t="str">
            <v>Other (Then Year)</v>
          </cell>
          <cell r="BJ116" t="str">
            <v>Support This Qtr (Then Year)</v>
          </cell>
          <cell r="BK116" t="str">
            <v>Support (Then Year)</v>
          </cell>
          <cell r="BL116" t="str">
            <v>Total This Qtr (Then Year)</v>
          </cell>
          <cell r="BM116" t="str">
            <v>Total
 (Then Year)</v>
          </cell>
        </row>
        <row r="117">
          <cell r="C117">
            <v>3</v>
          </cell>
          <cell r="D117">
            <v>4</v>
          </cell>
          <cell r="E117">
            <v>5</v>
          </cell>
          <cell r="F117">
            <v>6</v>
          </cell>
          <cell r="G117">
            <v>7</v>
          </cell>
          <cell r="H117">
            <v>8</v>
          </cell>
          <cell r="I117">
            <v>9</v>
          </cell>
          <cell r="J117">
            <v>10</v>
          </cell>
          <cell r="K117">
            <v>11</v>
          </cell>
          <cell r="L117">
            <v>12</v>
          </cell>
          <cell r="M117">
            <v>13</v>
          </cell>
          <cell r="N117">
            <v>14</v>
          </cell>
          <cell r="O117">
            <v>15</v>
          </cell>
          <cell r="P117">
            <v>16</v>
          </cell>
          <cell r="Q117">
            <v>17</v>
          </cell>
          <cell r="R117">
            <v>18</v>
          </cell>
          <cell r="S117">
            <v>19</v>
          </cell>
          <cell r="T117">
            <v>20</v>
          </cell>
          <cell r="U117">
            <v>21</v>
          </cell>
          <cell r="V117">
            <v>22</v>
          </cell>
          <cell r="W117">
            <v>23</v>
          </cell>
          <cell r="X117">
            <v>24</v>
          </cell>
          <cell r="Y117">
            <v>25</v>
          </cell>
          <cell r="Z117">
            <v>26</v>
          </cell>
          <cell r="AA117">
            <v>27</v>
          </cell>
          <cell r="AB117">
            <v>28</v>
          </cell>
          <cell r="AC117">
            <v>29</v>
          </cell>
          <cell r="AD117">
            <v>30</v>
          </cell>
          <cell r="AE117">
            <v>31</v>
          </cell>
          <cell r="AF117">
            <v>32</v>
          </cell>
          <cell r="AG117">
            <v>33</v>
          </cell>
          <cell r="AH117">
            <v>34</v>
          </cell>
          <cell r="AI117">
            <v>35</v>
          </cell>
          <cell r="AJ117">
            <v>36</v>
          </cell>
          <cell r="AK117">
            <v>37</v>
          </cell>
          <cell r="AL117">
            <v>38</v>
          </cell>
          <cell r="AM117">
            <v>39</v>
          </cell>
          <cell r="AN117">
            <v>40</v>
          </cell>
          <cell r="AO117">
            <v>41</v>
          </cell>
          <cell r="AP117">
            <v>42</v>
          </cell>
          <cell r="AQ117">
            <v>43</v>
          </cell>
          <cell r="AR117">
            <v>44</v>
          </cell>
          <cell r="AS117">
            <v>45</v>
          </cell>
          <cell r="AT117">
            <v>46</v>
          </cell>
          <cell r="AU117">
            <v>47</v>
          </cell>
          <cell r="AV117">
            <v>48</v>
          </cell>
          <cell r="AW117">
            <v>49</v>
          </cell>
          <cell r="AX117">
            <v>50</v>
          </cell>
          <cell r="AY117">
            <v>51</v>
          </cell>
          <cell r="AZ117">
            <v>52</v>
          </cell>
          <cell r="BA117">
            <v>53</v>
          </cell>
          <cell r="BB117">
            <v>54</v>
          </cell>
          <cell r="BC117">
            <v>55</v>
          </cell>
          <cell r="BD117">
            <v>56</v>
          </cell>
          <cell r="BE117">
            <v>57</v>
          </cell>
          <cell r="BF117">
            <v>58</v>
          </cell>
          <cell r="BG117">
            <v>59</v>
          </cell>
          <cell r="BH117">
            <v>60</v>
          </cell>
          <cell r="BI117">
            <v>61</v>
          </cell>
          <cell r="BJ117">
            <v>62</v>
          </cell>
          <cell r="BK117">
            <v>63</v>
          </cell>
          <cell r="BL117">
            <v>64</v>
          </cell>
          <cell r="BM117">
            <v>65</v>
          </cell>
        </row>
        <row r="118">
          <cell r="A118" t="str">
            <v>39692-IDECM</v>
          </cell>
          <cell r="B118">
            <v>39692</v>
          </cell>
          <cell r="C118" t="str">
            <v>IDECM-Blocks 2/3</v>
          </cell>
          <cell r="D118" t="str">
            <v>IDECM Split</v>
          </cell>
          <cell r="E118">
            <v>2008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 t="e">
            <v>#VALUE!</v>
          </cell>
          <cell r="AK118" t="e">
            <v>#VALUE!</v>
          </cell>
          <cell r="AL118" t="e">
            <v>#VALUE!</v>
          </cell>
          <cell r="AM118" t="e">
            <v>#VALUE!</v>
          </cell>
          <cell r="AN118" t="e">
            <v>#VALUE!</v>
          </cell>
          <cell r="AO118" t="e">
            <v>#VALUE!</v>
          </cell>
          <cell r="AP118" t="e">
            <v>#VALUE!</v>
          </cell>
          <cell r="AQ118" t="e">
            <v>#VALUE!</v>
          </cell>
          <cell r="AR118" t="e">
            <v>#VALUE!</v>
          </cell>
          <cell r="AS118" t="e">
            <v>#VALUE!</v>
          </cell>
          <cell r="AT118" t="e">
            <v>#VALUE!</v>
          </cell>
          <cell r="AU118" t="e">
            <v>#VALUE!</v>
          </cell>
          <cell r="AV118" t="e">
            <v>#VALUE!</v>
          </cell>
          <cell r="AW118" t="e">
            <v>#VALUE!</v>
          </cell>
          <cell r="AX118" t="e">
            <v>#VALUE!</v>
          </cell>
          <cell r="AY118" t="e">
            <v>#VALUE!</v>
          </cell>
          <cell r="AZ118" t="e">
            <v>#VALUE!</v>
          </cell>
          <cell r="BA118" t="e">
            <v>#VALUE!</v>
          </cell>
          <cell r="BB118" t="e">
            <v>#VALUE!</v>
          </cell>
          <cell r="BC118" t="e">
            <v>#VALUE!</v>
          </cell>
          <cell r="BD118" t="e">
            <v>#VALUE!</v>
          </cell>
          <cell r="BE118" t="e">
            <v>#VALUE!</v>
          </cell>
          <cell r="BF118" t="e">
            <v>#VALUE!</v>
          </cell>
          <cell r="BG118" t="e">
            <v>#VALUE!</v>
          </cell>
          <cell r="BH118" t="e">
            <v>#VALUE!</v>
          </cell>
          <cell r="BI118" t="e">
            <v>#VALUE!</v>
          </cell>
          <cell r="BJ118" t="e">
            <v>#VALUE!</v>
          </cell>
          <cell r="BK118" t="e">
            <v>#VALUE!</v>
          </cell>
          <cell r="BL118" t="e">
            <v>#VALUE!</v>
          </cell>
          <cell r="BM118" t="e">
            <v>#VALUE!</v>
          </cell>
        </row>
        <row r="119">
          <cell r="A119" t="str">
            <v>39692-IDECM</v>
          </cell>
          <cell r="B119">
            <v>39692</v>
          </cell>
          <cell r="C119" t="str">
            <v>IDECM-Blocks 4</v>
          </cell>
          <cell r="D119" t="str">
            <v>IDECM Split</v>
          </cell>
          <cell r="E119">
            <v>2008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 t="e">
            <v>#VALUE!</v>
          </cell>
          <cell r="AK119" t="e">
            <v>#VALUE!</v>
          </cell>
          <cell r="AL119" t="e">
            <v>#VALUE!</v>
          </cell>
          <cell r="AM119" t="e">
            <v>#VALUE!</v>
          </cell>
          <cell r="AN119" t="e">
            <v>#VALUE!</v>
          </cell>
          <cell r="AO119" t="e">
            <v>#VALUE!</v>
          </cell>
          <cell r="AP119" t="e">
            <v>#VALUE!</v>
          </cell>
          <cell r="AQ119" t="e">
            <v>#VALUE!</v>
          </cell>
          <cell r="AR119" t="e">
            <v>#VALUE!</v>
          </cell>
          <cell r="AS119" t="e">
            <v>#VALUE!</v>
          </cell>
          <cell r="AT119" t="e">
            <v>#VALUE!</v>
          </cell>
          <cell r="AU119" t="e">
            <v>#VALUE!</v>
          </cell>
          <cell r="AV119" t="e">
            <v>#VALUE!</v>
          </cell>
          <cell r="AW119" t="e">
            <v>#VALUE!</v>
          </cell>
          <cell r="AX119" t="e">
            <v>#VALUE!</v>
          </cell>
          <cell r="AY119" t="e">
            <v>#VALUE!</v>
          </cell>
          <cell r="AZ119" t="e">
            <v>#VALUE!</v>
          </cell>
          <cell r="BA119" t="e">
            <v>#VALUE!</v>
          </cell>
          <cell r="BB119" t="e">
            <v>#VALUE!</v>
          </cell>
          <cell r="BC119" t="e">
            <v>#VALUE!</v>
          </cell>
          <cell r="BD119" t="e">
            <v>#VALUE!</v>
          </cell>
          <cell r="BE119" t="e">
            <v>#VALUE!</v>
          </cell>
          <cell r="BF119" t="e">
            <v>#VALUE!</v>
          </cell>
          <cell r="BG119" t="e">
            <v>#VALUE!</v>
          </cell>
          <cell r="BH119" t="e">
            <v>#VALUE!</v>
          </cell>
          <cell r="BI119" t="e">
            <v>#VALUE!</v>
          </cell>
          <cell r="BJ119" t="e">
            <v>#VALUE!</v>
          </cell>
          <cell r="BK119" t="e">
            <v>#VALUE!</v>
          </cell>
          <cell r="BL119" t="e">
            <v>#VALUE!</v>
          </cell>
          <cell r="BM119" t="e">
            <v>#VALUE!</v>
          </cell>
        </row>
        <row r="120">
          <cell r="A120" t="str">
            <v>39692-JSOW</v>
          </cell>
          <cell r="B120">
            <v>39692</v>
          </cell>
          <cell r="C120" t="str">
            <v>JSOW - BASELINE/BLU-108</v>
          </cell>
          <cell r="D120" t="str">
            <v>JSOW Split</v>
          </cell>
          <cell r="E120">
            <v>1990</v>
          </cell>
          <cell r="F120">
            <v>0</v>
          </cell>
          <cell r="G120">
            <v>-2059.3000000000002</v>
          </cell>
          <cell r="H120">
            <v>0</v>
          </cell>
          <cell r="I120">
            <v>2.4</v>
          </cell>
          <cell r="J120">
            <v>0</v>
          </cell>
          <cell r="K120">
            <v>76.599999999999994</v>
          </cell>
          <cell r="L120">
            <v>0</v>
          </cell>
          <cell r="M120">
            <v>-97.3</v>
          </cell>
          <cell r="N120">
            <v>0</v>
          </cell>
          <cell r="O120">
            <v>0</v>
          </cell>
          <cell r="P120">
            <v>0</v>
          </cell>
          <cell r="Q120">
            <v>-12.8</v>
          </cell>
          <cell r="R120">
            <v>0</v>
          </cell>
          <cell r="S120">
            <v>-2090.4</v>
          </cell>
          <cell r="T120">
            <v>0</v>
          </cell>
          <cell r="U120">
            <v>-30.5</v>
          </cell>
          <cell r="V120">
            <v>0</v>
          </cell>
          <cell r="W120">
            <v>-3204.5</v>
          </cell>
          <cell r="X120">
            <v>0</v>
          </cell>
          <cell r="Y120">
            <v>379.8</v>
          </cell>
          <cell r="Z120">
            <v>0</v>
          </cell>
          <cell r="AA120">
            <v>104</v>
          </cell>
          <cell r="AB120">
            <v>0</v>
          </cell>
          <cell r="AC120">
            <v>-265.7</v>
          </cell>
          <cell r="AD120">
            <v>0</v>
          </cell>
          <cell r="AE120">
            <v>0</v>
          </cell>
          <cell r="AF120">
            <v>0</v>
          </cell>
          <cell r="AG120">
            <v>-20.2</v>
          </cell>
          <cell r="AH120">
            <v>0</v>
          </cell>
          <cell r="AI120">
            <v>-3037.1</v>
          </cell>
          <cell r="AJ120" t="e">
            <v>#VALUE!</v>
          </cell>
          <cell r="AK120" t="e">
            <v>#VALUE!</v>
          </cell>
          <cell r="AL120" t="e">
            <v>#VALUE!</v>
          </cell>
          <cell r="AM120" t="e">
            <v>#VALUE!</v>
          </cell>
          <cell r="AN120" t="e">
            <v>#VALUE!</v>
          </cell>
          <cell r="AO120" t="e">
            <v>#VALUE!</v>
          </cell>
          <cell r="AP120" t="e">
            <v>#VALUE!</v>
          </cell>
          <cell r="AQ120" t="e">
            <v>#VALUE!</v>
          </cell>
          <cell r="AR120" t="e">
            <v>#VALUE!</v>
          </cell>
          <cell r="AS120" t="e">
            <v>#VALUE!</v>
          </cell>
          <cell r="AT120" t="e">
            <v>#VALUE!</v>
          </cell>
          <cell r="AU120" t="e">
            <v>#VALUE!</v>
          </cell>
          <cell r="AV120" t="e">
            <v>#VALUE!</v>
          </cell>
          <cell r="AW120" t="e">
            <v>#VALUE!</v>
          </cell>
          <cell r="AX120" t="e">
            <v>#VALUE!</v>
          </cell>
          <cell r="AY120" t="e">
            <v>#VALUE!</v>
          </cell>
          <cell r="AZ120" t="e">
            <v>#VALUE!</v>
          </cell>
          <cell r="BA120" t="e">
            <v>#VALUE!</v>
          </cell>
          <cell r="BB120" t="e">
            <v>#VALUE!</v>
          </cell>
          <cell r="BC120" t="e">
            <v>#VALUE!</v>
          </cell>
          <cell r="BD120" t="e">
            <v>#VALUE!</v>
          </cell>
          <cell r="BE120" t="e">
            <v>#VALUE!</v>
          </cell>
          <cell r="BF120" t="e">
            <v>#VALUE!</v>
          </cell>
          <cell r="BG120" t="e">
            <v>#VALUE!</v>
          </cell>
          <cell r="BH120" t="e">
            <v>#VALUE!</v>
          </cell>
          <cell r="BI120" t="e">
            <v>#VALUE!</v>
          </cell>
          <cell r="BJ120" t="e">
            <v>#VALUE!</v>
          </cell>
          <cell r="BK120" t="e">
            <v>#VALUE!</v>
          </cell>
          <cell r="BL120" t="e">
            <v>#VALUE!</v>
          </cell>
          <cell r="BM120" t="e">
            <v>#VALUE!</v>
          </cell>
        </row>
        <row r="121">
          <cell r="A121" t="str">
            <v>39692-JSOW</v>
          </cell>
          <cell r="B121">
            <v>39692</v>
          </cell>
          <cell r="C121" t="str">
            <v>JSOW - UNITARY</v>
          </cell>
          <cell r="D121" t="str">
            <v>JSOW Split</v>
          </cell>
          <cell r="E121">
            <v>1990</v>
          </cell>
          <cell r="F121">
            <v>0</v>
          </cell>
          <cell r="G121">
            <v>0</v>
          </cell>
          <cell r="H121">
            <v>0</v>
          </cell>
          <cell r="I121">
            <v>5.9</v>
          </cell>
          <cell r="J121">
            <v>0</v>
          </cell>
          <cell r="K121">
            <v>49.2</v>
          </cell>
          <cell r="L121">
            <v>0</v>
          </cell>
          <cell r="M121">
            <v>-247</v>
          </cell>
          <cell r="N121">
            <v>0</v>
          </cell>
          <cell r="O121">
            <v>0</v>
          </cell>
          <cell r="P121">
            <v>0</v>
          </cell>
          <cell r="Q121">
            <v>-8.8000000000000007</v>
          </cell>
          <cell r="R121">
            <v>0</v>
          </cell>
          <cell r="S121">
            <v>-200.7</v>
          </cell>
          <cell r="T121">
            <v>0</v>
          </cell>
          <cell r="U121">
            <v>133.5</v>
          </cell>
          <cell r="V121">
            <v>0</v>
          </cell>
          <cell r="W121">
            <v>0</v>
          </cell>
          <cell r="X121">
            <v>0</v>
          </cell>
          <cell r="Y121">
            <v>0.4</v>
          </cell>
          <cell r="Z121">
            <v>0</v>
          </cell>
          <cell r="AA121">
            <v>78.599999999999994</v>
          </cell>
          <cell r="AB121">
            <v>0</v>
          </cell>
          <cell r="AC121">
            <v>-449.5</v>
          </cell>
          <cell r="AD121">
            <v>0</v>
          </cell>
          <cell r="AE121">
            <v>0</v>
          </cell>
          <cell r="AF121">
            <v>0</v>
          </cell>
          <cell r="AG121">
            <v>-12.7</v>
          </cell>
          <cell r="AH121">
            <v>0</v>
          </cell>
          <cell r="AI121">
            <v>-249.7</v>
          </cell>
          <cell r="AJ121" t="e">
            <v>#VALUE!</v>
          </cell>
          <cell r="AK121" t="e">
            <v>#VALUE!</v>
          </cell>
          <cell r="AL121" t="e">
            <v>#VALUE!</v>
          </cell>
          <cell r="AM121" t="e">
            <v>#VALUE!</v>
          </cell>
          <cell r="AN121" t="e">
            <v>#VALUE!</v>
          </cell>
          <cell r="AO121" t="e">
            <v>#VALUE!</v>
          </cell>
          <cell r="AP121" t="e">
            <v>#VALUE!</v>
          </cell>
          <cell r="AQ121" t="e">
            <v>#VALUE!</v>
          </cell>
          <cell r="AR121" t="e">
            <v>#VALUE!</v>
          </cell>
          <cell r="AS121" t="e">
            <v>#VALUE!</v>
          </cell>
          <cell r="AT121" t="e">
            <v>#VALUE!</v>
          </cell>
          <cell r="AU121" t="e">
            <v>#VALUE!</v>
          </cell>
          <cell r="AV121" t="e">
            <v>#VALUE!</v>
          </cell>
          <cell r="AW121" t="e">
            <v>#VALUE!</v>
          </cell>
          <cell r="AX121" t="e">
            <v>#VALUE!</v>
          </cell>
          <cell r="AY121" t="e">
            <v>#VALUE!</v>
          </cell>
          <cell r="AZ121" t="e">
            <v>#VALUE!</v>
          </cell>
          <cell r="BA121" t="e">
            <v>#VALUE!</v>
          </cell>
          <cell r="BB121" t="e">
            <v>#VALUE!</v>
          </cell>
          <cell r="BC121" t="e">
            <v>#VALUE!</v>
          </cell>
          <cell r="BD121" t="e">
            <v>#VALUE!</v>
          </cell>
          <cell r="BE121" t="e">
            <v>#VALUE!</v>
          </cell>
          <cell r="BF121" t="e">
            <v>#VALUE!</v>
          </cell>
          <cell r="BG121" t="e">
            <v>#VALUE!</v>
          </cell>
          <cell r="BH121" t="e">
            <v>#VALUE!</v>
          </cell>
          <cell r="BI121" t="e">
            <v>#VALUE!</v>
          </cell>
          <cell r="BJ121" t="e">
            <v>#VALUE!</v>
          </cell>
          <cell r="BK121" t="e">
            <v>#VALUE!</v>
          </cell>
          <cell r="BL121" t="e">
            <v>#VALUE!</v>
          </cell>
          <cell r="BM121" t="e">
            <v>#VALUE!</v>
          </cell>
        </row>
        <row r="122">
          <cell r="A122" t="str">
            <v>39692-NAVSTAR GPS</v>
          </cell>
          <cell r="B122">
            <v>39692</v>
          </cell>
          <cell r="C122" t="str">
            <v>NAVSTAR GPS - SPACE &amp; CONTROL</v>
          </cell>
          <cell r="D122" t="str">
            <v>NAVSTAR GPS SPLIT</v>
          </cell>
          <cell r="E122">
            <v>2000</v>
          </cell>
          <cell r="F122">
            <v>0</v>
          </cell>
          <cell r="G122">
            <v>20</v>
          </cell>
          <cell r="H122">
            <v>0</v>
          </cell>
          <cell r="I122">
            <v>0</v>
          </cell>
          <cell r="J122">
            <v>0</v>
          </cell>
          <cell r="K122">
            <v>391.9</v>
          </cell>
          <cell r="L122">
            <v>0</v>
          </cell>
          <cell r="M122">
            <v>330.2</v>
          </cell>
          <cell r="N122">
            <v>0</v>
          </cell>
          <cell r="O122">
            <v>0</v>
          </cell>
          <cell r="P122">
            <v>0</v>
          </cell>
          <cell r="Q122">
            <v>205.4</v>
          </cell>
          <cell r="R122">
            <v>0</v>
          </cell>
          <cell r="S122">
            <v>947.5</v>
          </cell>
          <cell r="T122">
            <v>0</v>
          </cell>
          <cell r="U122">
            <v>51.8</v>
          </cell>
          <cell r="V122">
            <v>0</v>
          </cell>
          <cell r="W122">
            <v>-2.2999999999999998</v>
          </cell>
          <cell r="X122">
            <v>0</v>
          </cell>
          <cell r="Y122">
            <v>8.3000000000000007</v>
          </cell>
          <cell r="Z122">
            <v>0</v>
          </cell>
          <cell r="AA122">
            <v>435.4</v>
          </cell>
          <cell r="AB122">
            <v>0</v>
          </cell>
          <cell r="AC122">
            <v>463.6</v>
          </cell>
          <cell r="AD122">
            <v>0</v>
          </cell>
          <cell r="AE122">
            <v>0</v>
          </cell>
          <cell r="AF122">
            <v>0</v>
          </cell>
          <cell r="AG122">
            <v>239.4</v>
          </cell>
          <cell r="AH122">
            <v>0</v>
          </cell>
          <cell r="AI122">
            <v>1185.2</v>
          </cell>
          <cell r="AJ122" t="e">
            <v>#VALUE!</v>
          </cell>
          <cell r="AK122" t="e">
            <v>#VALUE!</v>
          </cell>
          <cell r="AL122" t="e">
            <v>#VALUE!</v>
          </cell>
          <cell r="AM122" t="e">
            <v>#VALUE!</v>
          </cell>
          <cell r="AN122" t="e">
            <v>#VALUE!</v>
          </cell>
          <cell r="AO122" t="e">
            <v>#VALUE!</v>
          </cell>
          <cell r="AP122" t="e">
            <v>#VALUE!</v>
          </cell>
          <cell r="AQ122" t="e">
            <v>#VALUE!</v>
          </cell>
          <cell r="AR122" t="e">
            <v>#VALUE!</v>
          </cell>
          <cell r="AS122" t="e">
            <v>#VALUE!</v>
          </cell>
          <cell r="AT122" t="e">
            <v>#VALUE!</v>
          </cell>
          <cell r="AU122" t="e">
            <v>#VALUE!</v>
          </cell>
          <cell r="AV122" t="e">
            <v>#VALUE!</v>
          </cell>
          <cell r="AW122" t="e">
            <v>#VALUE!</v>
          </cell>
          <cell r="AX122" t="e">
            <v>#VALUE!</v>
          </cell>
          <cell r="AY122" t="e">
            <v>#VALUE!</v>
          </cell>
          <cell r="AZ122" t="e">
            <v>#VALUE!</v>
          </cell>
          <cell r="BA122" t="e">
            <v>#VALUE!</v>
          </cell>
          <cell r="BB122" t="e">
            <v>#VALUE!</v>
          </cell>
          <cell r="BC122" t="e">
            <v>#VALUE!</v>
          </cell>
          <cell r="BD122" t="e">
            <v>#VALUE!</v>
          </cell>
          <cell r="BE122" t="e">
            <v>#VALUE!</v>
          </cell>
          <cell r="BF122" t="e">
            <v>#VALUE!</v>
          </cell>
          <cell r="BG122" t="e">
            <v>#VALUE!</v>
          </cell>
          <cell r="BH122" t="e">
            <v>#VALUE!</v>
          </cell>
          <cell r="BI122" t="e">
            <v>#VALUE!</v>
          </cell>
          <cell r="BJ122" t="e">
            <v>#VALUE!</v>
          </cell>
          <cell r="BK122" t="e">
            <v>#VALUE!</v>
          </cell>
          <cell r="BL122" t="e">
            <v>#VALUE!</v>
          </cell>
          <cell r="BM122" t="e">
            <v>#VALUE!</v>
          </cell>
        </row>
        <row r="123">
          <cell r="A123" t="str">
            <v>39692-NAVSTAR GPS</v>
          </cell>
          <cell r="B123">
            <v>39692</v>
          </cell>
          <cell r="C123" t="str">
            <v>NAVSTAR GPS - USER EQUIPMENT</v>
          </cell>
          <cell r="D123" t="str">
            <v>NAVSTAR GPS SPLIT</v>
          </cell>
          <cell r="E123">
            <v>2000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251.6</v>
          </cell>
          <cell r="L123">
            <v>0</v>
          </cell>
          <cell r="M123">
            <v>739.4</v>
          </cell>
          <cell r="N123">
            <v>0</v>
          </cell>
          <cell r="O123">
            <v>0</v>
          </cell>
          <cell r="P123">
            <v>0</v>
          </cell>
          <cell r="Q123">
            <v>1.8</v>
          </cell>
          <cell r="R123">
            <v>0</v>
          </cell>
          <cell r="S123">
            <v>992.8</v>
          </cell>
          <cell r="T123">
            <v>0</v>
          </cell>
          <cell r="U123">
            <v>17.7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277.8</v>
          </cell>
          <cell r="AB123">
            <v>0</v>
          </cell>
          <cell r="AC123">
            <v>918.9</v>
          </cell>
          <cell r="AD123">
            <v>0</v>
          </cell>
          <cell r="AE123">
            <v>0</v>
          </cell>
          <cell r="AF123">
            <v>0</v>
          </cell>
          <cell r="AG123">
            <v>4.9000000000000004</v>
          </cell>
          <cell r="AH123">
            <v>0</v>
          </cell>
          <cell r="AI123">
            <v>1219.3</v>
          </cell>
          <cell r="AJ123" t="e">
            <v>#VALUE!</v>
          </cell>
          <cell r="AK123" t="e">
            <v>#VALUE!</v>
          </cell>
          <cell r="AL123" t="e">
            <v>#VALUE!</v>
          </cell>
          <cell r="AM123" t="e">
            <v>#VALUE!</v>
          </cell>
          <cell r="AN123" t="e">
            <v>#VALUE!</v>
          </cell>
          <cell r="AO123" t="e">
            <v>#VALUE!</v>
          </cell>
          <cell r="AP123" t="e">
            <v>#VALUE!</v>
          </cell>
          <cell r="AQ123" t="e">
            <v>#VALUE!</v>
          </cell>
          <cell r="AR123" t="e">
            <v>#VALUE!</v>
          </cell>
          <cell r="AS123" t="e">
            <v>#VALUE!</v>
          </cell>
          <cell r="AT123" t="e">
            <v>#VALUE!</v>
          </cell>
          <cell r="AU123" t="e">
            <v>#VALUE!</v>
          </cell>
          <cell r="AV123" t="e">
            <v>#VALUE!</v>
          </cell>
          <cell r="AW123" t="e">
            <v>#VALUE!</v>
          </cell>
          <cell r="AX123" t="e">
            <v>#VALUE!</v>
          </cell>
          <cell r="AY123" t="e">
            <v>#VALUE!</v>
          </cell>
          <cell r="AZ123" t="e">
            <v>#VALUE!</v>
          </cell>
          <cell r="BA123" t="e">
            <v>#VALUE!</v>
          </cell>
          <cell r="BB123" t="e">
            <v>#VALUE!</v>
          </cell>
          <cell r="BC123" t="e">
            <v>#VALUE!</v>
          </cell>
          <cell r="BD123" t="e">
            <v>#VALUE!</v>
          </cell>
          <cell r="BE123" t="e">
            <v>#VALUE!</v>
          </cell>
          <cell r="BF123" t="e">
            <v>#VALUE!</v>
          </cell>
          <cell r="BG123" t="e">
            <v>#VALUE!</v>
          </cell>
          <cell r="BH123" t="e">
            <v>#VALUE!</v>
          </cell>
          <cell r="BI123" t="e">
            <v>#VALUE!</v>
          </cell>
          <cell r="BJ123" t="e">
            <v>#VALUE!</v>
          </cell>
          <cell r="BK123" t="e">
            <v>#VALUE!</v>
          </cell>
          <cell r="BL123" t="e">
            <v>#VALUE!</v>
          </cell>
          <cell r="BM123" t="e">
            <v>#VALUE!</v>
          </cell>
        </row>
        <row r="124">
          <cell r="A124" t="str">
            <v>39692-PATRIOT/MEADS CAP</v>
          </cell>
          <cell r="B124">
            <v>39692</v>
          </cell>
          <cell r="C124" t="str">
            <v>PATRIOT/MEADS CAP - FIRE UNIT</v>
          </cell>
          <cell r="D124" t="str">
            <v>PATRIOT/MEADS CAP SPLIT</v>
          </cell>
          <cell r="E124">
            <v>2004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-635.20000000000005</v>
          </cell>
          <cell r="N124">
            <v>0</v>
          </cell>
          <cell r="O124">
            <v>0</v>
          </cell>
          <cell r="P124">
            <v>0</v>
          </cell>
          <cell r="Q124">
            <v>-87.1</v>
          </cell>
          <cell r="R124">
            <v>0</v>
          </cell>
          <cell r="S124">
            <v>-722.3</v>
          </cell>
          <cell r="T124">
            <v>0</v>
          </cell>
          <cell r="U124">
            <v>875.6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-813.2</v>
          </cell>
          <cell r="AD124">
            <v>0</v>
          </cell>
          <cell r="AE124">
            <v>0</v>
          </cell>
          <cell r="AF124">
            <v>0</v>
          </cell>
          <cell r="AG124">
            <v>-122.1</v>
          </cell>
          <cell r="AH124">
            <v>0</v>
          </cell>
          <cell r="AI124">
            <v>-59.7</v>
          </cell>
          <cell r="AJ124" t="e">
            <v>#VALUE!</v>
          </cell>
          <cell r="AK124" t="e">
            <v>#VALUE!</v>
          </cell>
          <cell r="AL124" t="e">
            <v>#VALUE!</v>
          </cell>
          <cell r="AM124" t="e">
            <v>#VALUE!</v>
          </cell>
          <cell r="AN124" t="e">
            <v>#VALUE!</v>
          </cell>
          <cell r="AO124" t="e">
            <v>#VALUE!</v>
          </cell>
          <cell r="AP124" t="e">
            <v>#VALUE!</v>
          </cell>
          <cell r="AQ124" t="e">
            <v>#VALUE!</v>
          </cell>
          <cell r="AR124" t="e">
            <v>#VALUE!</v>
          </cell>
          <cell r="AS124" t="e">
            <v>#VALUE!</v>
          </cell>
          <cell r="AT124" t="e">
            <v>#VALUE!</v>
          </cell>
          <cell r="AU124" t="e">
            <v>#VALUE!</v>
          </cell>
          <cell r="AV124" t="e">
            <v>#VALUE!</v>
          </cell>
          <cell r="AW124" t="e">
            <v>#VALUE!</v>
          </cell>
          <cell r="AX124" t="e">
            <v>#VALUE!</v>
          </cell>
          <cell r="AY124" t="e">
            <v>#VALUE!</v>
          </cell>
          <cell r="AZ124" t="e">
            <v>#VALUE!</v>
          </cell>
          <cell r="BA124" t="e">
            <v>#VALUE!</v>
          </cell>
          <cell r="BB124" t="e">
            <v>#VALUE!</v>
          </cell>
          <cell r="BC124" t="e">
            <v>#VALUE!</v>
          </cell>
          <cell r="BD124" t="e">
            <v>#VALUE!</v>
          </cell>
          <cell r="BE124" t="e">
            <v>#VALUE!</v>
          </cell>
          <cell r="BF124" t="e">
            <v>#VALUE!</v>
          </cell>
          <cell r="BG124" t="e">
            <v>#VALUE!</v>
          </cell>
          <cell r="BH124" t="e">
            <v>#VALUE!</v>
          </cell>
          <cell r="BI124" t="e">
            <v>#VALUE!</v>
          </cell>
          <cell r="BJ124" t="e">
            <v>#VALUE!</v>
          </cell>
          <cell r="BK124" t="e">
            <v>#VALUE!</v>
          </cell>
          <cell r="BL124" t="e">
            <v>#VALUE!</v>
          </cell>
          <cell r="BM124" t="e">
            <v>#VALUE!</v>
          </cell>
        </row>
        <row r="125">
          <cell r="A125" t="str">
            <v>39692-PATRIOT/MEADS CAP</v>
          </cell>
          <cell r="B125">
            <v>39692</v>
          </cell>
          <cell r="C125" t="str">
            <v>PATRIOT/MEADS CAP - MISSILE</v>
          </cell>
          <cell r="D125" t="str">
            <v>PATRIOT/MEADS CAP SPLIT</v>
          </cell>
          <cell r="E125">
            <v>2004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-195.8</v>
          </cell>
          <cell r="N125">
            <v>0</v>
          </cell>
          <cell r="O125">
            <v>0</v>
          </cell>
          <cell r="P125">
            <v>0</v>
          </cell>
          <cell r="Q125">
            <v>2.2000000000000002</v>
          </cell>
          <cell r="R125">
            <v>0</v>
          </cell>
          <cell r="S125">
            <v>-193.6</v>
          </cell>
          <cell r="T125">
            <v>0</v>
          </cell>
          <cell r="U125">
            <v>314.8</v>
          </cell>
          <cell r="V125">
            <v>0</v>
          </cell>
          <cell r="W125">
            <v>0</v>
          </cell>
          <cell r="X125">
            <v>0</v>
          </cell>
          <cell r="Y125">
            <v>13</v>
          </cell>
          <cell r="Z125">
            <v>0</v>
          </cell>
          <cell r="AA125">
            <v>0</v>
          </cell>
          <cell r="AB125">
            <v>0</v>
          </cell>
          <cell r="AC125">
            <v>-268.39999999999998</v>
          </cell>
          <cell r="AD125">
            <v>0</v>
          </cell>
          <cell r="AE125">
            <v>0</v>
          </cell>
          <cell r="AF125">
            <v>0</v>
          </cell>
          <cell r="AG125">
            <v>0.1</v>
          </cell>
          <cell r="AH125">
            <v>0</v>
          </cell>
          <cell r="AI125">
            <v>59.5</v>
          </cell>
          <cell r="AJ125" t="e">
            <v>#VALUE!</v>
          </cell>
          <cell r="AK125" t="e">
            <v>#VALUE!</v>
          </cell>
          <cell r="AL125" t="e">
            <v>#VALUE!</v>
          </cell>
          <cell r="AM125" t="e">
            <v>#VALUE!</v>
          </cell>
          <cell r="AN125" t="e">
            <v>#VALUE!</v>
          </cell>
          <cell r="AO125" t="e">
            <v>#VALUE!</v>
          </cell>
          <cell r="AP125" t="e">
            <v>#VALUE!</v>
          </cell>
          <cell r="AQ125" t="e">
            <v>#VALUE!</v>
          </cell>
          <cell r="AR125" t="e">
            <v>#VALUE!</v>
          </cell>
          <cell r="AS125" t="e">
            <v>#VALUE!</v>
          </cell>
          <cell r="AT125" t="e">
            <v>#VALUE!</v>
          </cell>
          <cell r="AU125" t="e">
            <v>#VALUE!</v>
          </cell>
          <cell r="AV125" t="e">
            <v>#VALUE!</v>
          </cell>
          <cell r="AW125" t="e">
            <v>#VALUE!</v>
          </cell>
          <cell r="AX125" t="e">
            <v>#VALUE!</v>
          </cell>
          <cell r="AY125" t="e">
            <v>#VALUE!</v>
          </cell>
          <cell r="AZ125" t="e">
            <v>#VALUE!</v>
          </cell>
          <cell r="BA125" t="e">
            <v>#VALUE!</v>
          </cell>
          <cell r="BB125" t="e">
            <v>#VALUE!</v>
          </cell>
          <cell r="BC125" t="e">
            <v>#VALUE!</v>
          </cell>
          <cell r="BD125" t="e">
            <v>#VALUE!</v>
          </cell>
          <cell r="BE125" t="e">
            <v>#VALUE!</v>
          </cell>
          <cell r="BF125" t="e">
            <v>#VALUE!</v>
          </cell>
          <cell r="BG125" t="e">
            <v>#VALUE!</v>
          </cell>
          <cell r="BH125" t="e">
            <v>#VALUE!</v>
          </cell>
          <cell r="BI125" t="e">
            <v>#VALUE!</v>
          </cell>
          <cell r="BJ125" t="e">
            <v>#VALUE!</v>
          </cell>
          <cell r="BK125" t="e">
            <v>#VALUE!</v>
          </cell>
          <cell r="BL125" t="e">
            <v>#VALUE!</v>
          </cell>
          <cell r="BM125" t="e">
            <v>#VALUE!</v>
          </cell>
        </row>
        <row r="126">
          <cell r="A126" t="str">
            <v>40148-ATIRCM/CMWS</v>
          </cell>
          <cell r="B126">
            <v>40148</v>
          </cell>
          <cell r="C126" t="str">
            <v>ATIRCM/CMWS: CMWS</v>
          </cell>
          <cell r="D126" t="str">
            <v>ATIRCM/CMWS SPLIT</v>
          </cell>
          <cell r="E126">
            <v>2003</v>
          </cell>
          <cell r="F126">
            <v>21.8</v>
          </cell>
          <cell r="G126">
            <v>376.7</v>
          </cell>
          <cell r="H126">
            <v>0</v>
          </cell>
          <cell r="I126">
            <v>-99.2</v>
          </cell>
          <cell r="J126">
            <v>829.5</v>
          </cell>
          <cell r="K126">
            <v>635</v>
          </cell>
          <cell r="L126">
            <v>-6.5</v>
          </cell>
          <cell r="M126">
            <v>204.8</v>
          </cell>
          <cell r="N126">
            <v>0</v>
          </cell>
          <cell r="O126">
            <v>0</v>
          </cell>
          <cell r="P126">
            <v>136</v>
          </cell>
          <cell r="Q126">
            <v>51.6</v>
          </cell>
          <cell r="R126">
            <v>980.8</v>
          </cell>
          <cell r="S126">
            <v>1168.9000000000001</v>
          </cell>
          <cell r="T126">
            <v>-10.6</v>
          </cell>
          <cell r="U126">
            <v>124.6</v>
          </cell>
          <cell r="V126">
            <v>27.2</v>
          </cell>
          <cell r="W126">
            <v>587.1</v>
          </cell>
          <cell r="X126">
            <v>1.7</v>
          </cell>
          <cell r="Y126">
            <v>-424.3</v>
          </cell>
          <cell r="Z126">
            <v>1015.5</v>
          </cell>
          <cell r="AA126">
            <v>704</v>
          </cell>
          <cell r="AB126">
            <v>-7.8</v>
          </cell>
          <cell r="AC126">
            <v>258.5</v>
          </cell>
          <cell r="AD126">
            <v>0</v>
          </cell>
          <cell r="AE126">
            <v>0</v>
          </cell>
          <cell r="AF126">
            <v>152.4</v>
          </cell>
          <cell r="AG126">
            <v>42.7</v>
          </cell>
          <cell r="AH126">
            <v>1178.4000000000001</v>
          </cell>
          <cell r="AI126">
            <v>1292.5999999999999</v>
          </cell>
          <cell r="AJ126" t="e">
            <v>#VALUE!</v>
          </cell>
          <cell r="AK126" t="e">
            <v>#VALUE!</v>
          </cell>
          <cell r="AL126" t="e">
            <v>#VALUE!</v>
          </cell>
          <cell r="AM126" t="e">
            <v>#VALUE!</v>
          </cell>
          <cell r="AN126" t="e">
            <v>#VALUE!</v>
          </cell>
          <cell r="AO126" t="e">
            <v>#VALUE!</v>
          </cell>
          <cell r="AP126" t="e">
            <v>#VALUE!</v>
          </cell>
          <cell r="AQ126" t="e">
            <v>#VALUE!</v>
          </cell>
          <cell r="AR126" t="e">
            <v>#VALUE!</v>
          </cell>
          <cell r="AS126" t="e">
            <v>#VALUE!</v>
          </cell>
          <cell r="AT126" t="e">
            <v>#VALUE!</v>
          </cell>
          <cell r="AU126" t="e">
            <v>#VALUE!</v>
          </cell>
          <cell r="AV126" t="e">
            <v>#VALUE!</v>
          </cell>
          <cell r="AW126" t="e">
            <v>#VALUE!</v>
          </cell>
          <cell r="AX126" t="e">
            <v>#VALUE!</v>
          </cell>
          <cell r="AY126" t="e">
            <v>#VALUE!</v>
          </cell>
          <cell r="AZ126" t="e">
            <v>#VALUE!</v>
          </cell>
          <cell r="BA126" t="e">
            <v>#VALUE!</v>
          </cell>
          <cell r="BB126" t="e">
            <v>#VALUE!</v>
          </cell>
          <cell r="BC126" t="e">
            <v>#VALUE!</v>
          </cell>
          <cell r="BD126" t="e">
            <v>#VALUE!</v>
          </cell>
          <cell r="BE126" t="e">
            <v>#VALUE!</v>
          </cell>
          <cell r="BF126" t="e">
            <v>#VALUE!</v>
          </cell>
          <cell r="BG126" t="e">
            <v>#VALUE!</v>
          </cell>
          <cell r="BH126" t="e">
            <v>#VALUE!</v>
          </cell>
          <cell r="BI126" t="e">
            <v>#VALUE!</v>
          </cell>
          <cell r="BJ126" t="e">
            <v>#VALUE!</v>
          </cell>
          <cell r="BK126" t="e">
            <v>#VALUE!</v>
          </cell>
          <cell r="BL126" t="e">
            <v>#VALUE!</v>
          </cell>
          <cell r="BM126" t="e">
            <v>#VALUE!</v>
          </cell>
        </row>
        <row r="127">
          <cell r="A127" t="str">
            <v>40148-ATIRCM/CMWS</v>
          </cell>
          <cell r="B127">
            <v>40148</v>
          </cell>
          <cell r="C127" t="str">
            <v>ATIRCM/CMWS: QRC</v>
          </cell>
          <cell r="D127" t="str">
            <v>ATIRCM/CMWS SPLIT</v>
          </cell>
          <cell r="E127">
            <v>2003</v>
          </cell>
          <cell r="F127">
            <v>-763.6</v>
          </cell>
          <cell r="G127">
            <v>180.9</v>
          </cell>
          <cell r="H127">
            <v>-520.70000000000005</v>
          </cell>
          <cell r="I127">
            <v>-593.70000000000005</v>
          </cell>
          <cell r="J127">
            <v>302.8</v>
          </cell>
          <cell r="K127">
            <v>138.9</v>
          </cell>
          <cell r="L127">
            <v>-18.100000000000001</v>
          </cell>
          <cell r="M127">
            <v>312.39999999999998</v>
          </cell>
          <cell r="N127">
            <v>0</v>
          </cell>
          <cell r="O127">
            <v>0</v>
          </cell>
          <cell r="P127">
            <v>-157.5</v>
          </cell>
          <cell r="Q127">
            <v>-9.6</v>
          </cell>
          <cell r="R127">
            <v>-1157.0999999999999</v>
          </cell>
          <cell r="S127">
            <v>28.9</v>
          </cell>
          <cell r="T127">
            <v>-48.8</v>
          </cell>
          <cell r="U127">
            <v>25.4</v>
          </cell>
          <cell r="V127">
            <v>-937.7</v>
          </cell>
          <cell r="W127">
            <v>303.3</v>
          </cell>
          <cell r="X127">
            <v>-638.9</v>
          </cell>
          <cell r="Y127">
            <v>-866.9</v>
          </cell>
          <cell r="Z127">
            <v>351.4</v>
          </cell>
          <cell r="AA127">
            <v>179.7</v>
          </cell>
          <cell r="AB127">
            <v>-21.8</v>
          </cell>
          <cell r="AC127">
            <v>331.5</v>
          </cell>
          <cell r="AD127">
            <v>0</v>
          </cell>
          <cell r="AE127">
            <v>0</v>
          </cell>
          <cell r="AF127">
            <v>-185.7</v>
          </cell>
          <cell r="AG127">
            <v>6.6</v>
          </cell>
          <cell r="AH127">
            <v>-1481.5</v>
          </cell>
          <cell r="AI127">
            <v>-20.399999999999999</v>
          </cell>
          <cell r="AJ127" t="e">
            <v>#VALUE!</v>
          </cell>
          <cell r="AK127" t="e">
            <v>#VALUE!</v>
          </cell>
          <cell r="AL127" t="e">
            <v>#VALUE!</v>
          </cell>
          <cell r="AM127" t="e">
            <v>#VALUE!</v>
          </cell>
          <cell r="AN127" t="e">
            <v>#VALUE!</v>
          </cell>
          <cell r="AO127" t="e">
            <v>#VALUE!</v>
          </cell>
          <cell r="AP127" t="e">
            <v>#VALUE!</v>
          </cell>
          <cell r="AQ127" t="e">
            <v>#VALUE!</v>
          </cell>
          <cell r="AR127" t="e">
            <v>#VALUE!</v>
          </cell>
          <cell r="AS127" t="e">
            <v>#VALUE!</v>
          </cell>
          <cell r="AT127" t="e">
            <v>#VALUE!</v>
          </cell>
          <cell r="AU127" t="e">
            <v>#VALUE!</v>
          </cell>
          <cell r="AV127" t="e">
            <v>#VALUE!</v>
          </cell>
          <cell r="AW127" t="e">
            <v>#VALUE!</v>
          </cell>
          <cell r="AX127" t="e">
            <v>#VALUE!</v>
          </cell>
          <cell r="AY127" t="e">
            <v>#VALUE!</v>
          </cell>
          <cell r="AZ127" t="e">
            <v>#VALUE!</v>
          </cell>
          <cell r="BA127" t="e">
            <v>#VALUE!</v>
          </cell>
          <cell r="BB127" t="e">
            <v>#VALUE!</v>
          </cell>
          <cell r="BC127" t="e">
            <v>#VALUE!</v>
          </cell>
          <cell r="BD127" t="e">
            <v>#VALUE!</v>
          </cell>
          <cell r="BE127" t="e">
            <v>#VALUE!</v>
          </cell>
          <cell r="BF127" t="e">
            <v>#VALUE!</v>
          </cell>
          <cell r="BG127" t="e">
            <v>#VALUE!</v>
          </cell>
          <cell r="BH127" t="e">
            <v>#VALUE!</v>
          </cell>
          <cell r="BI127" t="e">
            <v>#VALUE!</v>
          </cell>
          <cell r="BJ127" t="e">
            <v>#VALUE!</v>
          </cell>
          <cell r="BK127" t="e">
            <v>#VALUE!</v>
          </cell>
          <cell r="BL127" t="e">
            <v>#VALUE!</v>
          </cell>
          <cell r="BM127" t="e">
            <v>#VALUE!</v>
          </cell>
        </row>
        <row r="128">
          <cell r="A128" t="str">
            <v>40148-IDECM</v>
          </cell>
          <cell r="B128">
            <v>40148</v>
          </cell>
          <cell r="C128" t="str">
            <v>IDECM Block 2/3</v>
          </cell>
          <cell r="D128" t="str">
            <v>IDECM Split</v>
          </cell>
          <cell r="E128">
            <v>2008</v>
          </cell>
          <cell r="F128">
            <v>-10.5</v>
          </cell>
          <cell r="G128">
            <v>-10.5</v>
          </cell>
          <cell r="H128">
            <v>80.2</v>
          </cell>
          <cell r="I128">
            <v>80.2</v>
          </cell>
          <cell r="J128">
            <v>0</v>
          </cell>
          <cell r="K128">
            <v>0</v>
          </cell>
          <cell r="L128">
            <v>-29.7</v>
          </cell>
          <cell r="M128">
            <v>-29.7</v>
          </cell>
          <cell r="N128">
            <v>0</v>
          </cell>
          <cell r="O128">
            <v>0</v>
          </cell>
          <cell r="P128">
            <v>28.1</v>
          </cell>
          <cell r="Q128">
            <v>28.1</v>
          </cell>
          <cell r="R128">
            <v>68.099999999999994</v>
          </cell>
          <cell r="S128">
            <v>68.099999999999994</v>
          </cell>
          <cell r="T128">
            <v>-23.4</v>
          </cell>
          <cell r="U128">
            <v>-23.4</v>
          </cell>
          <cell r="V128">
            <v>18.600000000000001</v>
          </cell>
          <cell r="W128">
            <v>18.600000000000001</v>
          </cell>
          <cell r="X128">
            <v>-4.5</v>
          </cell>
          <cell r="Y128">
            <v>-4.5</v>
          </cell>
          <cell r="Z128">
            <v>0</v>
          </cell>
          <cell r="AA128">
            <v>0</v>
          </cell>
          <cell r="AB128">
            <v>-29.7</v>
          </cell>
          <cell r="AC128">
            <v>-29.7</v>
          </cell>
          <cell r="AD128">
            <v>0</v>
          </cell>
          <cell r="AE128">
            <v>0</v>
          </cell>
          <cell r="AF128">
            <v>29.4</v>
          </cell>
          <cell r="AG128">
            <v>29.4</v>
          </cell>
          <cell r="AH128">
            <v>-9.6</v>
          </cell>
          <cell r="AI128">
            <v>-9.6</v>
          </cell>
          <cell r="AJ128" t="e">
            <v>#VALUE!</v>
          </cell>
          <cell r="AK128" t="e">
            <v>#VALUE!</v>
          </cell>
          <cell r="AL128" t="e">
            <v>#VALUE!</v>
          </cell>
          <cell r="AM128" t="e">
            <v>#VALUE!</v>
          </cell>
          <cell r="AN128" t="e">
            <v>#VALUE!</v>
          </cell>
          <cell r="AO128" t="e">
            <v>#VALUE!</v>
          </cell>
          <cell r="AP128" t="e">
            <v>#VALUE!</v>
          </cell>
          <cell r="AQ128" t="e">
            <v>#VALUE!</v>
          </cell>
          <cell r="AR128" t="e">
            <v>#VALUE!</v>
          </cell>
          <cell r="AS128" t="e">
            <v>#VALUE!</v>
          </cell>
          <cell r="AT128" t="e">
            <v>#VALUE!</v>
          </cell>
          <cell r="AU128" t="e">
            <v>#VALUE!</v>
          </cell>
          <cell r="AV128" t="e">
            <v>#VALUE!</v>
          </cell>
          <cell r="AW128" t="e">
            <v>#VALUE!</v>
          </cell>
          <cell r="AX128" t="e">
            <v>#VALUE!</v>
          </cell>
          <cell r="AY128" t="e">
            <v>#VALUE!</v>
          </cell>
          <cell r="AZ128" t="e">
            <v>#VALUE!</v>
          </cell>
          <cell r="BA128" t="e">
            <v>#VALUE!</v>
          </cell>
          <cell r="BB128" t="e">
            <v>#VALUE!</v>
          </cell>
          <cell r="BC128" t="e">
            <v>#VALUE!</v>
          </cell>
          <cell r="BD128" t="e">
            <v>#VALUE!</v>
          </cell>
          <cell r="BE128" t="e">
            <v>#VALUE!</v>
          </cell>
          <cell r="BF128" t="e">
            <v>#VALUE!</v>
          </cell>
          <cell r="BG128" t="e">
            <v>#VALUE!</v>
          </cell>
          <cell r="BH128" t="e">
            <v>#VALUE!</v>
          </cell>
          <cell r="BI128" t="e">
            <v>#VALUE!</v>
          </cell>
          <cell r="BJ128" t="e">
            <v>#VALUE!</v>
          </cell>
          <cell r="BK128" t="e">
            <v>#VALUE!</v>
          </cell>
          <cell r="BL128" t="e">
            <v>#VALUE!</v>
          </cell>
          <cell r="BM128" t="e">
            <v>#VALUE!</v>
          </cell>
        </row>
        <row r="129">
          <cell r="A129" t="str">
            <v>40148-IDECM</v>
          </cell>
          <cell r="B129">
            <v>40148</v>
          </cell>
          <cell r="C129" t="str">
            <v>IDECM Block 4</v>
          </cell>
          <cell r="D129" t="str">
            <v>IDECM Split</v>
          </cell>
          <cell r="E129">
            <v>2008</v>
          </cell>
          <cell r="F129">
            <v>15.8</v>
          </cell>
          <cell r="G129">
            <v>15.8</v>
          </cell>
          <cell r="H129">
            <v>-5.6</v>
          </cell>
          <cell r="I129">
            <v>-5.6</v>
          </cell>
          <cell r="J129">
            <v>0</v>
          </cell>
          <cell r="K129">
            <v>0</v>
          </cell>
          <cell r="L129">
            <v>-27.7</v>
          </cell>
          <cell r="M129">
            <v>-27.7</v>
          </cell>
          <cell r="N129">
            <v>0</v>
          </cell>
          <cell r="O129">
            <v>0</v>
          </cell>
          <cell r="P129">
            <v>25.5</v>
          </cell>
          <cell r="Q129">
            <v>25.5</v>
          </cell>
          <cell r="R129">
            <v>8</v>
          </cell>
          <cell r="S129">
            <v>8</v>
          </cell>
          <cell r="T129">
            <v>-46.4</v>
          </cell>
          <cell r="U129">
            <v>-46.4</v>
          </cell>
          <cell r="V129">
            <v>-11.2</v>
          </cell>
          <cell r="W129">
            <v>-11.2</v>
          </cell>
          <cell r="X129">
            <v>184.6</v>
          </cell>
          <cell r="Y129">
            <v>184.6</v>
          </cell>
          <cell r="Z129">
            <v>0</v>
          </cell>
          <cell r="AA129">
            <v>0</v>
          </cell>
          <cell r="AB129">
            <v>-52.1</v>
          </cell>
          <cell r="AC129">
            <v>-52.1</v>
          </cell>
          <cell r="AD129">
            <v>0</v>
          </cell>
          <cell r="AE129">
            <v>0</v>
          </cell>
          <cell r="AF129">
            <v>33</v>
          </cell>
          <cell r="AG129">
            <v>33</v>
          </cell>
          <cell r="AH129">
            <v>107.9</v>
          </cell>
          <cell r="AI129">
            <v>107.9</v>
          </cell>
          <cell r="AJ129" t="e">
            <v>#VALUE!</v>
          </cell>
          <cell r="AK129" t="e">
            <v>#VALUE!</v>
          </cell>
          <cell r="AL129" t="e">
            <v>#VALUE!</v>
          </cell>
          <cell r="AM129" t="e">
            <v>#VALUE!</v>
          </cell>
          <cell r="AN129" t="e">
            <v>#VALUE!</v>
          </cell>
          <cell r="AO129" t="e">
            <v>#VALUE!</v>
          </cell>
          <cell r="AP129" t="e">
            <v>#VALUE!</v>
          </cell>
          <cell r="AQ129" t="e">
            <v>#VALUE!</v>
          </cell>
          <cell r="AR129" t="e">
            <v>#VALUE!</v>
          </cell>
          <cell r="AS129" t="e">
            <v>#VALUE!</v>
          </cell>
          <cell r="AT129" t="e">
            <v>#VALUE!</v>
          </cell>
          <cell r="AU129" t="e">
            <v>#VALUE!</v>
          </cell>
          <cell r="AV129" t="e">
            <v>#VALUE!</v>
          </cell>
          <cell r="AW129" t="e">
            <v>#VALUE!</v>
          </cell>
          <cell r="AX129" t="e">
            <v>#VALUE!</v>
          </cell>
          <cell r="AY129" t="e">
            <v>#VALUE!</v>
          </cell>
          <cell r="AZ129" t="e">
            <v>#VALUE!</v>
          </cell>
          <cell r="BA129" t="e">
            <v>#VALUE!</v>
          </cell>
          <cell r="BB129" t="e">
            <v>#VALUE!</v>
          </cell>
          <cell r="BC129" t="e">
            <v>#VALUE!</v>
          </cell>
          <cell r="BD129" t="e">
            <v>#VALUE!</v>
          </cell>
          <cell r="BE129" t="e">
            <v>#VALUE!</v>
          </cell>
          <cell r="BF129" t="e">
            <v>#VALUE!</v>
          </cell>
          <cell r="BG129" t="e">
            <v>#VALUE!</v>
          </cell>
          <cell r="BH129" t="e">
            <v>#VALUE!</v>
          </cell>
          <cell r="BI129" t="e">
            <v>#VALUE!</v>
          </cell>
          <cell r="BJ129" t="e">
            <v>#VALUE!</v>
          </cell>
          <cell r="BK129" t="e">
            <v>#VALUE!</v>
          </cell>
          <cell r="BL129" t="e">
            <v>#VALUE!</v>
          </cell>
          <cell r="BM129" t="e">
            <v>#VALUE!</v>
          </cell>
        </row>
        <row r="130">
          <cell r="A130" t="str">
            <v>40148-JSOW</v>
          </cell>
          <cell r="B130">
            <v>40148</v>
          </cell>
          <cell r="C130" t="str">
            <v>JSOW (BASELINE/UNITARY) - BASELINE/BLU-108</v>
          </cell>
          <cell r="D130" t="str">
            <v>JSOW Split</v>
          </cell>
          <cell r="E130">
            <v>1990</v>
          </cell>
          <cell r="F130">
            <v>0</v>
          </cell>
          <cell r="G130">
            <v>-2059.3000000000002</v>
          </cell>
          <cell r="H130">
            <v>3.5</v>
          </cell>
          <cell r="I130">
            <v>5.9</v>
          </cell>
          <cell r="J130">
            <v>0</v>
          </cell>
          <cell r="K130">
            <v>76.599999999999994</v>
          </cell>
          <cell r="L130">
            <v>-0.4</v>
          </cell>
          <cell r="M130">
            <v>-97.7</v>
          </cell>
          <cell r="N130">
            <v>0</v>
          </cell>
          <cell r="O130">
            <v>0</v>
          </cell>
          <cell r="P130">
            <v>-0.5</v>
          </cell>
          <cell r="Q130">
            <v>-13.3</v>
          </cell>
          <cell r="R130">
            <v>2.6</v>
          </cell>
          <cell r="S130">
            <v>-2087.8000000000002</v>
          </cell>
          <cell r="T130">
            <v>-8.4</v>
          </cell>
          <cell r="U130">
            <v>-38.9</v>
          </cell>
          <cell r="V130">
            <v>0</v>
          </cell>
          <cell r="W130">
            <v>-3204.5</v>
          </cell>
          <cell r="X130">
            <v>11.2</v>
          </cell>
          <cell r="Y130">
            <v>391</v>
          </cell>
          <cell r="Z130">
            <v>0</v>
          </cell>
          <cell r="AA130">
            <v>104</v>
          </cell>
          <cell r="AB130">
            <v>-0.6</v>
          </cell>
          <cell r="AC130">
            <v>-266.3</v>
          </cell>
          <cell r="AD130">
            <v>0</v>
          </cell>
          <cell r="AE130">
            <v>0</v>
          </cell>
          <cell r="AF130">
            <v>-1.1000000000000001</v>
          </cell>
          <cell r="AG130">
            <v>-21.3</v>
          </cell>
          <cell r="AH130">
            <v>1.1000000000000001</v>
          </cell>
          <cell r="AI130">
            <v>-3036</v>
          </cell>
          <cell r="AJ130" t="e">
            <v>#VALUE!</v>
          </cell>
          <cell r="AK130" t="e">
            <v>#VALUE!</v>
          </cell>
          <cell r="AL130" t="e">
            <v>#VALUE!</v>
          </cell>
          <cell r="AM130" t="e">
            <v>#VALUE!</v>
          </cell>
          <cell r="AN130" t="e">
            <v>#VALUE!</v>
          </cell>
          <cell r="AO130" t="e">
            <v>#VALUE!</v>
          </cell>
          <cell r="AP130" t="e">
            <v>#VALUE!</v>
          </cell>
          <cell r="AQ130" t="e">
            <v>#VALUE!</v>
          </cell>
          <cell r="AR130" t="e">
            <v>#VALUE!</v>
          </cell>
          <cell r="AS130" t="e">
            <v>#VALUE!</v>
          </cell>
          <cell r="AT130" t="e">
            <v>#VALUE!</v>
          </cell>
          <cell r="AU130" t="e">
            <v>#VALUE!</v>
          </cell>
          <cell r="AV130" t="e">
            <v>#VALUE!</v>
          </cell>
          <cell r="AW130" t="e">
            <v>#VALUE!</v>
          </cell>
          <cell r="AX130" t="e">
            <v>#VALUE!</v>
          </cell>
          <cell r="AY130" t="e">
            <v>#VALUE!</v>
          </cell>
          <cell r="AZ130" t="e">
            <v>#VALUE!</v>
          </cell>
          <cell r="BA130" t="e">
            <v>#VALUE!</v>
          </cell>
          <cell r="BB130" t="e">
            <v>#VALUE!</v>
          </cell>
          <cell r="BC130" t="e">
            <v>#VALUE!</v>
          </cell>
          <cell r="BD130" t="e">
            <v>#VALUE!</v>
          </cell>
          <cell r="BE130" t="e">
            <v>#VALUE!</v>
          </cell>
          <cell r="BF130" t="e">
            <v>#VALUE!</v>
          </cell>
          <cell r="BG130" t="e">
            <v>#VALUE!</v>
          </cell>
          <cell r="BH130" t="e">
            <v>#VALUE!</v>
          </cell>
          <cell r="BI130" t="e">
            <v>#VALUE!</v>
          </cell>
          <cell r="BJ130" t="e">
            <v>#VALUE!</v>
          </cell>
          <cell r="BK130" t="e">
            <v>#VALUE!</v>
          </cell>
          <cell r="BL130" t="e">
            <v>#VALUE!</v>
          </cell>
          <cell r="BM130" t="e">
            <v>#VALUE!</v>
          </cell>
        </row>
        <row r="131">
          <cell r="A131" t="str">
            <v>40148-JSOW</v>
          </cell>
          <cell r="B131">
            <v>40148</v>
          </cell>
          <cell r="C131" t="str">
            <v>JSOW (BASELINE/UNITARY) - UNITARY</v>
          </cell>
          <cell r="D131" t="str">
            <v>JSOW Split</v>
          </cell>
          <cell r="E131">
            <v>1990</v>
          </cell>
          <cell r="F131">
            <v>0</v>
          </cell>
          <cell r="G131">
            <v>0</v>
          </cell>
          <cell r="H131">
            <v>0</v>
          </cell>
          <cell r="I131">
            <v>5.9</v>
          </cell>
          <cell r="J131">
            <v>347.7</v>
          </cell>
          <cell r="K131">
            <v>396.9</v>
          </cell>
          <cell r="L131">
            <v>-29.1</v>
          </cell>
          <cell r="M131">
            <v>-276.10000000000002</v>
          </cell>
          <cell r="N131">
            <v>0</v>
          </cell>
          <cell r="O131">
            <v>0</v>
          </cell>
          <cell r="P131">
            <v>-1</v>
          </cell>
          <cell r="Q131">
            <v>-9.8000000000000007</v>
          </cell>
          <cell r="R131">
            <v>317.60000000000002</v>
          </cell>
          <cell r="S131">
            <v>116.9</v>
          </cell>
          <cell r="T131">
            <v>-56.2</v>
          </cell>
          <cell r="U131">
            <v>77.3</v>
          </cell>
          <cell r="V131">
            <v>0</v>
          </cell>
          <cell r="W131">
            <v>0</v>
          </cell>
          <cell r="X131">
            <v>32.799999999999997</v>
          </cell>
          <cell r="Y131">
            <v>33.200000000000003</v>
          </cell>
          <cell r="Z131">
            <v>564.29999999999995</v>
          </cell>
          <cell r="AA131">
            <v>642.9</v>
          </cell>
          <cell r="AB131">
            <v>-50.1</v>
          </cell>
          <cell r="AC131">
            <v>-499.6</v>
          </cell>
          <cell r="AD131">
            <v>0</v>
          </cell>
          <cell r="AE131">
            <v>0</v>
          </cell>
          <cell r="AF131">
            <v>-1.9</v>
          </cell>
          <cell r="AG131">
            <v>-14.6</v>
          </cell>
          <cell r="AH131">
            <v>488.9</v>
          </cell>
          <cell r="AI131">
            <v>239.2</v>
          </cell>
          <cell r="AJ131" t="e">
            <v>#VALUE!</v>
          </cell>
          <cell r="AK131" t="e">
            <v>#VALUE!</v>
          </cell>
          <cell r="AL131" t="e">
            <v>#VALUE!</v>
          </cell>
          <cell r="AM131" t="e">
            <v>#VALUE!</v>
          </cell>
          <cell r="AN131" t="e">
            <v>#VALUE!</v>
          </cell>
          <cell r="AO131" t="e">
            <v>#VALUE!</v>
          </cell>
          <cell r="AP131" t="e">
            <v>#VALUE!</v>
          </cell>
          <cell r="AQ131" t="e">
            <v>#VALUE!</v>
          </cell>
          <cell r="AR131" t="e">
            <v>#VALUE!</v>
          </cell>
          <cell r="AS131" t="e">
            <v>#VALUE!</v>
          </cell>
          <cell r="AT131" t="e">
            <v>#VALUE!</v>
          </cell>
          <cell r="AU131" t="e">
            <v>#VALUE!</v>
          </cell>
          <cell r="AV131" t="e">
            <v>#VALUE!</v>
          </cell>
          <cell r="AW131" t="e">
            <v>#VALUE!</v>
          </cell>
          <cell r="AX131" t="e">
            <v>#VALUE!</v>
          </cell>
          <cell r="AY131" t="e">
            <v>#VALUE!</v>
          </cell>
          <cell r="AZ131" t="e">
            <v>#VALUE!</v>
          </cell>
          <cell r="BA131" t="e">
            <v>#VALUE!</v>
          </cell>
          <cell r="BB131" t="e">
            <v>#VALUE!</v>
          </cell>
          <cell r="BC131" t="e">
            <v>#VALUE!</v>
          </cell>
          <cell r="BD131" t="e">
            <v>#VALUE!</v>
          </cell>
          <cell r="BE131" t="e">
            <v>#VALUE!</v>
          </cell>
          <cell r="BF131" t="e">
            <v>#VALUE!</v>
          </cell>
          <cell r="BG131" t="e">
            <v>#VALUE!</v>
          </cell>
          <cell r="BH131" t="e">
            <v>#VALUE!</v>
          </cell>
          <cell r="BI131" t="e">
            <v>#VALUE!</v>
          </cell>
          <cell r="BJ131" t="e">
            <v>#VALUE!</v>
          </cell>
          <cell r="BK131" t="e">
            <v>#VALUE!</v>
          </cell>
          <cell r="BL131" t="e">
            <v>#VALUE!</v>
          </cell>
          <cell r="BM131" t="e">
            <v>#VALUE!</v>
          </cell>
        </row>
        <row r="132">
          <cell r="A132" t="str">
            <v>40148-NAVSTAR GPS</v>
          </cell>
          <cell r="B132">
            <v>40148</v>
          </cell>
          <cell r="C132" t="str">
            <v>NAVSTAR GPS - SPACE &amp; CONTROL</v>
          </cell>
          <cell r="D132" t="str">
            <v>NAVSTAR GPS SPLIT</v>
          </cell>
          <cell r="E132">
            <v>2000</v>
          </cell>
          <cell r="F132">
            <v>0</v>
          </cell>
          <cell r="G132">
            <v>20</v>
          </cell>
          <cell r="H132">
            <v>0</v>
          </cell>
          <cell r="I132">
            <v>0</v>
          </cell>
          <cell r="J132">
            <v>0</v>
          </cell>
          <cell r="K132">
            <v>391.9</v>
          </cell>
          <cell r="L132">
            <v>-114.1</v>
          </cell>
          <cell r="M132">
            <v>216.1</v>
          </cell>
          <cell r="N132">
            <v>0</v>
          </cell>
          <cell r="O132">
            <v>0</v>
          </cell>
          <cell r="P132">
            <v>179.1</v>
          </cell>
          <cell r="Q132">
            <v>384.5</v>
          </cell>
          <cell r="R132">
            <v>65</v>
          </cell>
          <cell r="S132">
            <v>1012.5</v>
          </cell>
          <cell r="T132">
            <v>-15.5</v>
          </cell>
          <cell r="U132">
            <v>25.3</v>
          </cell>
          <cell r="V132">
            <v>0</v>
          </cell>
          <cell r="W132">
            <v>-2.2999999999999998</v>
          </cell>
          <cell r="X132">
            <v>0</v>
          </cell>
          <cell r="Y132">
            <v>8.3000000000000007</v>
          </cell>
          <cell r="Z132">
            <v>0</v>
          </cell>
          <cell r="AA132">
            <v>435.4</v>
          </cell>
          <cell r="AB132">
            <v>-148</v>
          </cell>
          <cell r="AC132">
            <v>315.60000000000002</v>
          </cell>
          <cell r="AD132">
            <v>0</v>
          </cell>
          <cell r="AE132">
            <v>0</v>
          </cell>
          <cell r="AF132">
            <v>218.8</v>
          </cell>
          <cell r="AG132">
            <v>458.2</v>
          </cell>
          <cell r="AH132">
            <v>55.3</v>
          </cell>
          <cell r="AI132">
            <v>1240.5</v>
          </cell>
          <cell r="AJ132" t="e">
            <v>#VALUE!</v>
          </cell>
          <cell r="AK132" t="e">
            <v>#VALUE!</v>
          </cell>
          <cell r="AL132" t="e">
            <v>#VALUE!</v>
          </cell>
          <cell r="AM132" t="e">
            <v>#VALUE!</v>
          </cell>
          <cell r="AN132" t="e">
            <v>#VALUE!</v>
          </cell>
          <cell r="AO132" t="e">
            <v>#VALUE!</v>
          </cell>
          <cell r="AP132" t="e">
            <v>#VALUE!</v>
          </cell>
          <cell r="AQ132" t="e">
            <v>#VALUE!</v>
          </cell>
          <cell r="AR132" t="e">
            <v>#VALUE!</v>
          </cell>
          <cell r="AS132" t="e">
            <v>#VALUE!</v>
          </cell>
          <cell r="AT132" t="e">
            <v>#VALUE!</v>
          </cell>
          <cell r="AU132" t="e">
            <v>#VALUE!</v>
          </cell>
          <cell r="AV132" t="e">
            <v>#VALUE!</v>
          </cell>
          <cell r="AW132" t="e">
            <v>#VALUE!</v>
          </cell>
          <cell r="AX132" t="e">
            <v>#VALUE!</v>
          </cell>
          <cell r="AY132" t="e">
            <v>#VALUE!</v>
          </cell>
          <cell r="AZ132" t="e">
            <v>#VALUE!</v>
          </cell>
          <cell r="BA132" t="e">
            <v>#VALUE!</v>
          </cell>
          <cell r="BB132" t="e">
            <v>#VALUE!</v>
          </cell>
          <cell r="BC132" t="e">
            <v>#VALUE!</v>
          </cell>
          <cell r="BD132" t="e">
            <v>#VALUE!</v>
          </cell>
          <cell r="BE132" t="e">
            <v>#VALUE!</v>
          </cell>
          <cell r="BF132" t="e">
            <v>#VALUE!</v>
          </cell>
          <cell r="BG132" t="e">
            <v>#VALUE!</v>
          </cell>
          <cell r="BH132" t="e">
            <v>#VALUE!</v>
          </cell>
          <cell r="BI132" t="e">
            <v>#VALUE!</v>
          </cell>
          <cell r="BJ132" t="e">
            <v>#VALUE!</v>
          </cell>
          <cell r="BK132" t="e">
            <v>#VALUE!</v>
          </cell>
          <cell r="BL132" t="e">
            <v>#VALUE!</v>
          </cell>
          <cell r="BM132" t="e">
            <v>#VALUE!</v>
          </cell>
        </row>
        <row r="133">
          <cell r="A133" t="str">
            <v>40148-NAVSTAR GPS</v>
          </cell>
          <cell r="B133">
            <v>40148</v>
          </cell>
          <cell r="C133" t="str">
            <v>NAVSTAR GPS - USER EQUIPMENT</v>
          </cell>
          <cell r="D133" t="str">
            <v>NAVSTAR GPS SPLIT</v>
          </cell>
          <cell r="E133">
            <v>2000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251.6</v>
          </cell>
          <cell r="L133">
            <v>22</v>
          </cell>
          <cell r="M133">
            <v>761.4</v>
          </cell>
          <cell r="N133">
            <v>0</v>
          </cell>
          <cell r="O133">
            <v>0</v>
          </cell>
          <cell r="P133">
            <v>-39.9</v>
          </cell>
          <cell r="Q133">
            <v>-38.1</v>
          </cell>
          <cell r="R133">
            <v>-17.899999999999999</v>
          </cell>
          <cell r="S133">
            <v>974.9</v>
          </cell>
          <cell r="T133">
            <v>-22.2</v>
          </cell>
          <cell r="U133">
            <v>-4.5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277.8</v>
          </cell>
          <cell r="AB133">
            <v>28.7</v>
          </cell>
          <cell r="AC133">
            <v>947.6</v>
          </cell>
          <cell r="AD133">
            <v>0</v>
          </cell>
          <cell r="AE133">
            <v>0</v>
          </cell>
          <cell r="AF133">
            <v>-51.1</v>
          </cell>
          <cell r="AG133">
            <v>-46.2</v>
          </cell>
          <cell r="AH133">
            <v>-44.6</v>
          </cell>
          <cell r="AI133">
            <v>1174.7</v>
          </cell>
          <cell r="AJ133" t="e">
            <v>#VALUE!</v>
          </cell>
          <cell r="AK133" t="e">
            <v>#VALUE!</v>
          </cell>
          <cell r="AL133" t="e">
            <v>#VALUE!</v>
          </cell>
          <cell r="AM133" t="e">
            <v>#VALUE!</v>
          </cell>
          <cell r="AN133" t="e">
            <v>#VALUE!</v>
          </cell>
          <cell r="AO133" t="e">
            <v>#VALUE!</v>
          </cell>
          <cell r="AP133" t="e">
            <v>#VALUE!</v>
          </cell>
          <cell r="AQ133" t="e">
            <v>#VALUE!</v>
          </cell>
          <cell r="AR133" t="e">
            <v>#VALUE!</v>
          </cell>
          <cell r="AS133" t="e">
            <v>#VALUE!</v>
          </cell>
          <cell r="AT133" t="e">
            <v>#VALUE!</v>
          </cell>
          <cell r="AU133" t="e">
            <v>#VALUE!</v>
          </cell>
          <cell r="AV133" t="e">
            <v>#VALUE!</v>
          </cell>
          <cell r="AW133" t="e">
            <v>#VALUE!</v>
          </cell>
          <cell r="AX133" t="e">
            <v>#VALUE!</v>
          </cell>
          <cell r="AY133" t="e">
            <v>#VALUE!</v>
          </cell>
          <cell r="AZ133" t="e">
            <v>#VALUE!</v>
          </cell>
          <cell r="BA133" t="e">
            <v>#VALUE!</v>
          </cell>
          <cell r="BB133" t="e">
            <v>#VALUE!</v>
          </cell>
          <cell r="BC133" t="e">
            <v>#VALUE!</v>
          </cell>
          <cell r="BD133" t="e">
            <v>#VALUE!</v>
          </cell>
          <cell r="BE133" t="e">
            <v>#VALUE!</v>
          </cell>
          <cell r="BF133" t="e">
            <v>#VALUE!</v>
          </cell>
          <cell r="BG133" t="e">
            <v>#VALUE!</v>
          </cell>
          <cell r="BH133" t="e">
            <v>#VALUE!</v>
          </cell>
          <cell r="BI133" t="e">
            <v>#VALUE!</v>
          </cell>
          <cell r="BJ133" t="e">
            <v>#VALUE!</v>
          </cell>
          <cell r="BK133" t="e">
            <v>#VALUE!</v>
          </cell>
          <cell r="BL133" t="e">
            <v>#VALUE!</v>
          </cell>
          <cell r="BM133" t="e">
            <v>#VALUE!</v>
          </cell>
        </row>
        <row r="134">
          <cell r="A134" t="str">
            <v>40148-PATRIOT/MEADS CAP</v>
          </cell>
          <cell r="B134">
            <v>40148</v>
          </cell>
          <cell r="C134" t="str">
            <v>PATRIOT MEADS CAP: FIRE UNIT</v>
          </cell>
          <cell r="D134" t="str">
            <v>PATRIOT/MEADS CAP SPLIT</v>
          </cell>
          <cell r="E134">
            <v>2004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-16.5</v>
          </cell>
          <cell r="M134">
            <v>-651.70000000000005</v>
          </cell>
          <cell r="N134">
            <v>0</v>
          </cell>
          <cell r="O134">
            <v>0</v>
          </cell>
          <cell r="P134">
            <v>250.1</v>
          </cell>
          <cell r="Q134">
            <v>163</v>
          </cell>
          <cell r="R134">
            <v>233.6</v>
          </cell>
          <cell r="S134">
            <v>-488.7</v>
          </cell>
          <cell r="T134">
            <v>-928.8</v>
          </cell>
          <cell r="U134">
            <v>-53.2</v>
          </cell>
          <cell r="V134">
            <v>0</v>
          </cell>
          <cell r="W134">
            <v>0</v>
          </cell>
          <cell r="X134">
            <v>404.8</v>
          </cell>
          <cell r="Y134">
            <v>404.8</v>
          </cell>
          <cell r="Z134">
            <v>0</v>
          </cell>
          <cell r="AA134">
            <v>0</v>
          </cell>
          <cell r="AB134">
            <v>279.7</v>
          </cell>
          <cell r="AC134">
            <v>-533.5</v>
          </cell>
          <cell r="AD134">
            <v>0</v>
          </cell>
          <cell r="AE134">
            <v>0</v>
          </cell>
          <cell r="AF134">
            <v>429.9</v>
          </cell>
          <cell r="AG134">
            <v>307.8</v>
          </cell>
          <cell r="AH134">
            <v>185.6</v>
          </cell>
          <cell r="AI134">
            <v>125.9</v>
          </cell>
          <cell r="AJ134" t="e">
            <v>#VALUE!</v>
          </cell>
          <cell r="AK134" t="e">
            <v>#VALUE!</v>
          </cell>
          <cell r="AL134" t="e">
            <v>#VALUE!</v>
          </cell>
          <cell r="AM134" t="e">
            <v>#VALUE!</v>
          </cell>
          <cell r="AN134" t="e">
            <v>#VALUE!</v>
          </cell>
          <cell r="AO134" t="e">
            <v>#VALUE!</v>
          </cell>
          <cell r="AP134" t="e">
            <v>#VALUE!</v>
          </cell>
          <cell r="AQ134" t="e">
            <v>#VALUE!</v>
          </cell>
          <cell r="AR134" t="e">
            <v>#VALUE!</v>
          </cell>
          <cell r="AS134" t="e">
            <v>#VALUE!</v>
          </cell>
          <cell r="AT134" t="e">
            <v>#VALUE!</v>
          </cell>
          <cell r="AU134" t="e">
            <v>#VALUE!</v>
          </cell>
          <cell r="AV134" t="e">
            <v>#VALUE!</v>
          </cell>
          <cell r="AW134" t="e">
            <v>#VALUE!</v>
          </cell>
          <cell r="AX134" t="e">
            <v>#VALUE!</v>
          </cell>
          <cell r="AY134" t="e">
            <v>#VALUE!</v>
          </cell>
          <cell r="AZ134" t="e">
            <v>#VALUE!</v>
          </cell>
          <cell r="BA134" t="e">
            <v>#VALUE!</v>
          </cell>
          <cell r="BB134" t="e">
            <v>#VALUE!</v>
          </cell>
          <cell r="BC134" t="e">
            <v>#VALUE!</v>
          </cell>
          <cell r="BD134" t="e">
            <v>#VALUE!</v>
          </cell>
          <cell r="BE134" t="e">
            <v>#VALUE!</v>
          </cell>
          <cell r="BF134" t="e">
            <v>#VALUE!</v>
          </cell>
          <cell r="BG134" t="e">
            <v>#VALUE!</v>
          </cell>
          <cell r="BH134" t="e">
            <v>#VALUE!</v>
          </cell>
          <cell r="BI134" t="e">
            <v>#VALUE!</v>
          </cell>
          <cell r="BJ134" t="e">
            <v>#VALUE!</v>
          </cell>
          <cell r="BK134" t="e">
            <v>#VALUE!</v>
          </cell>
          <cell r="BL134" t="e">
            <v>#VALUE!</v>
          </cell>
          <cell r="BM134" t="e">
            <v>#VALUE!</v>
          </cell>
        </row>
        <row r="135">
          <cell r="A135" t="str">
            <v>40148-PATRIOT/MEADS CAP</v>
          </cell>
          <cell r="B135">
            <v>40148</v>
          </cell>
          <cell r="C135" t="str">
            <v>PATRIOT MEADS CAP: MISSILE</v>
          </cell>
          <cell r="D135" t="str">
            <v>PATRIOT/MEADS CAP SPLIT</v>
          </cell>
          <cell r="E135">
            <v>2004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620.5</v>
          </cell>
          <cell r="M135">
            <v>424.7</v>
          </cell>
          <cell r="N135">
            <v>0</v>
          </cell>
          <cell r="O135">
            <v>0</v>
          </cell>
          <cell r="P135">
            <v>4</v>
          </cell>
          <cell r="Q135">
            <v>6.2</v>
          </cell>
          <cell r="R135">
            <v>624.5</v>
          </cell>
          <cell r="S135">
            <v>430.9</v>
          </cell>
          <cell r="T135">
            <v>-320.2</v>
          </cell>
          <cell r="U135">
            <v>-5.4</v>
          </cell>
          <cell r="V135">
            <v>0</v>
          </cell>
          <cell r="W135">
            <v>0</v>
          </cell>
          <cell r="X135">
            <v>254.4</v>
          </cell>
          <cell r="Y135">
            <v>267.39999999999998</v>
          </cell>
          <cell r="Z135">
            <v>0</v>
          </cell>
          <cell r="AA135">
            <v>0</v>
          </cell>
          <cell r="AB135">
            <v>781.3</v>
          </cell>
          <cell r="AC135">
            <v>512.9</v>
          </cell>
          <cell r="AD135">
            <v>0</v>
          </cell>
          <cell r="AE135">
            <v>0</v>
          </cell>
          <cell r="AF135">
            <v>31</v>
          </cell>
          <cell r="AG135">
            <v>31.1</v>
          </cell>
          <cell r="AH135">
            <v>746.5</v>
          </cell>
          <cell r="AI135">
            <v>806</v>
          </cell>
          <cell r="AJ135" t="e">
            <v>#VALUE!</v>
          </cell>
          <cell r="AK135" t="e">
            <v>#VALUE!</v>
          </cell>
          <cell r="AL135" t="e">
            <v>#VALUE!</v>
          </cell>
          <cell r="AM135" t="e">
            <v>#VALUE!</v>
          </cell>
          <cell r="AN135" t="e">
            <v>#VALUE!</v>
          </cell>
          <cell r="AO135" t="e">
            <v>#VALUE!</v>
          </cell>
          <cell r="AP135" t="e">
            <v>#VALUE!</v>
          </cell>
          <cell r="AQ135" t="e">
            <v>#VALUE!</v>
          </cell>
          <cell r="AR135" t="e">
            <v>#VALUE!</v>
          </cell>
          <cell r="AS135" t="e">
            <v>#VALUE!</v>
          </cell>
          <cell r="AT135" t="e">
            <v>#VALUE!</v>
          </cell>
          <cell r="AU135" t="e">
            <v>#VALUE!</v>
          </cell>
          <cell r="AV135" t="e">
            <v>#VALUE!</v>
          </cell>
          <cell r="AW135" t="e">
            <v>#VALUE!</v>
          </cell>
          <cell r="AX135" t="e">
            <v>#VALUE!</v>
          </cell>
          <cell r="AY135" t="e">
            <v>#VALUE!</v>
          </cell>
          <cell r="AZ135" t="e">
            <v>#VALUE!</v>
          </cell>
          <cell r="BA135" t="e">
            <v>#VALUE!</v>
          </cell>
          <cell r="BB135" t="e">
            <v>#VALUE!</v>
          </cell>
          <cell r="BC135" t="e">
            <v>#VALUE!</v>
          </cell>
          <cell r="BD135" t="e">
            <v>#VALUE!</v>
          </cell>
          <cell r="BE135" t="e">
            <v>#VALUE!</v>
          </cell>
          <cell r="BF135" t="e">
            <v>#VALUE!</v>
          </cell>
          <cell r="BG135" t="e">
            <v>#VALUE!</v>
          </cell>
          <cell r="BH135" t="e">
            <v>#VALUE!</v>
          </cell>
          <cell r="BI135" t="e">
            <v>#VALUE!</v>
          </cell>
          <cell r="BJ135" t="e">
            <v>#VALUE!</v>
          </cell>
          <cell r="BK135" t="e">
            <v>#VALUE!</v>
          </cell>
          <cell r="BL135" t="e">
            <v>#VALUE!</v>
          </cell>
          <cell r="BM135" t="e">
            <v>#VALUE!</v>
          </cell>
        </row>
        <row r="136">
          <cell r="A136" t="str">
            <v>40513-AB3A REMANUF</v>
          </cell>
          <cell r="B136">
            <v>40513</v>
          </cell>
          <cell r="C136" t="str">
            <v>AB3A REMANUFACTURE</v>
          </cell>
          <cell r="D136" t="str">
            <v>AB3A REMANUFACTURE</v>
          </cell>
          <cell r="E136">
            <v>2010</v>
          </cell>
          <cell r="F136">
            <v>0</v>
          </cell>
          <cell r="G136">
            <v>201.6</v>
          </cell>
          <cell r="H136">
            <v>0</v>
          </cell>
          <cell r="I136">
            <v>0.9</v>
          </cell>
          <cell r="J136">
            <v>0</v>
          </cell>
          <cell r="K136">
            <v>0</v>
          </cell>
          <cell r="L136">
            <v>2161.6999999999998</v>
          </cell>
          <cell r="M136">
            <v>2222.3000000000002</v>
          </cell>
          <cell r="N136">
            <v>0</v>
          </cell>
          <cell r="O136">
            <v>0</v>
          </cell>
          <cell r="P136">
            <v>127.8</v>
          </cell>
          <cell r="Q136">
            <v>963.3</v>
          </cell>
          <cell r="R136">
            <v>2289.5</v>
          </cell>
          <cell r="S136">
            <v>3388.1</v>
          </cell>
          <cell r="T136">
            <v>21.1</v>
          </cell>
          <cell r="U136">
            <v>-384.7</v>
          </cell>
          <cell r="V136">
            <v>0</v>
          </cell>
          <cell r="W136">
            <v>395.5</v>
          </cell>
          <cell r="X136">
            <v>19.899999999999999</v>
          </cell>
          <cell r="Y136">
            <v>147.5</v>
          </cell>
          <cell r="Z136">
            <v>0</v>
          </cell>
          <cell r="AA136">
            <v>0</v>
          </cell>
          <cell r="AB136">
            <v>2534.6</v>
          </cell>
          <cell r="AC136">
            <v>2593.9</v>
          </cell>
          <cell r="AD136">
            <v>0</v>
          </cell>
          <cell r="AE136">
            <v>0</v>
          </cell>
          <cell r="AF136">
            <v>141.9</v>
          </cell>
          <cell r="AG136">
            <v>1047</v>
          </cell>
          <cell r="AH136">
            <v>2717.5</v>
          </cell>
          <cell r="AI136">
            <v>3799.2</v>
          </cell>
          <cell r="AJ136" t="e">
            <v>#VALUE!</v>
          </cell>
          <cell r="AK136" t="e">
            <v>#VALUE!</v>
          </cell>
          <cell r="AL136" t="e">
            <v>#VALUE!</v>
          </cell>
          <cell r="AM136" t="e">
            <v>#VALUE!</v>
          </cell>
          <cell r="AN136" t="e">
            <v>#VALUE!</v>
          </cell>
          <cell r="AO136" t="e">
            <v>#VALUE!</v>
          </cell>
          <cell r="AP136" t="e">
            <v>#VALUE!</v>
          </cell>
          <cell r="AQ136" t="e">
            <v>#VALUE!</v>
          </cell>
          <cell r="AR136" t="e">
            <v>#VALUE!</v>
          </cell>
          <cell r="AS136" t="e">
            <v>#VALUE!</v>
          </cell>
          <cell r="AT136" t="e">
            <v>#VALUE!</v>
          </cell>
          <cell r="AU136" t="e">
            <v>#VALUE!</v>
          </cell>
          <cell r="AV136" t="e">
            <v>#VALUE!</v>
          </cell>
          <cell r="AW136" t="e">
            <v>#VALUE!</v>
          </cell>
          <cell r="AX136" t="e">
            <v>#VALUE!</v>
          </cell>
          <cell r="AY136" t="e">
            <v>#VALUE!</v>
          </cell>
          <cell r="AZ136" t="e">
            <v>#VALUE!</v>
          </cell>
          <cell r="BA136" t="e">
            <v>#VALUE!</v>
          </cell>
          <cell r="BB136" t="e">
            <v>#VALUE!</v>
          </cell>
          <cell r="BC136" t="e">
            <v>#VALUE!</v>
          </cell>
          <cell r="BD136" t="e">
            <v>#VALUE!</v>
          </cell>
          <cell r="BE136" t="e">
            <v>#VALUE!</v>
          </cell>
          <cell r="BF136" t="e">
            <v>#VALUE!</v>
          </cell>
          <cell r="BG136" t="e">
            <v>#VALUE!</v>
          </cell>
          <cell r="BH136" t="e">
            <v>#VALUE!</v>
          </cell>
          <cell r="BI136" t="e">
            <v>#VALUE!</v>
          </cell>
          <cell r="BJ136" t="e">
            <v>#VALUE!</v>
          </cell>
          <cell r="BK136" t="e">
            <v>#VALUE!</v>
          </cell>
          <cell r="BL136" t="e">
            <v>#VALUE!</v>
          </cell>
          <cell r="BM136" t="e">
            <v>#VALUE!</v>
          </cell>
        </row>
        <row r="137">
          <cell r="A137" t="str">
            <v>40513-AB3B NEW</v>
          </cell>
          <cell r="B137">
            <v>40513</v>
          </cell>
          <cell r="C137" t="str">
            <v>AB3B NEW BUILD</v>
          </cell>
          <cell r="D137" t="str">
            <v>AB3B NEW BUILD</v>
          </cell>
          <cell r="E137">
            <v>2010</v>
          </cell>
          <cell r="F137">
            <v>44</v>
          </cell>
          <cell r="G137">
            <v>44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-312.2</v>
          </cell>
          <cell r="M137">
            <v>-312.2</v>
          </cell>
          <cell r="N137">
            <v>0</v>
          </cell>
          <cell r="O137">
            <v>0</v>
          </cell>
          <cell r="P137">
            <v>117.8</v>
          </cell>
          <cell r="Q137">
            <v>117.8</v>
          </cell>
          <cell r="R137">
            <v>-150.4</v>
          </cell>
          <cell r="S137">
            <v>-150.4</v>
          </cell>
          <cell r="T137">
            <v>4.0999999999999996</v>
          </cell>
          <cell r="U137">
            <v>4.0999999999999996</v>
          </cell>
          <cell r="V137">
            <v>49.7</v>
          </cell>
          <cell r="W137">
            <v>49.7</v>
          </cell>
          <cell r="X137">
            <v>2.8</v>
          </cell>
          <cell r="Y137">
            <v>2.8</v>
          </cell>
          <cell r="Z137">
            <v>0</v>
          </cell>
          <cell r="AA137">
            <v>0</v>
          </cell>
          <cell r="AB137">
            <v>-344.6</v>
          </cell>
          <cell r="AC137">
            <v>-344.6</v>
          </cell>
          <cell r="AD137">
            <v>0</v>
          </cell>
          <cell r="AE137">
            <v>0</v>
          </cell>
          <cell r="AF137">
            <v>130.30000000000001</v>
          </cell>
          <cell r="AG137">
            <v>130.30000000000001</v>
          </cell>
          <cell r="AH137">
            <v>-157.69999999999999</v>
          </cell>
          <cell r="AI137">
            <v>-157.69999999999999</v>
          </cell>
          <cell r="AJ137" t="e">
            <v>#VALUE!</v>
          </cell>
          <cell r="AK137" t="e">
            <v>#VALUE!</v>
          </cell>
          <cell r="AL137" t="e">
            <v>#VALUE!</v>
          </cell>
          <cell r="AM137" t="e">
            <v>#VALUE!</v>
          </cell>
          <cell r="AN137" t="e">
            <v>#VALUE!</v>
          </cell>
          <cell r="AO137" t="e">
            <v>#VALUE!</v>
          </cell>
          <cell r="AP137" t="e">
            <v>#VALUE!</v>
          </cell>
          <cell r="AQ137" t="e">
            <v>#VALUE!</v>
          </cell>
          <cell r="AR137" t="e">
            <v>#VALUE!</v>
          </cell>
          <cell r="AS137" t="e">
            <v>#VALUE!</v>
          </cell>
          <cell r="AT137" t="e">
            <v>#VALUE!</v>
          </cell>
          <cell r="AU137" t="e">
            <v>#VALUE!</v>
          </cell>
          <cell r="AV137" t="e">
            <v>#VALUE!</v>
          </cell>
          <cell r="AW137" t="e">
            <v>#VALUE!</v>
          </cell>
          <cell r="AX137" t="e">
            <v>#VALUE!</v>
          </cell>
          <cell r="AY137" t="e">
            <v>#VALUE!</v>
          </cell>
          <cell r="AZ137" t="e">
            <v>#VALUE!</v>
          </cell>
          <cell r="BA137" t="e">
            <v>#VALUE!</v>
          </cell>
          <cell r="BB137" t="e">
            <v>#VALUE!</v>
          </cell>
          <cell r="BC137" t="e">
            <v>#VALUE!</v>
          </cell>
          <cell r="BD137" t="e">
            <v>#VALUE!</v>
          </cell>
          <cell r="BE137" t="e">
            <v>#VALUE!</v>
          </cell>
          <cell r="BF137" t="e">
            <v>#VALUE!</v>
          </cell>
          <cell r="BG137" t="e">
            <v>#VALUE!</v>
          </cell>
          <cell r="BH137" t="e">
            <v>#VALUE!</v>
          </cell>
          <cell r="BI137" t="e">
            <v>#VALUE!</v>
          </cell>
          <cell r="BJ137" t="e">
            <v>#VALUE!</v>
          </cell>
          <cell r="BK137" t="e">
            <v>#VALUE!</v>
          </cell>
          <cell r="BL137" t="e">
            <v>#VALUE!</v>
          </cell>
          <cell r="BM137" t="e">
            <v>#VALUE!</v>
          </cell>
        </row>
        <row r="138">
          <cell r="A138" t="str">
            <v>40513-ATIRCM/CMWS</v>
          </cell>
          <cell r="B138">
            <v>40513</v>
          </cell>
          <cell r="C138" t="str">
            <v>ATIRCM/CMWS - ATIRCM QRC</v>
          </cell>
          <cell r="D138" t="str">
            <v>ATIRCM/CMWS SPLIT</v>
          </cell>
          <cell r="E138">
            <v>2003</v>
          </cell>
          <cell r="F138">
            <v>0</v>
          </cell>
          <cell r="G138">
            <v>180.9</v>
          </cell>
          <cell r="H138">
            <v>0</v>
          </cell>
          <cell r="I138">
            <v>-593.70000000000005</v>
          </cell>
          <cell r="J138">
            <v>0</v>
          </cell>
          <cell r="K138">
            <v>138.9</v>
          </cell>
          <cell r="L138">
            <v>-22.9</v>
          </cell>
          <cell r="M138">
            <v>289.5</v>
          </cell>
          <cell r="N138">
            <v>0</v>
          </cell>
          <cell r="O138">
            <v>0</v>
          </cell>
          <cell r="P138">
            <v>0</v>
          </cell>
          <cell r="Q138">
            <v>-9.6</v>
          </cell>
          <cell r="R138">
            <v>-22.9</v>
          </cell>
          <cell r="S138">
            <v>6</v>
          </cell>
          <cell r="T138">
            <v>0</v>
          </cell>
          <cell r="U138">
            <v>25.4</v>
          </cell>
          <cell r="V138">
            <v>0</v>
          </cell>
          <cell r="W138">
            <v>303.3</v>
          </cell>
          <cell r="X138">
            <v>0</v>
          </cell>
          <cell r="Y138">
            <v>-866.9</v>
          </cell>
          <cell r="Z138">
            <v>0</v>
          </cell>
          <cell r="AA138">
            <v>179.7</v>
          </cell>
          <cell r="AB138">
            <v>-27.5</v>
          </cell>
          <cell r="AC138">
            <v>304</v>
          </cell>
          <cell r="AD138">
            <v>0</v>
          </cell>
          <cell r="AE138">
            <v>0</v>
          </cell>
          <cell r="AF138">
            <v>0.1</v>
          </cell>
          <cell r="AG138">
            <v>6.7</v>
          </cell>
          <cell r="AH138">
            <v>-27.4</v>
          </cell>
          <cell r="AI138">
            <v>-47.8</v>
          </cell>
          <cell r="AJ138" t="e">
            <v>#VALUE!</v>
          </cell>
          <cell r="AK138" t="e">
            <v>#VALUE!</v>
          </cell>
          <cell r="AL138" t="e">
            <v>#VALUE!</v>
          </cell>
          <cell r="AM138" t="e">
            <v>#VALUE!</v>
          </cell>
          <cell r="AN138" t="e">
            <v>#VALUE!</v>
          </cell>
          <cell r="AO138" t="e">
            <v>#VALUE!</v>
          </cell>
          <cell r="AP138" t="e">
            <v>#VALUE!</v>
          </cell>
          <cell r="AQ138" t="e">
            <v>#VALUE!</v>
          </cell>
          <cell r="AR138" t="e">
            <v>#VALUE!</v>
          </cell>
          <cell r="AS138" t="e">
            <v>#VALUE!</v>
          </cell>
          <cell r="AT138" t="e">
            <v>#VALUE!</v>
          </cell>
          <cell r="AU138" t="e">
            <v>#VALUE!</v>
          </cell>
          <cell r="AV138" t="e">
            <v>#VALUE!</v>
          </cell>
          <cell r="AW138" t="e">
            <v>#VALUE!</v>
          </cell>
          <cell r="AX138" t="e">
            <v>#VALUE!</v>
          </cell>
          <cell r="AY138" t="e">
            <v>#VALUE!</v>
          </cell>
          <cell r="AZ138" t="e">
            <v>#VALUE!</v>
          </cell>
          <cell r="BA138" t="e">
            <v>#VALUE!</v>
          </cell>
          <cell r="BB138" t="e">
            <v>#VALUE!</v>
          </cell>
          <cell r="BC138" t="e">
            <v>#VALUE!</v>
          </cell>
          <cell r="BD138" t="e">
            <v>#VALUE!</v>
          </cell>
          <cell r="BE138" t="e">
            <v>#VALUE!</v>
          </cell>
          <cell r="BF138" t="e">
            <v>#VALUE!</v>
          </cell>
          <cell r="BG138" t="e">
            <v>#VALUE!</v>
          </cell>
          <cell r="BH138" t="e">
            <v>#VALUE!</v>
          </cell>
          <cell r="BI138" t="e">
            <v>#VALUE!</v>
          </cell>
          <cell r="BJ138" t="e">
            <v>#VALUE!</v>
          </cell>
          <cell r="BK138" t="e">
            <v>#VALUE!</v>
          </cell>
          <cell r="BL138" t="e">
            <v>#VALUE!</v>
          </cell>
          <cell r="BM138" t="e">
            <v>#VALUE!</v>
          </cell>
        </row>
        <row r="139">
          <cell r="A139" t="str">
            <v>40513-ATIRCM/CMWS</v>
          </cell>
          <cell r="B139">
            <v>40513</v>
          </cell>
          <cell r="C139" t="str">
            <v>ATIRCM/CMWS - CMWS</v>
          </cell>
          <cell r="D139" t="str">
            <v>ATIRCM/CMWS SPLIT</v>
          </cell>
          <cell r="E139">
            <v>2003</v>
          </cell>
          <cell r="F139">
            <v>0</v>
          </cell>
          <cell r="G139">
            <v>376.7</v>
          </cell>
          <cell r="H139">
            <v>0</v>
          </cell>
          <cell r="I139">
            <v>-99.2</v>
          </cell>
          <cell r="J139">
            <v>0</v>
          </cell>
          <cell r="K139">
            <v>635</v>
          </cell>
          <cell r="L139">
            <v>91.1</v>
          </cell>
          <cell r="M139">
            <v>295.89999999999998</v>
          </cell>
          <cell r="N139">
            <v>0</v>
          </cell>
          <cell r="O139">
            <v>0</v>
          </cell>
          <cell r="P139">
            <v>0.5</v>
          </cell>
          <cell r="Q139">
            <v>52.1</v>
          </cell>
          <cell r="R139">
            <v>91.6</v>
          </cell>
          <cell r="S139">
            <v>1260.5</v>
          </cell>
          <cell r="T139">
            <v>-0.1</v>
          </cell>
          <cell r="U139">
            <v>124.5</v>
          </cell>
          <cell r="V139">
            <v>0</v>
          </cell>
          <cell r="W139">
            <v>587.1</v>
          </cell>
          <cell r="X139">
            <v>0</v>
          </cell>
          <cell r="Y139">
            <v>-424.3</v>
          </cell>
          <cell r="Z139">
            <v>0</v>
          </cell>
          <cell r="AA139">
            <v>704</v>
          </cell>
          <cell r="AB139">
            <v>128.1</v>
          </cell>
          <cell r="AC139">
            <v>386.6</v>
          </cell>
          <cell r="AD139">
            <v>0</v>
          </cell>
          <cell r="AE139">
            <v>0</v>
          </cell>
          <cell r="AF139">
            <v>1</v>
          </cell>
          <cell r="AG139">
            <v>43.7</v>
          </cell>
          <cell r="AH139">
            <v>129</v>
          </cell>
          <cell r="AI139">
            <v>1421.6</v>
          </cell>
          <cell r="AJ139" t="e">
            <v>#VALUE!</v>
          </cell>
          <cell r="AK139" t="e">
            <v>#VALUE!</v>
          </cell>
          <cell r="AL139" t="e">
            <v>#VALUE!</v>
          </cell>
          <cell r="AM139" t="e">
            <v>#VALUE!</v>
          </cell>
          <cell r="AN139" t="e">
            <v>#VALUE!</v>
          </cell>
          <cell r="AO139" t="e">
            <v>#VALUE!</v>
          </cell>
          <cell r="AP139" t="e">
            <v>#VALUE!</v>
          </cell>
          <cell r="AQ139" t="e">
            <v>#VALUE!</v>
          </cell>
          <cell r="AR139" t="e">
            <v>#VALUE!</v>
          </cell>
          <cell r="AS139" t="e">
            <v>#VALUE!</v>
          </cell>
          <cell r="AT139" t="e">
            <v>#VALUE!</v>
          </cell>
          <cell r="AU139" t="e">
            <v>#VALUE!</v>
          </cell>
          <cell r="AV139" t="e">
            <v>#VALUE!</v>
          </cell>
          <cell r="AW139" t="e">
            <v>#VALUE!</v>
          </cell>
          <cell r="AX139" t="e">
            <v>#VALUE!</v>
          </cell>
          <cell r="AY139" t="e">
            <v>#VALUE!</v>
          </cell>
          <cell r="AZ139" t="e">
            <v>#VALUE!</v>
          </cell>
          <cell r="BA139" t="e">
            <v>#VALUE!</v>
          </cell>
          <cell r="BB139" t="e">
            <v>#VALUE!</v>
          </cell>
          <cell r="BC139" t="e">
            <v>#VALUE!</v>
          </cell>
          <cell r="BD139" t="e">
            <v>#VALUE!</v>
          </cell>
          <cell r="BE139" t="e">
            <v>#VALUE!</v>
          </cell>
          <cell r="BF139" t="e">
            <v>#VALUE!</v>
          </cell>
          <cell r="BG139" t="e">
            <v>#VALUE!</v>
          </cell>
          <cell r="BH139" t="e">
            <v>#VALUE!</v>
          </cell>
          <cell r="BI139" t="e">
            <v>#VALUE!</v>
          </cell>
          <cell r="BJ139" t="e">
            <v>#VALUE!</v>
          </cell>
          <cell r="BK139" t="e">
            <v>#VALUE!</v>
          </cell>
          <cell r="BL139" t="e">
            <v>#VALUE!</v>
          </cell>
          <cell r="BM139" t="e">
            <v>#VALUE!</v>
          </cell>
        </row>
        <row r="140">
          <cell r="A140" t="str">
            <v>40513-IDECM</v>
          </cell>
          <cell r="B140">
            <v>40513</v>
          </cell>
          <cell r="C140" t="str">
            <v>IDECM - IDECM Block 4</v>
          </cell>
          <cell r="D140" t="str">
            <v>IDECM Split</v>
          </cell>
          <cell r="E140">
            <v>2008</v>
          </cell>
          <cell r="F140">
            <v>43.7</v>
          </cell>
          <cell r="G140">
            <v>59.5</v>
          </cell>
          <cell r="H140">
            <v>2.2999999999999998</v>
          </cell>
          <cell r="I140">
            <v>-3.3</v>
          </cell>
          <cell r="J140">
            <v>57.9</v>
          </cell>
          <cell r="K140">
            <v>57.9</v>
          </cell>
          <cell r="L140">
            <v>-1.5</v>
          </cell>
          <cell r="M140">
            <v>-29.2</v>
          </cell>
          <cell r="N140">
            <v>0</v>
          </cell>
          <cell r="O140">
            <v>0</v>
          </cell>
          <cell r="P140">
            <v>10.6</v>
          </cell>
          <cell r="Q140">
            <v>36.1</v>
          </cell>
          <cell r="R140">
            <v>113</v>
          </cell>
          <cell r="S140">
            <v>121</v>
          </cell>
          <cell r="T140">
            <v>-0.8</v>
          </cell>
          <cell r="U140">
            <v>-24.2</v>
          </cell>
          <cell r="V140">
            <v>51.2</v>
          </cell>
          <cell r="W140">
            <v>69.8</v>
          </cell>
          <cell r="X140">
            <v>2.1</v>
          </cell>
          <cell r="Y140">
            <v>-2.4</v>
          </cell>
          <cell r="Z140">
            <v>63.3</v>
          </cell>
          <cell r="AA140">
            <v>63.3</v>
          </cell>
          <cell r="AB140">
            <v>-1.3</v>
          </cell>
          <cell r="AC140">
            <v>-31</v>
          </cell>
          <cell r="AD140">
            <v>0</v>
          </cell>
          <cell r="AE140">
            <v>0</v>
          </cell>
          <cell r="AF140">
            <v>12.2</v>
          </cell>
          <cell r="AG140">
            <v>41.6</v>
          </cell>
          <cell r="AH140">
            <v>126.7</v>
          </cell>
          <cell r="AI140">
            <v>117.1</v>
          </cell>
          <cell r="AJ140" t="e">
            <v>#VALUE!</v>
          </cell>
          <cell r="AK140" t="e">
            <v>#VALUE!</v>
          </cell>
          <cell r="AL140" t="e">
            <v>#VALUE!</v>
          </cell>
          <cell r="AM140" t="e">
            <v>#VALUE!</v>
          </cell>
          <cell r="AN140" t="e">
            <v>#VALUE!</v>
          </cell>
          <cell r="AO140" t="e">
            <v>#VALUE!</v>
          </cell>
          <cell r="AP140" t="e">
            <v>#VALUE!</v>
          </cell>
          <cell r="AQ140" t="e">
            <v>#VALUE!</v>
          </cell>
          <cell r="AR140" t="e">
            <v>#VALUE!</v>
          </cell>
          <cell r="AS140" t="e">
            <v>#VALUE!</v>
          </cell>
          <cell r="AT140" t="e">
            <v>#VALUE!</v>
          </cell>
          <cell r="AU140" t="e">
            <v>#VALUE!</v>
          </cell>
          <cell r="AV140" t="e">
            <v>#VALUE!</v>
          </cell>
          <cell r="AW140" t="e">
            <v>#VALUE!</v>
          </cell>
          <cell r="AX140" t="e">
            <v>#VALUE!</v>
          </cell>
          <cell r="AY140" t="e">
            <v>#VALUE!</v>
          </cell>
          <cell r="AZ140" t="e">
            <v>#VALUE!</v>
          </cell>
          <cell r="BA140" t="e">
            <v>#VALUE!</v>
          </cell>
          <cell r="BB140" t="e">
            <v>#VALUE!</v>
          </cell>
          <cell r="BC140" t="e">
            <v>#VALUE!</v>
          </cell>
          <cell r="BD140" t="e">
            <v>#VALUE!</v>
          </cell>
          <cell r="BE140" t="e">
            <v>#VALUE!</v>
          </cell>
          <cell r="BF140" t="e">
            <v>#VALUE!</v>
          </cell>
          <cell r="BG140" t="e">
            <v>#VALUE!</v>
          </cell>
          <cell r="BH140" t="e">
            <v>#VALUE!</v>
          </cell>
          <cell r="BI140" t="e">
            <v>#VALUE!</v>
          </cell>
          <cell r="BJ140" t="e">
            <v>#VALUE!</v>
          </cell>
          <cell r="BK140" t="e">
            <v>#VALUE!</v>
          </cell>
          <cell r="BL140" t="e">
            <v>#VALUE!</v>
          </cell>
          <cell r="BM140" t="e">
            <v>#VALUE!</v>
          </cell>
        </row>
        <row r="141">
          <cell r="A141" t="str">
            <v>40513-IDECM</v>
          </cell>
          <cell r="B141">
            <v>40513</v>
          </cell>
          <cell r="C141" t="str">
            <v>IDECM - IDECM Blocks 2/3</v>
          </cell>
          <cell r="D141" t="str">
            <v>IDECM Split</v>
          </cell>
          <cell r="E141">
            <v>2008</v>
          </cell>
          <cell r="F141">
            <v>0</v>
          </cell>
          <cell r="G141">
            <v>-10.5</v>
          </cell>
          <cell r="H141">
            <v>2.1</v>
          </cell>
          <cell r="I141">
            <v>82.3</v>
          </cell>
          <cell r="J141">
            <v>0</v>
          </cell>
          <cell r="K141">
            <v>0</v>
          </cell>
          <cell r="L141">
            <v>0.6</v>
          </cell>
          <cell r="M141">
            <v>-29.1</v>
          </cell>
          <cell r="N141">
            <v>0</v>
          </cell>
          <cell r="O141">
            <v>0</v>
          </cell>
          <cell r="P141">
            <v>0.3</v>
          </cell>
          <cell r="Q141">
            <v>28.4</v>
          </cell>
          <cell r="R141">
            <v>3</v>
          </cell>
          <cell r="S141">
            <v>71.099999999999994</v>
          </cell>
          <cell r="T141">
            <v>-1.6</v>
          </cell>
          <cell r="U141">
            <v>-48</v>
          </cell>
          <cell r="V141">
            <v>0</v>
          </cell>
          <cell r="W141">
            <v>-11.2</v>
          </cell>
          <cell r="X141">
            <v>5</v>
          </cell>
          <cell r="Y141">
            <v>189.6</v>
          </cell>
          <cell r="Z141">
            <v>0</v>
          </cell>
          <cell r="AA141">
            <v>0</v>
          </cell>
          <cell r="AB141">
            <v>0</v>
          </cell>
          <cell r="AC141">
            <v>-52.1</v>
          </cell>
          <cell r="AD141">
            <v>0</v>
          </cell>
          <cell r="AE141">
            <v>0</v>
          </cell>
          <cell r="AF141">
            <v>0.8</v>
          </cell>
          <cell r="AG141">
            <v>33.799999999999997</v>
          </cell>
          <cell r="AH141">
            <v>4.2</v>
          </cell>
          <cell r="AI141">
            <v>112.1</v>
          </cell>
          <cell r="AJ141" t="e">
            <v>#VALUE!</v>
          </cell>
          <cell r="AK141" t="e">
            <v>#VALUE!</v>
          </cell>
          <cell r="AL141" t="e">
            <v>#VALUE!</v>
          </cell>
          <cell r="AM141" t="e">
            <v>#VALUE!</v>
          </cell>
          <cell r="AN141" t="e">
            <v>#VALUE!</v>
          </cell>
          <cell r="AO141" t="e">
            <v>#VALUE!</v>
          </cell>
          <cell r="AP141" t="e">
            <v>#VALUE!</v>
          </cell>
          <cell r="AQ141" t="e">
            <v>#VALUE!</v>
          </cell>
          <cell r="AR141" t="e">
            <v>#VALUE!</v>
          </cell>
          <cell r="AS141" t="e">
            <v>#VALUE!</v>
          </cell>
          <cell r="AT141" t="e">
            <v>#VALUE!</v>
          </cell>
          <cell r="AU141" t="e">
            <v>#VALUE!</v>
          </cell>
          <cell r="AV141" t="e">
            <v>#VALUE!</v>
          </cell>
          <cell r="AW141" t="e">
            <v>#VALUE!</v>
          </cell>
          <cell r="AX141" t="e">
            <v>#VALUE!</v>
          </cell>
          <cell r="AY141" t="e">
            <v>#VALUE!</v>
          </cell>
          <cell r="AZ141" t="e">
            <v>#VALUE!</v>
          </cell>
          <cell r="BA141" t="e">
            <v>#VALUE!</v>
          </cell>
          <cell r="BB141" t="e">
            <v>#VALUE!</v>
          </cell>
          <cell r="BC141" t="e">
            <v>#VALUE!</v>
          </cell>
          <cell r="BD141" t="e">
            <v>#VALUE!</v>
          </cell>
          <cell r="BE141" t="e">
            <v>#VALUE!</v>
          </cell>
          <cell r="BF141" t="e">
            <v>#VALUE!</v>
          </cell>
          <cell r="BG141" t="e">
            <v>#VALUE!</v>
          </cell>
          <cell r="BH141" t="e">
            <v>#VALUE!</v>
          </cell>
          <cell r="BI141" t="e">
            <v>#VALUE!</v>
          </cell>
          <cell r="BJ141" t="e">
            <v>#VALUE!</v>
          </cell>
          <cell r="BK141" t="e">
            <v>#VALUE!</v>
          </cell>
          <cell r="BL141" t="e">
            <v>#VALUE!</v>
          </cell>
          <cell r="BM141" t="e">
            <v>#VALUE!</v>
          </cell>
        </row>
        <row r="142">
          <cell r="A142" t="str">
            <v>40513-JSOW</v>
          </cell>
          <cell r="B142">
            <v>40513</v>
          </cell>
          <cell r="C142" t="str">
            <v>JSOW (BASELINE/UNITARY) - BASELINE/BLU-108</v>
          </cell>
          <cell r="D142" t="str">
            <v>JSOW Split</v>
          </cell>
          <cell r="E142">
            <v>1990</v>
          </cell>
          <cell r="F142">
            <v>0</v>
          </cell>
          <cell r="G142">
            <v>-2059.3000000000002</v>
          </cell>
          <cell r="H142">
            <v>0</v>
          </cell>
          <cell r="I142">
            <v>5.9</v>
          </cell>
          <cell r="J142">
            <v>0</v>
          </cell>
          <cell r="K142">
            <v>76.599999999999994</v>
          </cell>
          <cell r="L142">
            <v>19.5</v>
          </cell>
          <cell r="M142">
            <v>-78.2</v>
          </cell>
          <cell r="N142">
            <v>0</v>
          </cell>
          <cell r="O142">
            <v>0</v>
          </cell>
          <cell r="P142">
            <v>-0.2</v>
          </cell>
          <cell r="Q142">
            <v>-13.5</v>
          </cell>
          <cell r="R142">
            <v>19.3</v>
          </cell>
          <cell r="S142">
            <v>-2068.5</v>
          </cell>
          <cell r="T142">
            <v>-0.4</v>
          </cell>
          <cell r="U142">
            <v>-39.299999999999997</v>
          </cell>
          <cell r="V142">
            <v>0</v>
          </cell>
          <cell r="W142">
            <v>-3204.5</v>
          </cell>
          <cell r="X142">
            <v>4.3</v>
          </cell>
          <cell r="Y142">
            <v>395.3</v>
          </cell>
          <cell r="Z142">
            <v>0</v>
          </cell>
          <cell r="AA142">
            <v>104</v>
          </cell>
          <cell r="AB142">
            <v>33.200000000000003</v>
          </cell>
          <cell r="AC142">
            <v>-233.1</v>
          </cell>
          <cell r="AD142">
            <v>0</v>
          </cell>
          <cell r="AE142">
            <v>0</v>
          </cell>
          <cell r="AF142">
            <v>0.1</v>
          </cell>
          <cell r="AG142">
            <v>-21.2</v>
          </cell>
          <cell r="AH142">
            <v>37.200000000000003</v>
          </cell>
          <cell r="AI142">
            <v>-2998.8</v>
          </cell>
          <cell r="AJ142" t="e">
            <v>#VALUE!</v>
          </cell>
          <cell r="AK142" t="e">
            <v>#VALUE!</v>
          </cell>
          <cell r="AL142" t="e">
            <v>#VALUE!</v>
          </cell>
          <cell r="AM142" t="e">
            <v>#VALUE!</v>
          </cell>
          <cell r="AN142" t="e">
            <v>#VALUE!</v>
          </cell>
          <cell r="AO142" t="e">
            <v>#VALUE!</v>
          </cell>
          <cell r="AP142" t="e">
            <v>#VALUE!</v>
          </cell>
          <cell r="AQ142" t="e">
            <v>#VALUE!</v>
          </cell>
          <cell r="AR142" t="e">
            <v>#VALUE!</v>
          </cell>
          <cell r="AS142" t="e">
            <v>#VALUE!</v>
          </cell>
          <cell r="AT142" t="e">
            <v>#VALUE!</v>
          </cell>
          <cell r="AU142" t="e">
            <v>#VALUE!</v>
          </cell>
          <cell r="AV142" t="e">
            <v>#VALUE!</v>
          </cell>
          <cell r="AW142" t="e">
            <v>#VALUE!</v>
          </cell>
          <cell r="AX142" t="e">
            <v>#VALUE!</v>
          </cell>
          <cell r="AY142" t="e">
            <v>#VALUE!</v>
          </cell>
          <cell r="AZ142" t="e">
            <v>#VALUE!</v>
          </cell>
          <cell r="BA142" t="e">
            <v>#VALUE!</v>
          </cell>
          <cell r="BB142" t="e">
            <v>#VALUE!</v>
          </cell>
          <cell r="BC142" t="e">
            <v>#VALUE!</v>
          </cell>
          <cell r="BD142" t="e">
            <v>#VALUE!</v>
          </cell>
          <cell r="BE142" t="e">
            <v>#VALUE!</v>
          </cell>
          <cell r="BF142" t="e">
            <v>#VALUE!</v>
          </cell>
          <cell r="BG142" t="e">
            <v>#VALUE!</v>
          </cell>
          <cell r="BH142" t="e">
            <v>#VALUE!</v>
          </cell>
          <cell r="BI142" t="e">
            <v>#VALUE!</v>
          </cell>
          <cell r="BJ142" t="e">
            <v>#VALUE!</v>
          </cell>
          <cell r="BK142" t="e">
            <v>#VALUE!</v>
          </cell>
          <cell r="BL142" t="e">
            <v>#VALUE!</v>
          </cell>
          <cell r="BM142" t="e">
            <v>#VALUE!</v>
          </cell>
        </row>
        <row r="143">
          <cell r="A143" t="str">
            <v>40513-JSOW</v>
          </cell>
          <cell r="B143">
            <v>40513</v>
          </cell>
          <cell r="C143" t="str">
            <v>JSOW (BASELINE/UNITARY) - UNITARY</v>
          </cell>
          <cell r="D143" t="str">
            <v>JSOW Split</v>
          </cell>
          <cell r="E143">
            <v>1990</v>
          </cell>
          <cell r="F143">
            <v>0</v>
          </cell>
          <cell r="G143">
            <v>0</v>
          </cell>
          <cell r="H143">
            <v>47.5</v>
          </cell>
          <cell r="I143">
            <v>53.4</v>
          </cell>
          <cell r="J143">
            <v>12.2</v>
          </cell>
          <cell r="K143">
            <v>409.1</v>
          </cell>
          <cell r="L143">
            <v>35.6</v>
          </cell>
          <cell r="M143">
            <v>-240.5</v>
          </cell>
          <cell r="N143">
            <v>0</v>
          </cell>
          <cell r="O143">
            <v>0</v>
          </cell>
          <cell r="P143">
            <v>2.2000000000000002</v>
          </cell>
          <cell r="Q143">
            <v>-7.6</v>
          </cell>
          <cell r="R143">
            <v>97.5</v>
          </cell>
          <cell r="S143">
            <v>214.4</v>
          </cell>
          <cell r="T143">
            <v>-3.8</v>
          </cell>
          <cell r="U143">
            <v>73.5</v>
          </cell>
          <cell r="V143">
            <v>0</v>
          </cell>
          <cell r="W143">
            <v>0</v>
          </cell>
          <cell r="X143">
            <v>113.4</v>
          </cell>
          <cell r="Y143">
            <v>146.6</v>
          </cell>
          <cell r="Z143">
            <v>19.8</v>
          </cell>
          <cell r="AA143">
            <v>662.7</v>
          </cell>
          <cell r="AB143">
            <v>65.900000000000006</v>
          </cell>
          <cell r="AC143">
            <v>-433.7</v>
          </cell>
          <cell r="AD143">
            <v>0</v>
          </cell>
          <cell r="AE143">
            <v>0</v>
          </cell>
          <cell r="AF143">
            <v>3.9</v>
          </cell>
          <cell r="AG143">
            <v>-10.7</v>
          </cell>
          <cell r="AH143">
            <v>199.2</v>
          </cell>
          <cell r="AI143">
            <v>438.4</v>
          </cell>
          <cell r="AJ143" t="e">
            <v>#VALUE!</v>
          </cell>
          <cell r="AK143" t="e">
            <v>#VALUE!</v>
          </cell>
          <cell r="AL143" t="e">
            <v>#VALUE!</v>
          </cell>
          <cell r="AM143" t="e">
            <v>#VALUE!</v>
          </cell>
          <cell r="AN143" t="e">
            <v>#VALUE!</v>
          </cell>
          <cell r="AO143" t="e">
            <v>#VALUE!</v>
          </cell>
          <cell r="AP143" t="e">
            <v>#VALUE!</v>
          </cell>
          <cell r="AQ143" t="e">
            <v>#VALUE!</v>
          </cell>
          <cell r="AR143" t="e">
            <v>#VALUE!</v>
          </cell>
          <cell r="AS143" t="e">
            <v>#VALUE!</v>
          </cell>
          <cell r="AT143" t="e">
            <v>#VALUE!</v>
          </cell>
          <cell r="AU143" t="e">
            <v>#VALUE!</v>
          </cell>
          <cell r="AV143" t="e">
            <v>#VALUE!</v>
          </cell>
          <cell r="AW143" t="e">
            <v>#VALUE!</v>
          </cell>
          <cell r="AX143" t="e">
            <v>#VALUE!</v>
          </cell>
          <cell r="AY143" t="e">
            <v>#VALUE!</v>
          </cell>
          <cell r="AZ143" t="e">
            <v>#VALUE!</v>
          </cell>
          <cell r="BA143" t="e">
            <v>#VALUE!</v>
          </cell>
          <cell r="BB143" t="e">
            <v>#VALUE!</v>
          </cell>
          <cell r="BC143" t="e">
            <v>#VALUE!</v>
          </cell>
          <cell r="BD143" t="e">
            <v>#VALUE!</v>
          </cell>
          <cell r="BE143" t="e">
            <v>#VALUE!</v>
          </cell>
          <cell r="BF143" t="e">
            <v>#VALUE!</v>
          </cell>
          <cell r="BG143" t="e">
            <v>#VALUE!</v>
          </cell>
          <cell r="BH143" t="e">
            <v>#VALUE!</v>
          </cell>
          <cell r="BI143" t="e">
            <v>#VALUE!</v>
          </cell>
          <cell r="BJ143" t="e">
            <v>#VALUE!</v>
          </cell>
          <cell r="BK143" t="e">
            <v>#VALUE!</v>
          </cell>
          <cell r="BL143" t="e">
            <v>#VALUE!</v>
          </cell>
          <cell r="BM143" t="e">
            <v>#VALUE!</v>
          </cell>
        </row>
        <row r="144">
          <cell r="A144" t="str">
            <v>40513-NAVSTAR GPS</v>
          </cell>
          <cell r="B144">
            <v>40513</v>
          </cell>
          <cell r="C144" t="str">
            <v>NAVSTAR GPS - SPACE &amp; CONTROL</v>
          </cell>
          <cell r="D144" t="str">
            <v>NAVSTAR GPS SPLIT</v>
          </cell>
          <cell r="E144">
            <v>2000</v>
          </cell>
          <cell r="F144">
            <v>0</v>
          </cell>
          <cell r="G144">
            <v>20</v>
          </cell>
          <cell r="H144">
            <v>0</v>
          </cell>
          <cell r="I144">
            <v>0</v>
          </cell>
          <cell r="J144">
            <v>0</v>
          </cell>
          <cell r="K144">
            <v>391.9</v>
          </cell>
          <cell r="L144">
            <v>139.4</v>
          </cell>
          <cell r="M144">
            <v>355.5</v>
          </cell>
          <cell r="N144">
            <v>0</v>
          </cell>
          <cell r="O144">
            <v>0</v>
          </cell>
          <cell r="P144">
            <v>-34</v>
          </cell>
          <cell r="Q144">
            <v>350.5</v>
          </cell>
          <cell r="R144">
            <v>105.4</v>
          </cell>
          <cell r="S144">
            <v>1117.9000000000001</v>
          </cell>
          <cell r="T144">
            <v>0.4</v>
          </cell>
          <cell r="U144">
            <v>25.7</v>
          </cell>
          <cell r="V144">
            <v>0</v>
          </cell>
          <cell r="W144">
            <v>-2.2999999999999998</v>
          </cell>
          <cell r="X144">
            <v>0</v>
          </cell>
          <cell r="Y144">
            <v>8.3000000000000007</v>
          </cell>
          <cell r="Z144">
            <v>0</v>
          </cell>
          <cell r="AA144">
            <v>435.4</v>
          </cell>
          <cell r="AB144">
            <v>164.7</v>
          </cell>
          <cell r="AC144">
            <v>480.3</v>
          </cell>
          <cell r="AD144">
            <v>0</v>
          </cell>
          <cell r="AE144">
            <v>0</v>
          </cell>
          <cell r="AF144">
            <v>-43.5</v>
          </cell>
          <cell r="AG144">
            <v>414.7</v>
          </cell>
          <cell r="AH144">
            <v>121.6</v>
          </cell>
          <cell r="AI144">
            <v>1362.1</v>
          </cell>
          <cell r="AJ144" t="e">
            <v>#VALUE!</v>
          </cell>
          <cell r="AK144" t="e">
            <v>#VALUE!</v>
          </cell>
          <cell r="AL144" t="e">
            <v>#VALUE!</v>
          </cell>
          <cell r="AM144" t="e">
            <v>#VALUE!</v>
          </cell>
          <cell r="AN144" t="e">
            <v>#VALUE!</v>
          </cell>
          <cell r="AO144" t="e">
            <v>#VALUE!</v>
          </cell>
          <cell r="AP144" t="e">
            <v>#VALUE!</v>
          </cell>
          <cell r="AQ144" t="e">
            <v>#VALUE!</v>
          </cell>
          <cell r="AR144" t="e">
            <v>#VALUE!</v>
          </cell>
          <cell r="AS144" t="e">
            <v>#VALUE!</v>
          </cell>
          <cell r="AT144" t="e">
            <v>#VALUE!</v>
          </cell>
          <cell r="AU144" t="e">
            <v>#VALUE!</v>
          </cell>
          <cell r="AV144" t="e">
            <v>#VALUE!</v>
          </cell>
          <cell r="AW144" t="e">
            <v>#VALUE!</v>
          </cell>
          <cell r="AX144" t="e">
            <v>#VALUE!</v>
          </cell>
          <cell r="AY144" t="e">
            <v>#VALUE!</v>
          </cell>
          <cell r="AZ144" t="e">
            <v>#VALUE!</v>
          </cell>
          <cell r="BA144" t="e">
            <v>#VALUE!</v>
          </cell>
          <cell r="BB144" t="e">
            <v>#VALUE!</v>
          </cell>
          <cell r="BC144" t="e">
            <v>#VALUE!</v>
          </cell>
          <cell r="BD144" t="e">
            <v>#VALUE!</v>
          </cell>
          <cell r="BE144" t="e">
            <v>#VALUE!</v>
          </cell>
          <cell r="BF144" t="e">
            <v>#VALUE!</v>
          </cell>
          <cell r="BG144" t="e">
            <v>#VALUE!</v>
          </cell>
          <cell r="BH144" t="e">
            <v>#VALUE!</v>
          </cell>
          <cell r="BI144" t="e">
            <v>#VALUE!</v>
          </cell>
          <cell r="BJ144" t="e">
            <v>#VALUE!</v>
          </cell>
          <cell r="BK144" t="e">
            <v>#VALUE!</v>
          </cell>
          <cell r="BL144" t="e">
            <v>#VALUE!</v>
          </cell>
          <cell r="BM144" t="e">
            <v>#VALUE!</v>
          </cell>
        </row>
        <row r="145">
          <cell r="A145" t="str">
            <v>40513-NAVSTAR GPS</v>
          </cell>
          <cell r="B145">
            <v>40513</v>
          </cell>
          <cell r="C145" t="str">
            <v>NAVSTAR GPS - USER EQUIPMENT</v>
          </cell>
          <cell r="D145" t="str">
            <v>NAVSTAR GPS SPLIT</v>
          </cell>
          <cell r="E145">
            <v>2000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251.6</v>
          </cell>
          <cell r="L145">
            <v>-339.9</v>
          </cell>
          <cell r="M145">
            <v>421.5</v>
          </cell>
          <cell r="N145">
            <v>0</v>
          </cell>
          <cell r="O145">
            <v>0</v>
          </cell>
          <cell r="P145">
            <v>-216.2</v>
          </cell>
          <cell r="Q145">
            <v>-254.3</v>
          </cell>
          <cell r="R145">
            <v>-556.1</v>
          </cell>
          <cell r="S145">
            <v>418.8</v>
          </cell>
          <cell r="T145">
            <v>-1</v>
          </cell>
          <cell r="U145">
            <v>-5.5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277.8</v>
          </cell>
          <cell r="AB145">
            <v>-433.3</v>
          </cell>
          <cell r="AC145">
            <v>514.29999999999995</v>
          </cell>
          <cell r="AD145">
            <v>0</v>
          </cell>
          <cell r="AE145">
            <v>0</v>
          </cell>
          <cell r="AF145">
            <v>-227.9</v>
          </cell>
          <cell r="AG145">
            <v>-274.10000000000002</v>
          </cell>
          <cell r="AH145">
            <v>-662.2</v>
          </cell>
          <cell r="AI145">
            <v>512.5</v>
          </cell>
          <cell r="AJ145" t="e">
            <v>#VALUE!</v>
          </cell>
          <cell r="AK145" t="e">
            <v>#VALUE!</v>
          </cell>
          <cell r="AL145" t="e">
            <v>#VALUE!</v>
          </cell>
          <cell r="AM145" t="e">
            <v>#VALUE!</v>
          </cell>
          <cell r="AN145" t="e">
            <v>#VALUE!</v>
          </cell>
          <cell r="AO145" t="e">
            <v>#VALUE!</v>
          </cell>
          <cell r="AP145" t="e">
            <v>#VALUE!</v>
          </cell>
          <cell r="AQ145" t="e">
            <v>#VALUE!</v>
          </cell>
          <cell r="AR145" t="e">
            <v>#VALUE!</v>
          </cell>
          <cell r="AS145" t="e">
            <v>#VALUE!</v>
          </cell>
          <cell r="AT145" t="e">
            <v>#VALUE!</v>
          </cell>
          <cell r="AU145" t="e">
            <v>#VALUE!</v>
          </cell>
          <cell r="AV145" t="e">
            <v>#VALUE!</v>
          </cell>
          <cell r="AW145" t="e">
            <v>#VALUE!</v>
          </cell>
          <cell r="AX145" t="e">
            <v>#VALUE!</v>
          </cell>
          <cell r="AY145" t="e">
            <v>#VALUE!</v>
          </cell>
          <cell r="AZ145" t="e">
            <v>#VALUE!</v>
          </cell>
          <cell r="BA145" t="e">
            <v>#VALUE!</v>
          </cell>
          <cell r="BB145" t="e">
            <v>#VALUE!</v>
          </cell>
          <cell r="BC145" t="e">
            <v>#VALUE!</v>
          </cell>
          <cell r="BD145" t="e">
            <v>#VALUE!</v>
          </cell>
          <cell r="BE145" t="e">
            <v>#VALUE!</v>
          </cell>
          <cell r="BF145" t="e">
            <v>#VALUE!</v>
          </cell>
          <cell r="BG145" t="e">
            <v>#VALUE!</v>
          </cell>
          <cell r="BH145" t="e">
            <v>#VALUE!</v>
          </cell>
          <cell r="BI145" t="e">
            <v>#VALUE!</v>
          </cell>
          <cell r="BJ145" t="e">
            <v>#VALUE!</v>
          </cell>
          <cell r="BK145" t="e">
            <v>#VALUE!</v>
          </cell>
          <cell r="BL145" t="e">
            <v>#VALUE!</v>
          </cell>
          <cell r="BM145" t="e">
            <v>#VALUE!</v>
          </cell>
        </row>
        <row r="146">
          <cell r="A146" t="str">
            <v>40513-PATRIOT/MEADS CAP</v>
          </cell>
          <cell r="B146">
            <v>40513</v>
          </cell>
          <cell r="C146" t="str">
            <v>PATRIOT/MEADS CAP - FIRE UNIT</v>
          </cell>
          <cell r="D146" t="str">
            <v>PATRIOT/MEADS CAP SPLIT</v>
          </cell>
          <cell r="E146">
            <v>2004</v>
          </cell>
          <cell r="F146">
            <v>-8875.5</v>
          </cell>
          <cell r="G146">
            <v>-8875.5</v>
          </cell>
          <cell r="H146">
            <v>-148</v>
          </cell>
          <cell r="I146">
            <v>-148</v>
          </cell>
          <cell r="J146">
            <v>0</v>
          </cell>
          <cell r="K146">
            <v>0</v>
          </cell>
          <cell r="L146">
            <v>-1795.6</v>
          </cell>
          <cell r="M146">
            <v>-2447.3000000000002</v>
          </cell>
          <cell r="N146">
            <v>0</v>
          </cell>
          <cell r="O146">
            <v>0</v>
          </cell>
          <cell r="P146">
            <v>-2343.1999999999998</v>
          </cell>
          <cell r="Q146">
            <v>-2180.1999999999998</v>
          </cell>
          <cell r="R146">
            <v>-13162.3</v>
          </cell>
          <cell r="S146">
            <v>-13651</v>
          </cell>
          <cell r="T146">
            <v>-38.700000000000003</v>
          </cell>
          <cell r="U146">
            <v>-91.9</v>
          </cell>
          <cell r="V146">
            <v>-12555.5</v>
          </cell>
          <cell r="W146">
            <v>-12555.5</v>
          </cell>
          <cell r="X146">
            <v>-491.3</v>
          </cell>
          <cell r="Y146">
            <v>-86.5</v>
          </cell>
          <cell r="Z146">
            <v>0</v>
          </cell>
          <cell r="AA146">
            <v>0</v>
          </cell>
          <cell r="AB146">
            <v>-2226.4</v>
          </cell>
          <cell r="AC146">
            <v>-2759.9</v>
          </cell>
          <cell r="AD146">
            <v>0</v>
          </cell>
          <cell r="AE146">
            <v>0</v>
          </cell>
          <cell r="AF146">
            <v>-3349.9</v>
          </cell>
          <cell r="AG146">
            <v>-3042.1</v>
          </cell>
          <cell r="AH146">
            <v>-18661.8</v>
          </cell>
          <cell r="AI146">
            <v>-18535.900000000001</v>
          </cell>
          <cell r="AJ146" t="e">
            <v>#VALUE!</v>
          </cell>
          <cell r="AK146" t="e">
            <v>#VALUE!</v>
          </cell>
          <cell r="AL146" t="e">
            <v>#VALUE!</v>
          </cell>
          <cell r="AM146" t="e">
            <v>#VALUE!</v>
          </cell>
          <cell r="AN146" t="e">
            <v>#VALUE!</v>
          </cell>
          <cell r="AO146" t="e">
            <v>#VALUE!</v>
          </cell>
          <cell r="AP146" t="e">
            <v>#VALUE!</v>
          </cell>
          <cell r="AQ146" t="e">
            <v>#VALUE!</v>
          </cell>
          <cell r="AR146" t="e">
            <v>#VALUE!</v>
          </cell>
          <cell r="AS146" t="e">
            <v>#VALUE!</v>
          </cell>
          <cell r="AT146" t="e">
            <v>#VALUE!</v>
          </cell>
          <cell r="AU146" t="e">
            <v>#VALUE!</v>
          </cell>
          <cell r="AV146" t="e">
            <v>#VALUE!</v>
          </cell>
          <cell r="AW146" t="e">
            <v>#VALUE!</v>
          </cell>
          <cell r="AX146" t="e">
            <v>#VALUE!</v>
          </cell>
          <cell r="AY146" t="e">
            <v>#VALUE!</v>
          </cell>
          <cell r="AZ146" t="e">
            <v>#VALUE!</v>
          </cell>
          <cell r="BA146" t="e">
            <v>#VALUE!</v>
          </cell>
          <cell r="BB146" t="e">
            <v>#VALUE!</v>
          </cell>
          <cell r="BC146" t="e">
            <v>#VALUE!</v>
          </cell>
          <cell r="BD146" t="e">
            <v>#VALUE!</v>
          </cell>
          <cell r="BE146" t="e">
            <v>#VALUE!</v>
          </cell>
          <cell r="BF146" t="e">
            <v>#VALUE!</v>
          </cell>
          <cell r="BG146" t="e">
            <v>#VALUE!</v>
          </cell>
          <cell r="BH146" t="e">
            <v>#VALUE!</v>
          </cell>
          <cell r="BI146" t="e">
            <v>#VALUE!</v>
          </cell>
          <cell r="BJ146" t="e">
            <v>#VALUE!</v>
          </cell>
          <cell r="BK146" t="e">
            <v>#VALUE!</v>
          </cell>
          <cell r="BL146" t="e">
            <v>#VALUE!</v>
          </cell>
          <cell r="BM146" t="e">
            <v>#VALUE!</v>
          </cell>
        </row>
        <row r="147">
          <cell r="A147" t="str">
            <v>40513-PATRIOT/MEADS CAP</v>
          </cell>
          <cell r="B147">
            <v>40513</v>
          </cell>
          <cell r="C147" t="str">
            <v>PATRIOT/MEADS CAP - MISSILE</v>
          </cell>
          <cell r="D147" t="str">
            <v>PATRIOT/MEADS CAP SPLIT</v>
          </cell>
          <cell r="E147">
            <v>2004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121.7</v>
          </cell>
          <cell r="M147">
            <v>546.4</v>
          </cell>
          <cell r="N147">
            <v>0</v>
          </cell>
          <cell r="O147">
            <v>0</v>
          </cell>
          <cell r="P147">
            <v>2.7</v>
          </cell>
          <cell r="Q147">
            <v>8.9</v>
          </cell>
          <cell r="R147">
            <v>124.4</v>
          </cell>
          <cell r="S147">
            <v>555.29999999999995</v>
          </cell>
          <cell r="T147">
            <v>-16.5</v>
          </cell>
          <cell r="U147">
            <v>-21.9</v>
          </cell>
          <cell r="V147">
            <v>0</v>
          </cell>
          <cell r="W147">
            <v>0</v>
          </cell>
          <cell r="X147">
            <v>271.5</v>
          </cell>
          <cell r="Y147">
            <v>538.9</v>
          </cell>
          <cell r="Z147">
            <v>0</v>
          </cell>
          <cell r="AA147">
            <v>0</v>
          </cell>
          <cell r="AB147">
            <v>117.8</v>
          </cell>
          <cell r="AC147">
            <v>630.70000000000005</v>
          </cell>
          <cell r="AD147">
            <v>0</v>
          </cell>
          <cell r="AE147">
            <v>0</v>
          </cell>
          <cell r="AF147">
            <v>25</v>
          </cell>
          <cell r="AG147">
            <v>56.1</v>
          </cell>
          <cell r="AH147">
            <v>397.8</v>
          </cell>
          <cell r="AI147">
            <v>1203.8</v>
          </cell>
          <cell r="AJ147" t="e">
            <v>#VALUE!</v>
          </cell>
          <cell r="AK147" t="e">
            <v>#VALUE!</v>
          </cell>
          <cell r="AL147" t="e">
            <v>#VALUE!</v>
          </cell>
          <cell r="AM147" t="e">
            <v>#VALUE!</v>
          </cell>
          <cell r="AN147" t="e">
            <v>#VALUE!</v>
          </cell>
          <cell r="AO147" t="e">
            <v>#VALUE!</v>
          </cell>
          <cell r="AP147" t="e">
            <v>#VALUE!</v>
          </cell>
          <cell r="AQ147" t="e">
            <v>#VALUE!</v>
          </cell>
          <cell r="AR147" t="e">
            <v>#VALUE!</v>
          </cell>
          <cell r="AS147" t="e">
            <v>#VALUE!</v>
          </cell>
          <cell r="AT147" t="e">
            <v>#VALUE!</v>
          </cell>
          <cell r="AU147" t="e">
            <v>#VALUE!</v>
          </cell>
          <cell r="AV147" t="e">
            <v>#VALUE!</v>
          </cell>
          <cell r="AW147" t="e">
            <v>#VALUE!</v>
          </cell>
          <cell r="AX147" t="e">
            <v>#VALUE!</v>
          </cell>
          <cell r="AY147" t="e">
            <v>#VALUE!</v>
          </cell>
          <cell r="AZ147" t="e">
            <v>#VALUE!</v>
          </cell>
          <cell r="BA147" t="e">
            <v>#VALUE!</v>
          </cell>
          <cell r="BB147" t="e">
            <v>#VALUE!</v>
          </cell>
          <cell r="BC147" t="e">
            <v>#VALUE!</v>
          </cell>
          <cell r="BD147" t="e">
            <v>#VALUE!</v>
          </cell>
          <cell r="BE147" t="e">
            <v>#VALUE!</v>
          </cell>
          <cell r="BF147" t="e">
            <v>#VALUE!</v>
          </cell>
          <cell r="BG147" t="e">
            <v>#VALUE!</v>
          </cell>
          <cell r="BH147" t="e">
            <v>#VALUE!</v>
          </cell>
          <cell r="BI147" t="e">
            <v>#VALUE!</v>
          </cell>
          <cell r="BJ147" t="e">
            <v>#VALUE!</v>
          </cell>
          <cell r="BK147" t="e">
            <v>#VALUE!</v>
          </cell>
          <cell r="BL147" t="e">
            <v>#VALUE!</v>
          </cell>
          <cell r="BM147" t="e">
            <v>#VALUE!</v>
          </cell>
        </row>
        <row r="148">
          <cell r="A148" t="str">
            <v>40878-AB3A REMANUF</v>
          </cell>
          <cell r="B148">
            <v>40878</v>
          </cell>
          <cell r="C148" t="str">
            <v>AB3A REMANUFACTURE</v>
          </cell>
          <cell r="D148" t="str">
            <v>AB3A REMANUFACTURE</v>
          </cell>
          <cell r="E148">
            <v>2010</v>
          </cell>
          <cell r="F148" t="str">
            <v>-</v>
          </cell>
          <cell r="G148">
            <v>-8875.5</v>
          </cell>
          <cell r="H148" t="str">
            <v>-</v>
          </cell>
          <cell r="I148">
            <v>-148</v>
          </cell>
          <cell r="J148" t="str">
            <v>-</v>
          </cell>
          <cell r="K148" t="str">
            <v>-</v>
          </cell>
          <cell r="L148">
            <v>-120.7</v>
          </cell>
          <cell r="M148">
            <v>-2568</v>
          </cell>
          <cell r="N148" t="str">
            <v>-</v>
          </cell>
          <cell r="O148" t="str">
            <v>-</v>
          </cell>
          <cell r="P148" t="str">
            <v>-</v>
          </cell>
          <cell r="Q148">
            <v>-2180.1999999999998</v>
          </cell>
          <cell r="R148">
            <v>-120.7</v>
          </cell>
          <cell r="S148">
            <v>-13771.7</v>
          </cell>
          <cell r="T148">
            <v>21.8</v>
          </cell>
          <cell r="U148">
            <v>-70.099999999999994</v>
          </cell>
          <cell r="V148" t="str">
            <v>-</v>
          </cell>
          <cell r="W148">
            <v>-12555.5</v>
          </cell>
          <cell r="X148" t="str">
            <v>-</v>
          </cell>
          <cell r="Y148">
            <v>-86.5</v>
          </cell>
          <cell r="Z148" t="str">
            <v>-</v>
          </cell>
          <cell r="AA148" t="str">
            <v>-</v>
          </cell>
          <cell r="AB148">
            <v>-148.19999999999999</v>
          </cell>
          <cell r="AC148">
            <v>-2908.1</v>
          </cell>
          <cell r="AD148" t="str">
            <v>-</v>
          </cell>
          <cell r="AE148" t="str">
            <v>-</v>
          </cell>
          <cell r="AF148" t="str">
            <v>-</v>
          </cell>
          <cell r="AG148">
            <v>-3042.1</v>
          </cell>
          <cell r="AH148">
            <v>-126.4</v>
          </cell>
          <cell r="AI148">
            <v>-18662.3</v>
          </cell>
          <cell r="AJ148" t="e">
            <v>#VALUE!</v>
          </cell>
          <cell r="AK148" t="e">
            <v>#VALUE!</v>
          </cell>
          <cell r="AL148" t="e">
            <v>#VALUE!</v>
          </cell>
          <cell r="AM148" t="e">
            <v>#VALUE!</v>
          </cell>
          <cell r="AN148" t="e">
            <v>#VALUE!</v>
          </cell>
          <cell r="AO148" t="e">
            <v>#VALUE!</v>
          </cell>
          <cell r="AP148" t="e">
            <v>#VALUE!</v>
          </cell>
          <cell r="AQ148" t="e">
            <v>#VALUE!</v>
          </cell>
          <cell r="AR148" t="e">
            <v>#VALUE!</v>
          </cell>
          <cell r="AS148" t="e">
            <v>#VALUE!</v>
          </cell>
          <cell r="AT148" t="e">
            <v>#VALUE!</v>
          </cell>
          <cell r="AU148" t="e">
            <v>#VALUE!</v>
          </cell>
          <cell r="AV148" t="e">
            <v>#VALUE!</v>
          </cell>
          <cell r="AW148" t="e">
            <v>#VALUE!</v>
          </cell>
          <cell r="AX148" t="e">
            <v>#VALUE!</v>
          </cell>
          <cell r="AY148" t="e">
            <v>#VALUE!</v>
          </cell>
          <cell r="AZ148" t="e">
            <v>#VALUE!</v>
          </cell>
          <cell r="BA148" t="e">
            <v>#VALUE!</v>
          </cell>
          <cell r="BB148" t="e">
            <v>#VALUE!</v>
          </cell>
          <cell r="BC148" t="e">
            <v>#VALUE!</v>
          </cell>
          <cell r="BD148" t="e">
            <v>#VALUE!</v>
          </cell>
          <cell r="BE148" t="e">
            <v>#VALUE!</v>
          </cell>
          <cell r="BF148" t="e">
            <v>#VALUE!</v>
          </cell>
          <cell r="BG148" t="e">
            <v>#VALUE!</v>
          </cell>
          <cell r="BH148" t="e">
            <v>#VALUE!</v>
          </cell>
          <cell r="BI148" t="e">
            <v>#VALUE!</v>
          </cell>
          <cell r="BJ148" t="e">
            <v>#VALUE!</v>
          </cell>
          <cell r="BK148" t="e">
            <v>#VALUE!</v>
          </cell>
          <cell r="BL148" t="e">
            <v>#VALUE!</v>
          </cell>
          <cell r="BM148" t="e">
            <v>#VALUE!</v>
          </cell>
        </row>
        <row r="149">
          <cell r="A149" t="str">
            <v>40878-AB3B NEW</v>
          </cell>
          <cell r="B149">
            <v>40878</v>
          </cell>
          <cell r="C149" t="str">
            <v>AB3B NEW BUILD</v>
          </cell>
          <cell r="D149" t="str">
            <v>AB3B NEW BUILD</v>
          </cell>
          <cell r="E149">
            <v>2010</v>
          </cell>
          <cell r="F149" t="str">
            <v>-</v>
          </cell>
          <cell r="G149" t="str">
            <v>-</v>
          </cell>
          <cell r="H149">
            <v>48.6</v>
          </cell>
          <cell r="I149">
            <v>48.6</v>
          </cell>
          <cell r="J149" t="str">
            <v>-</v>
          </cell>
          <cell r="K149" t="str">
            <v>-</v>
          </cell>
          <cell r="L149">
            <v>57.6</v>
          </cell>
          <cell r="M149">
            <v>604</v>
          </cell>
          <cell r="N149" t="str">
            <v>-</v>
          </cell>
          <cell r="O149" t="str">
            <v>-</v>
          </cell>
          <cell r="P149">
            <v>-12.8</v>
          </cell>
          <cell r="Q149">
            <v>-3.9</v>
          </cell>
          <cell r="R149">
            <v>93.4</v>
          </cell>
          <cell r="S149">
            <v>648.70000000000005</v>
          </cell>
          <cell r="T149">
            <v>222.4</v>
          </cell>
          <cell r="U149">
            <v>200.5</v>
          </cell>
          <cell r="V149" t="str">
            <v>-</v>
          </cell>
          <cell r="W149" t="str">
            <v>-</v>
          </cell>
          <cell r="X149">
            <v>225.4</v>
          </cell>
          <cell r="Y149">
            <v>764.3</v>
          </cell>
          <cell r="Z149" t="str">
            <v>-</v>
          </cell>
          <cell r="AA149" t="str">
            <v>-</v>
          </cell>
          <cell r="AB149">
            <v>69.400000000000006</v>
          </cell>
          <cell r="AC149">
            <v>700.1</v>
          </cell>
          <cell r="AD149" t="str">
            <v>-</v>
          </cell>
          <cell r="AE149" t="str">
            <v>-</v>
          </cell>
          <cell r="AF149">
            <v>-1.9</v>
          </cell>
          <cell r="AG149">
            <v>54.2</v>
          </cell>
          <cell r="AH149">
            <v>515.29999999999995</v>
          </cell>
          <cell r="AI149">
            <v>1719.1</v>
          </cell>
          <cell r="AJ149" t="e">
            <v>#VALUE!</v>
          </cell>
          <cell r="AK149" t="e">
            <v>#VALUE!</v>
          </cell>
          <cell r="AL149" t="e">
            <v>#VALUE!</v>
          </cell>
          <cell r="AM149" t="e">
            <v>#VALUE!</v>
          </cell>
          <cell r="AN149" t="e">
            <v>#VALUE!</v>
          </cell>
          <cell r="AO149" t="e">
            <v>#VALUE!</v>
          </cell>
          <cell r="AP149" t="e">
            <v>#VALUE!</v>
          </cell>
          <cell r="AQ149" t="e">
            <v>#VALUE!</v>
          </cell>
          <cell r="AR149" t="e">
            <v>#VALUE!</v>
          </cell>
          <cell r="AS149" t="e">
            <v>#VALUE!</v>
          </cell>
          <cell r="AT149" t="e">
            <v>#VALUE!</v>
          </cell>
          <cell r="AU149" t="e">
            <v>#VALUE!</v>
          </cell>
          <cell r="AV149" t="e">
            <v>#VALUE!</v>
          </cell>
          <cell r="AW149" t="e">
            <v>#VALUE!</v>
          </cell>
          <cell r="AX149" t="e">
            <v>#VALUE!</v>
          </cell>
          <cell r="AY149" t="e">
            <v>#VALUE!</v>
          </cell>
          <cell r="AZ149" t="e">
            <v>#VALUE!</v>
          </cell>
          <cell r="BA149" t="e">
            <v>#VALUE!</v>
          </cell>
          <cell r="BB149" t="e">
            <v>#VALUE!</v>
          </cell>
          <cell r="BC149" t="e">
            <v>#VALUE!</v>
          </cell>
          <cell r="BD149" t="e">
            <v>#VALUE!</v>
          </cell>
          <cell r="BE149" t="e">
            <v>#VALUE!</v>
          </cell>
          <cell r="BF149" t="e">
            <v>#VALUE!</v>
          </cell>
          <cell r="BG149" t="e">
            <v>#VALUE!</v>
          </cell>
          <cell r="BH149" t="e">
            <v>#VALUE!</v>
          </cell>
          <cell r="BI149" t="e">
            <v>#VALUE!</v>
          </cell>
          <cell r="BJ149" t="e">
            <v>#VALUE!</v>
          </cell>
          <cell r="BK149" t="e">
            <v>#VALUE!</v>
          </cell>
          <cell r="BL149" t="e">
            <v>#VALUE!</v>
          </cell>
          <cell r="BM149" t="e">
            <v>#VALUE!</v>
          </cell>
        </row>
        <row r="150">
          <cell r="A150" t="str">
            <v>40878-IDECM</v>
          </cell>
          <cell r="B150">
            <v>40878</v>
          </cell>
          <cell r="C150" t="str">
            <v>IDECM - IDECM Blocks 2/3</v>
          </cell>
          <cell r="D150" t="str">
            <v>IDECM Split</v>
          </cell>
          <cell r="E150">
            <v>2008</v>
          </cell>
          <cell r="F150" t="str">
            <v>-</v>
          </cell>
          <cell r="G150">
            <v>-10.5</v>
          </cell>
          <cell r="H150">
            <v>-5</v>
          </cell>
          <cell r="I150">
            <v>77.3</v>
          </cell>
          <cell r="J150" t="str">
            <v>-</v>
          </cell>
          <cell r="K150" t="str">
            <v>-</v>
          </cell>
          <cell r="L150">
            <v>-12.3</v>
          </cell>
          <cell r="M150">
            <v>-41.4</v>
          </cell>
          <cell r="N150" t="str">
            <v>-</v>
          </cell>
          <cell r="O150" t="str">
            <v>-</v>
          </cell>
          <cell r="P150">
            <v>10.4</v>
          </cell>
          <cell r="Q150">
            <v>38.799999999999997</v>
          </cell>
          <cell r="R150">
            <v>-6.9</v>
          </cell>
          <cell r="S150">
            <v>64.2</v>
          </cell>
          <cell r="T150">
            <v>23.8</v>
          </cell>
          <cell r="U150">
            <v>-24.2</v>
          </cell>
          <cell r="V150" t="str">
            <v>-</v>
          </cell>
          <cell r="W150">
            <v>-11.2</v>
          </cell>
          <cell r="X150">
            <v>-7.3</v>
          </cell>
          <cell r="Y150">
            <v>182.3</v>
          </cell>
          <cell r="Z150" t="str">
            <v>-</v>
          </cell>
          <cell r="AA150" t="str">
            <v>-</v>
          </cell>
          <cell r="AB150">
            <v>-17.399999999999999</v>
          </cell>
          <cell r="AC150">
            <v>-69.5</v>
          </cell>
          <cell r="AD150" t="str">
            <v>-</v>
          </cell>
          <cell r="AE150" t="str">
            <v>-</v>
          </cell>
          <cell r="AF150">
            <v>16.8</v>
          </cell>
          <cell r="AG150">
            <v>50.6</v>
          </cell>
          <cell r="AH150">
            <v>15.9</v>
          </cell>
          <cell r="AI150">
            <v>128</v>
          </cell>
          <cell r="AJ150" t="e">
            <v>#VALUE!</v>
          </cell>
          <cell r="AK150" t="e">
            <v>#VALUE!</v>
          </cell>
          <cell r="AL150" t="e">
            <v>#VALUE!</v>
          </cell>
          <cell r="AM150" t="e">
            <v>#VALUE!</v>
          </cell>
          <cell r="AN150" t="e">
            <v>#VALUE!</v>
          </cell>
          <cell r="AO150" t="e">
            <v>#VALUE!</v>
          </cell>
          <cell r="AP150" t="e">
            <v>#VALUE!</v>
          </cell>
          <cell r="AQ150" t="e">
            <v>#VALUE!</v>
          </cell>
          <cell r="AR150" t="e">
            <v>#VALUE!</v>
          </cell>
          <cell r="AS150" t="e">
            <v>#VALUE!</v>
          </cell>
          <cell r="AT150" t="e">
            <v>#VALUE!</v>
          </cell>
          <cell r="AU150" t="e">
            <v>#VALUE!</v>
          </cell>
          <cell r="AV150" t="e">
            <v>#VALUE!</v>
          </cell>
          <cell r="AW150" t="e">
            <v>#VALUE!</v>
          </cell>
          <cell r="AX150" t="e">
            <v>#VALUE!</v>
          </cell>
          <cell r="AY150" t="e">
            <v>#VALUE!</v>
          </cell>
          <cell r="AZ150" t="e">
            <v>#VALUE!</v>
          </cell>
          <cell r="BA150" t="e">
            <v>#VALUE!</v>
          </cell>
          <cell r="BB150" t="e">
            <v>#VALUE!</v>
          </cell>
          <cell r="BC150" t="e">
            <v>#VALUE!</v>
          </cell>
          <cell r="BD150" t="e">
            <v>#VALUE!</v>
          </cell>
          <cell r="BE150" t="e">
            <v>#VALUE!</v>
          </cell>
          <cell r="BF150" t="e">
            <v>#VALUE!</v>
          </cell>
          <cell r="BG150" t="e">
            <v>#VALUE!</v>
          </cell>
          <cell r="BH150" t="e">
            <v>#VALUE!</v>
          </cell>
          <cell r="BI150" t="e">
            <v>#VALUE!</v>
          </cell>
          <cell r="BJ150" t="e">
            <v>#VALUE!</v>
          </cell>
          <cell r="BK150" t="e">
            <v>#VALUE!</v>
          </cell>
          <cell r="BL150" t="e">
            <v>#VALUE!</v>
          </cell>
          <cell r="BM150" t="e">
            <v>#VALUE!</v>
          </cell>
        </row>
        <row r="151">
          <cell r="A151" t="str">
            <v>40878-IDECM</v>
          </cell>
          <cell r="B151">
            <v>40878</v>
          </cell>
          <cell r="C151" t="str">
            <v>IDECM - IDECM Block 4</v>
          </cell>
          <cell r="D151" t="str">
            <v>IDECM Split</v>
          </cell>
          <cell r="E151">
            <v>2008</v>
          </cell>
          <cell r="F151" t="str">
            <v>-</v>
          </cell>
          <cell r="G151">
            <v>59.5</v>
          </cell>
          <cell r="H151">
            <v>30.6</v>
          </cell>
          <cell r="I151">
            <v>27.3</v>
          </cell>
          <cell r="J151" t="str">
            <v>-</v>
          </cell>
          <cell r="K151">
            <v>57.9</v>
          </cell>
          <cell r="L151">
            <v>17.5</v>
          </cell>
          <cell r="M151">
            <v>-11.7</v>
          </cell>
          <cell r="N151" t="str">
            <v>-</v>
          </cell>
          <cell r="O151" t="str">
            <v>-</v>
          </cell>
          <cell r="P151">
            <v>-33.5</v>
          </cell>
          <cell r="Q151">
            <v>2.6</v>
          </cell>
          <cell r="R151">
            <v>14.6</v>
          </cell>
          <cell r="S151">
            <v>135.6</v>
          </cell>
          <cell r="T151">
            <v>11.4</v>
          </cell>
          <cell r="U151">
            <v>-12.8</v>
          </cell>
          <cell r="V151" t="str">
            <v>-</v>
          </cell>
          <cell r="W151">
            <v>69.8</v>
          </cell>
          <cell r="X151">
            <v>44.6</v>
          </cell>
          <cell r="Y151">
            <v>42.2</v>
          </cell>
          <cell r="Z151" t="str">
            <v>-</v>
          </cell>
          <cell r="AA151">
            <v>63.3</v>
          </cell>
          <cell r="AB151">
            <v>21.4</v>
          </cell>
          <cell r="AC151">
            <v>-9.6</v>
          </cell>
          <cell r="AD151" t="str">
            <v>-</v>
          </cell>
          <cell r="AE151" t="str">
            <v>-</v>
          </cell>
          <cell r="AF151">
            <v>-34.5</v>
          </cell>
          <cell r="AG151">
            <v>7.1</v>
          </cell>
          <cell r="AH151">
            <v>42.9</v>
          </cell>
          <cell r="AI151">
            <v>160</v>
          </cell>
          <cell r="AJ151" t="e">
            <v>#VALUE!</v>
          </cell>
          <cell r="AK151" t="e">
            <v>#VALUE!</v>
          </cell>
          <cell r="AL151" t="e">
            <v>#VALUE!</v>
          </cell>
          <cell r="AM151" t="e">
            <v>#VALUE!</v>
          </cell>
          <cell r="AN151" t="e">
            <v>#VALUE!</v>
          </cell>
          <cell r="AO151" t="e">
            <v>#VALUE!</v>
          </cell>
          <cell r="AP151" t="e">
            <v>#VALUE!</v>
          </cell>
          <cell r="AQ151" t="e">
            <v>#VALUE!</v>
          </cell>
          <cell r="AR151" t="e">
            <v>#VALUE!</v>
          </cell>
          <cell r="AS151" t="e">
            <v>#VALUE!</v>
          </cell>
          <cell r="AT151" t="e">
            <v>#VALUE!</v>
          </cell>
          <cell r="AU151" t="e">
            <v>#VALUE!</v>
          </cell>
          <cell r="AV151" t="e">
            <v>#VALUE!</v>
          </cell>
          <cell r="AW151" t="e">
            <v>#VALUE!</v>
          </cell>
          <cell r="AX151" t="e">
            <v>#VALUE!</v>
          </cell>
          <cell r="AY151" t="e">
            <v>#VALUE!</v>
          </cell>
          <cell r="AZ151" t="e">
            <v>#VALUE!</v>
          </cell>
          <cell r="BA151" t="e">
            <v>#VALUE!</v>
          </cell>
          <cell r="BB151" t="e">
            <v>#VALUE!</v>
          </cell>
          <cell r="BC151" t="e">
            <v>#VALUE!</v>
          </cell>
          <cell r="BD151" t="e">
            <v>#VALUE!</v>
          </cell>
          <cell r="BE151" t="e">
            <v>#VALUE!</v>
          </cell>
          <cell r="BF151" t="e">
            <v>#VALUE!</v>
          </cell>
          <cell r="BG151" t="e">
            <v>#VALUE!</v>
          </cell>
          <cell r="BH151" t="e">
            <v>#VALUE!</v>
          </cell>
          <cell r="BI151" t="e">
            <v>#VALUE!</v>
          </cell>
          <cell r="BJ151" t="e">
            <v>#VALUE!</v>
          </cell>
          <cell r="BK151" t="e">
            <v>#VALUE!</v>
          </cell>
          <cell r="BL151" t="e">
            <v>#VALUE!</v>
          </cell>
          <cell r="BM151" t="e">
            <v>#VALUE!</v>
          </cell>
        </row>
        <row r="152">
          <cell r="A152" t="str">
            <v>40878-JASSM</v>
          </cell>
          <cell r="B152">
            <v>40878</v>
          </cell>
          <cell r="C152" t="str">
            <v>JASSM - JASSM Baseline</v>
          </cell>
          <cell r="D152" t="str">
            <v>JASSM Split</v>
          </cell>
          <cell r="E152">
            <v>2010</v>
          </cell>
          <cell r="F152" t="str">
            <v>-</v>
          </cell>
          <cell r="G152">
            <v>-248.7</v>
          </cell>
          <cell r="H152" t="str">
            <v>-</v>
          </cell>
          <cell r="I152" t="str">
            <v>-</v>
          </cell>
          <cell r="J152" t="str">
            <v>-</v>
          </cell>
          <cell r="K152">
            <v>121.8</v>
          </cell>
          <cell r="L152">
            <v>-560.1</v>
          </cell>
          <cell r="M152">
            <v>331.4</v>
          </cell>
          <cell r="N152" t="str">
            <v>-</v>
          </cell>
          <cell r="O152" t="str">
            <v>-</v>
          </cell>
          <cell r="P152">
            <v>470.3</v>
          </cell>
          <cell r="Q152">
            <v>494.4</v>
          </cell>
          <cell r="R152">
            <v>-89.8</v>
          </cell>
          <cell r="S152">
            <v>698.9</v>
          </cell>
          <cell r="T152">
            <v>28</v>
          </cell>
          <cell r="U152">
            <v>50.7</v>
          </cell>
          <cell r="V152" t="str">
            <v>-</v>
          </cell>
          <cell r="W152">
            <v>-345.4</v>
          </cell>
          <cell r="X152">
            <v>-14.7</v>
          </cell>
          <cell r="Y152">
            <v>506</v>
          </cell>
          <cell r="Z152" t="str">
            <v>-</v>
          </cell>
          <cell r="AA152">
            <v>179.4</v>
          </cell>
          <cell r="AB152">
            <v>-624.29999999999995</v>
          </cell>
          <cell r="AC152">
            <v>-60.2</v>
          </cell>
          <cell r="AD152" t="str">
            <v>-</v>
          </cell>
          <cell r="AE152" t="str">
            <v>-</v>
          </cell>
          <cell r="AF152">
            <v>516.6</v>
          </cell>
          <cell r="AG152">
            <v>545.4</v>
          </cell>
          <cell r="AH152">
            <v>-94.4</v>
          </cell>
          <cell r="AI152">
            <v>875.9</v>
          </cell>
          <cell r="AJ152" t="e">
            <v>#VALUE!</v>
          </cell>
          <cell r="AK152" t="e">
            <v>#VALUE!</v>
          </cell>
          <cell r="AL152" t="e">
            <v>#VALUE!</v>
          </cell>
          <cell r="AM152" t="e">
            <v>#VALUE!</v>
          </cell>
          <cell r="AN152" t="e">
            <v>#VALUE!</v>
          </cell>
          <cell r="AO152" t="e">
            <v>#VALUE!</v>
          </cell>
          <cell r="AP152" t="e">
            <v>#VALUE!</v>
          </cell>
          <cell r="AQ152" t="e">
            <v>#VALUE!</v>
          </cell>
          <cell r="AR152" t="e">
            <v>#VALUE!</v>
          </cell>
          <cell r="AS152" t="e">
            <v>#VALUE!</v>
          </cell>
          <cell r="AT152" t="e">
            <v>#VALUE!</v>
          </cell>
          <cell r="AU152" t="e">
            <v>#VALUE!</v>
          </cell>
          <cell r="AV152" t="e">
            <v>#VALUE!</v>
          </cell>
          <cell r="AW152" t="e">
            <v>#VALUE!</v>
          </cell>
          <cell r="AX152" t="e">
            <v>#VALUE!</v>
          </cell>
          <cell r="AY152" t="e">
            <v>#VALUE!</v>
          </cell>
          <cell r="AZ152" t="e">
            <v>#VALUE!</v>
          </cell>
          <cell r="BA152" t="e">
            <v>#VALUE!</v>
          </cell>
          <cell r="BB152" t="e">
            <v>#VALUE!</v>
          </cell>
          <cell r="BC152" t="e">
            <v>#VALUE!</v>
          </cell>
          <cell r="BD152" t="e">
            <v>#VALUE!</v>
          </cell>
          <cell r="BE152" t="e">
            <v>#VALUE!</v>
          </cell>
          <cell r="BF152" t="e">
            <v>#VALUE!</v>
          </cell>
          <cell r="BG152" t="e">
            <v>#VALUE!</v>
          </cell>
          <cell r="BH152" t="e">
            <v>#VALUE!</v>
          </cell>
          <cell r="BI152" t="e">
            <v>#VALUE!</v>
          </cell>
          <cell r="BJ152" t="e">
            <v>#VALUE!</v>
          </cell>
          <cell r="BK152" t="e">
            <v>#VALUE!</v>
          </cell>
          <cell r="BL152" t="e">
            <v>#VALUE!</v>
          </cell>
          <cell r="BM152" t="e">
            <v>#VALUE!</v>
          </cell>
        </row>
        <row r="153">
          <cell r="A153" t="str">
            <v>40878-JASSM</v>
          </cell>
          <cell r="B153">
            <v>40878</v>
          </cell>
          <cell r="C153" t="str">
            <v>JASSM - JASSM-ER</v>
          </cell>
          <cell r="D153" t="str">
            <v>JASSM Split</v>
          </cell>
          <cell r="E153">
            <v>2010</v>
          </cell>
          <cell r="F153" t="str">
            <v>-</v>
          </cell>
          <cell r="G153">
            <v>50.4</v>
          </cell>
          <cell r="H153" t="str">
            <v>-</v>
          </cell>
          <cell r="I153">
            <v>-7.2</v>
          </cell>
          <cell r="J153" t="str">
            <v>-</v>
          </cell>
          <cell r="K153">
            <v>193.4</v>
          </cell>
          <cell r="L153">
            <v>-618.70000000000005</v>
          </cell>
          <cell r="M153">
            <v>564.79999999999995</v>
          </cell>
          <cell r="N153" t="str">
            <v>-</v>
          </cell>
          <cell r="O153" t="str">
            <v>-</v>
          </cell>
          <cell r="P153">
            <v>164.8</v>
          </cell>
          <cell r="Q153">
            <v>180.9</v>
          </cell>
          <cell r="R153">
            <v>-453.9</v>
          </cell>
          <cell r="S153">
            <v>982.3</v>
          </cell>
          <cell r="T153">
            <v>85</v>
          </cell>
          <cell r="U153">
            <v>106.7</v>
          </cell>
          <cell r="V153" t="str">
            <v>-</v>
          </cell>
          <cell r="W153">
            <v>64.900000000000006</v>
          </cell>
          <cell r="X153">
            <v>-185.9</v>
          </cell>
          <cell r="Y153">
            <v>-139.19999999999999</v>
          </cell>
          <cell r="Z153" t="str">
            <v>-</v>
          </cell>
          <cell r="AA153">
            <v>283.89999999999998</v>
          </cell>
          <cell r="AB153">
            <v>-725.6</v>
          </cell>
          <cell r="AC153">
            <v>923.4</v>
          </cell>
          <cell r="AD153" t="str">
            <v>-</v>
          </cell>
          <cell r="AE153" t="str">
            <v>-</v>
          </cell>
          <cell r="AF153">
            <v>189.5</v>
          </cell>
          <cell r="AG153">
            <v>209.4</v>
          </cell>
          <cell r="AH153">
            <v>-637</v>
          </cell>
          <cell r="AI153">
            <v>1449.1</v>
          </cell>
          <cell r="AJ153" t="e">
            <v>#VALUE!</v>
          </cell>
          <cell r="AK153" t="e">
            <v>#VALUE!</v>
          </cell>
          <cell r="AL153" t="e">
            <v>#VALUE!</v>
          </cell>
          <cell r="AM153" t="e">
            <v>#VALUE!</v>
          </cell>
          <cell r="AN153" t="e">
            <v>#VALUE!</v>
          </cell>
          <cell r="AO153" t="e">
            <v>#VALUE!</v>
          </cell>
          <cell r="AP153" t="e">
            <v>#VALUE!</v>
          </cell>
          <cell r="AQ153" t="e">
            <v>#VALUE!</v>
          </cell>
          <cell r="AR153" t="e">
            <v>#VALUE!</v>
          </cell>
          <cell r="AS153" t="e">
            <v>#VALUE!</v>
          </cell>
          <cell r="AT153" t="e">
            <v>#VALUE!</v>
          </cell>
          <cell r="AU153" t="e">
            <v>#VALUE!</v>
          </cell>
          <cell r="AV153" t="e">
            <v>#VALUE!</v>
          </cell>
          <cell r="AW153" t="e">
            <v>#VALUE!</v>
          </cell>
          <cell r="AX153" t="e">
            <v>#VALUE!</v>
          </cell>
          <cell r="AY153" t="e">
            <v>#VALUE!</v>
          </cell>
          <cell r="AZ153" t="e">
            <v>#VALUE!</v>
          </cell>
          <cell r="BA153" t="e">
            <v>#VALUE!</v>
          </cell>
          <cell r="BB153" t="e">
            <v>#VALUE!</v>
          </cell>
          <cell r="BC153" t="e">
            <v>#VALUE!</v>
          </cell>
          <cell r="BD153" t="e">
            <v>#VALUE!</v>
          </cell>
          <cell r="BE153" t="e">
            <v>#VALUE!</v>
          </cell>
          <cell r="BF153" t="e">
            <v>#VALUE!</v>
          </cell>
          <cell r="BG153" t="e">
            <v>#VALUE!</v>
          </cell>
          <cell r="BH153" t="e">
            <v>#VALUE!</v>
          </cell>
          <cell r="BI153" t="e">
            <v>#VALUE!</v>
          </cell>
          <cell r="BJ153" t="e">
            <v>#VALUE!</v>
          </cell>
          <cell r="BK153" t="e">
            <v>#VALUE!</v>
          </cell>
          <cell r="BL153" t="e">
            <v>#VALUE!</v>
          </cell>
          <cell r="BM153" t="e">
            <v>#VALUE!</v>
          </cell>
        </row>
        <row r="154">
          <cell r="A154" t="str">
            <v>40878-JSOW</v>
          </cell>
          <cell r="B154">
            <v>40878</v>
          </cell>
          <cell r="C154" t="str">
            <v>JSOW (BASELINE/UNITARY) - BASELINE/BLU-108</v>
          </cell>
          <cell r="D154" t="str">
            <v>JSOW Split</v>
          </cell>
          <cell r="E154">
            <v>1990</v>
          </cell>
          <cell r="F154" t="str">
            <v>-</v>
          </cell>
          <cell r="G154">
            <v>-2059.3000000000002</v>
          </cell>
          <cell r="H154" t="str">
            <v>-</v>
          </cell>
          <cell r="I154">
            <v>5.9</v>
          </cell>
          <cell r="J154" t="str">
            <v>-</v>
          </cell>
          <cell r="K154">
            <v>76.599999999999994</v>
          </cell>
          <cell r="L154">
            <v>-17.2</v>
          </cell>
          <cell r="M154">
            <v>-95.4</v>
          </cell>
          <cell r="N154" t="str">
            <v>-</v>
          </cell>
          <cell r="O154" t="str">
            <v>-</v>
          </cell>
          <cell r="P154" t="str">
            <v>-</v>
          </cell>
          <cell r="Q154">
            <v>-13.5</v>
          </cell>
          <cell r="R154">
            <v>-17.2</v>
          </cell>
          <cell r="S154">
            <v>-2085.6999999999998</v>
          </cell>
          <cell r="T154">
            <v>4.7</v>
          </cell>
          <cell r="U154">
            <v>-34.6</v>
          </cell>
          <cell r="V154" t="str">
            <v>-</v>
          </cell>
          <cell r="W154">
            <v>-3204.5</v>
          </cell>
          <cell r="X154" t="str">
            <v>-</v>
          </cell>
          <cell r="Y154">
            <v>395.3</v>
          </cell>
          <cell r="Z154" t="str">
            <v>-</v>
          </cell>
          <cell r="AA154">
            <v>104</v>
          </cell>
          <cell r="AB154">
            <v>-31.3</v>
          </cell>
          <cell r="AC154">
            <v>-264.39999999999998</v>
          </cell>
          <cell r="AD154" t="str">
            <v>-</v>
          </cell>
          <cell r="AE154" t="str">
            <v>-</v>
          </cell>
          <cell r="AF154" t="str">
            <v>-</v>
          </cell>
          <cell r="AG154">
            <v>-21.2</v>
          </cell>
          <cell r="AH154">
            <v>-26.6</v>
          </cell>
          <cell r="AI154">
            <v>-3025.4</v>
          </cell>
          <cell r="AJ154" t="e">
            <v>#VALUE!</v>
          </cell>
          <cell r="AK154" t="e">
            <v>#VALUE!</v>
          </cell>
          <cell r="AL154" t="e">
            <v>#VALUE!</v>
          </cell>
          <cell r="AM154" t="e">
            <v>#VALUE!</v>
          </cell>
          <cell r="AN154" t="e">
            <v>#VALUE!</v>
          </cell>
          <cell r="AO154" t="e">
            <v>#VALUE!</v>
          </cell>
          <cell r="AP154" t="e">
            <v>#VALUE!</v>
          </cell>
          <cell r="AQ154" t="e">
            <v>#VALUE!</v>
          </cell>
          <cell r="AR154" t="e">
            <v>#VALUE!</v>
          </cell>
          <cell r="AS154" t="e">
            <v>#VALUE!</v>
          </cell>
          <cell r="AT154" t="e">
            <v>#VALUE!</v>
          </cell>
          <cell r="AU154" t="e">
            <v>#VALUE!</v>
          </cell>
          <cell r="AV154" t="e">
            <v>#VALUE!</v>
          </cell>
          <cell r="AW154" t="e">
            <v>#VALUE!</v>
          </cell>
          <cell r="AX154" t="e">
            <v>#VALUE!</v>
          </cell>
          <cell r="AY154" t="e">
            <v>#VALUE!</v>
          </cell>
          <cell r="AZ154" t="e">
            <v>#VALUE!</v>
          </cell>
          <cell r="BA154" t="e">
            <v>#VALUE!</v>
          </cell>
          <cell r="BB154" t="e">
            <v>#VALUE!</v>
          </cell>
          <cell r="BC154" t="e">
            <v>#VALUE!</v>
          </cell>
          <cell r="BD154" t="e">
            <v>#VALUE!</v>
          </cell>
          <cell r="BE154" t="e">
            <v>#VALUE!</v>
          </cell>
          <cell r="BF154" t="e">
            <v>#VALUE!</v>
          </cell>
          <cell r="BG154" t="e">
            <v>#VALUE!</v>
          </cell>
          <cell r="BH154" t="e">
            <v>#VALUE!</v>
          </cell>
          <cell r="BI154" t="e">
            <v>#VALUE!</v>
          </cell>
          <cell r="BJ154" t="e">
            <v>#VALUE!</v>
          </cell>
          <cell r="BK154" t="e">
            <v>#VALUE!</v>
          </cell>
          <cell r="BL154" t="e">
            <v>#VALUE!</v>
          </cell>
          <cell r="BM154" t="e">
            <v>#VALUE!</v>
          </cell>
        </row>
        <row r="155">
          <cell r="A155" t="str">
            <v>40878-JSOW</v>
          </cell>
          <cell r="B155">
            <v>40878</v>
          </cell>
          <cell r="C155" t="str">
            <v>JSOW (BASELINE/UNITARY) - UNITARY</v>
          </cell>
          <cell r="D155" t="str">
            <v>JSOW Split</v>
          </cell>
          <cell r="E155">
            <v>1990</v>
          </cell>
          <cell r="F155" t="str">
            <v>-</v>
          </cell>
          <cell r="G155" t="str">
            <v>-</v>
          </cell>
          <cell r="H155" t="str">
            <v>-</v>
          </cell>
          <cell r="I155">
            <v>53.4</v>
          </cell>
          <cell r="J155" t="str">
            <v>-</v>
          </cell>
          <cell r="K155">
            <v>409.1</v>
          </cell>
          <cell r="L155">
            <v>-46.9</v>
          </cell>
          <cell r="M155">
            <v>-287.39999999999998</v>
          </cell>
          <cell r="N155" t="str">
            <v>-</v>
          </cell>
          <cell r="O155" t="str">
            <v>-</v>
          </cell>
          <cell r="P155">
            <v>-0.4</v>
          </cell>
          <cell r="Q155">
            <v>-8</v>
          </cell>
          <cell r="R155">
            <v>-47.3</v>
          </cell>
          <cell r="S155">
            <v>167.1</v>
          </cell>
          <cell r="T155">
            <v>37.9</v>
          </cell>
          <cell r="U155">
            <v>111.4</v>
          </cell>
          <cell r="V155" t="str">
            <v>-</v>
          </cell>
          <cell r="W155" t="str">
            <v>-</v>
          </cell>
          <cell r="X155">
            <v>5</v>
          </cell>
          <cell r="Y155">
            <v>151.6</v>
          </cell>
          <cell r="Z155" t="str">
            <v>-</v>
          </cell>
          <cell r="AA155">
            <v>662.7</v>
          </cell>
          <cell r="AB155">
            <v>-81.8</v>
          </cell>
          <cell r="AC155">
            <v>-515.5</v>
          </cell>
          <cell r="AD155" t="str">
            <v>-</v>
          </cell>
          <cell r="AE155" t="str">
            <v>-</v>
          </cell>
          <cell r="AF155">
            <v>-0.9</v>
          </cell>
          <cell r="AG155">
            <v>-11.6</v>
          </cell>
          <cell r="AH155">
            <v>-39.799999999999997</v>
          </cell>
          <cell r="AI155">
            <v>398.6</v>
          </cell>
          <cell r="AJ155" t="e">
            <v>#VALUE!</v>
          </cell>
          <cell r="AK155" t="e">
            <v>#VALUE!</v>
          </cell>
          <cell r="AL155" t="e">
            <v>#VALUE!</v>
          </cell>
          <cell r="AM155" t="e">
            <v>#VALUE!</v>
          </cell>
          <cell r="AN155" t="e">
            <v>#VALUE!</v>
          </cell>
          <cell r="AO155" t="e">
            <v>#VALUE!</v>
          </cell>
          <cell r="AP155" t="e">
            <v>#VALUE!</v>
          </cell>
          <cell r="AQ155" t="e">
            <v>#VALUE!</v>
          </cell>
          <cell r="AR155" t="e">
            <v>#VALUE!</v>
          </cell>
          <cell r="AS155" t="e">
            <v>#VALUE!</v>
          </cell>
          <cell r="AT155" t="e">
            <v>#VALUE!</v>
          </cell>
          <cell r="AU155" t="e">
            <v>#VALUE!</v>
          </cell>
          <cell r="AV155" t="e">
            <v>#VALUE!</v>
          </cell>
          <cell r="AW155" t="e">
            <v>#VALUE!</v>
          </cell>
          <cell r="AX155" t="e">
            <v>#VALUE!</v>
          </cell>
          <cell r="AY155" t="e">
            <v>#VALUE!</v>
          </cell>
          <cell r="AZ155" t="e">
            <v>#VALUE!</v>
          </cell>
          <cell r="BA155" t="e">
            <v>#VALUE!</v>
          </cell>
          <cell r="BB155" t="e">
            <v>#VALUE!</v>
          </cell>
          <cell r="BC155" t="e">
            <v>#VALUE!</v>
          </cell>
          <cell r="BD155" t="e">
            <v>#VALUE!</v>
          </cell>
          <cell r="BE155" t="e">
            <v>#VALUE!</v>
          </cell>
          <cell r="BF155" t="e">
            <v>#VALUE!</v>
          </cell>
          <cell r="BG155" t="e">
            <v>#VALUE!</v>
          </cell>
          <cell r="BH155" t="e">
            <v>#VALUE!</v>
          </cell>
          <cell r="BI155" t="e">
            <v>#VALUE!</v>
          </cell>
          <cell r="BJ155" t="e">
            <v>#VALUE!</v>
          </cell>
          <cell r="BK155" t="e">
            <v>#VALUE!</v>
          </cell>
          <cell r="BL155" t="e">
            <v>#VALUE!</v>
          </cell>
          <cell r="BM155" t="e">
            <v>#VALUE!</v>
          </cell>
        </row>
        <row r="156">
          <cell r="A156" t="str">
            <v>40878-NAVSTAR GPS</v>
          </cell>
          <cell r="B156">
            <v>40878</v>
          </cell>
          <cell r="C156" t="str">
            <v>NAVSTAR GPS - SPACE &amp; CONTROL</v>
          </cell>
          <cell r="D156" t="str">
            <v>NAVSTAR GPS SPLIT</v>
          </cell>
          <cell r="E156">
            <v>2000</v>
          </cell>
          <cell r="F156" t="str">
            <v>-</v>
          </cell>
          <cell r="G156">
            <v>20</v>
          </cell>
          <cell r="H156" t="str">
            <v>-</v>
          </cell>
          <cell r="I156" t="str">
            <v>-</v>
          </cell>
          <cell r="J156">
            <v>0.4</v>
          </cell>
          <cell r="K156">
            <v>392.3</v>
          </cell>
          <cell r="L156">
            <v>51.3</v>
          </cell>
          <cell r="M156">
            <v>406.8</v>
          </cell>
          <cell r="N156" t="str">
            <v>-</v>
          </cell>
          <cell r="O156" t="str">
            <v>-</v>
          </cell>
          <cell r="P156">
            <v>21.4</v>
          </cell>
          <cell r="Q156">
            <v>371.9</v>
          </cell>
          <cell r="R156">
            <v>73.099999999999994</v>
          </cell>
          <cell r="S156">
            <v>1191</v>
          </cell>
          <cell r="T156">
            <v>6.3</v>
          </cell>
          <cell r="U156">
            <v>32</v>
          </cell>
          <cell r="V156" t="str">
            <v>-</v>
          </cell>
          <cell r="W156">
            <v>-2.2999999999999998</v>
          </cell>
          <cell r="X156" t="str">
            <v>-</v>
          </cell>
          <cell r="Y156">
            <v>8.3000000000000007</v>
          </cell>
          <cell r="Z156">
            <v>0.5</v>
          </cell>
          <cell r="AA156">
            <v>435.9</v>
          </cell>
          <cell r="AB156">
            <v>63.3</v>
          </cell>
          <cell r="AC156">
            <v>543.6</v>
          </cell>
          <cell r="AD156" t="str">
            <v>-</v>
          </cell>
          <cell r="AE156" t="str">
            <v>-</v>
          </cell>
          <cell r="AF156">
            <v>28.3</v>
          </cell>
          <cell r="AG156">
            <v>443</v>
          </cell>
          <cell r="AH156">
            <v>98.4</v>
          </cell>
          <cell r="AI156">
            <v>1460.5</v>
          </cell>
          <cell r="AJ156" t="e">
            <v>#VALUE!</v>
          </cell>
          <cell r="AK156" t="e">
            <v>#VALUE!</v>
          </cell>
          <cell r="AL156" t="e">
            <v>#VALUE!</v>
          </cell>
          <cell r="AM156" t="e">
            <v>#VALUE!</v>
          </cell>
          <cell r="AN156" t="e">
            <v>#VALUE!</v>
          </cell>
          <cell r="AO156" t="e">
            <v>#VALUE!</v>
          </cell>
          <cell r="AP156" t="e">
            <v>#VALUE!</v>
          </cell>
          <cell r="AQ156" t="e">
            <v>#VALUE!</v>
          </cell>
          <cell r="AR156" t="e">
            <v>#VALUE!</v>
          </cell>
          <cell r="AS156" t="e">
            <v>#VALUE!</v>
          </cell>
          <cell r="AT156" t="e">
            <v>#VALUE!</v>
          </cell>
          <cell r="AU156" t="e">
            <v>#VALUE!</v>
          </cell>
          <cell r="AV156" t="e">
            <v>#VALUE!</v>
          </cell>
          <cell r="AW156" t="e">
            <v>#VALUE!</v>
          </cell>
          <cell r="AX156" t="e">
            <v>#VALUE!</v>
          </cell>
          <cell r="AY156" t="e">
            <v>#VALUE!</v>
          </cell>
          <cell r="AZ156" t="e">
            <v>#VALUE!</v>
          </cell>
          <cell r="BA156" t="e">
            <v>#VALUE!</v>
          </cell>
          <cell r="BB156" t="e">
            <v>#VALUE!</v>
          </cell>
          <cell r="BC156" t="e">
            <v>#VALUE!</v>
          </cell>
          <cell r="BD156" t="e">
            <v>#VALUE!</v>
          </cell>
          <cell r="BE156" t="e">
            <v>#VALUE!</v>
          </cell>
          <cell r="BF156" t="e">
            <v>#VALUE!</v>
          </cell>
          <cell r="BG156" t="e">
            <v>#VALUE!</v>
          </cell>
          <cell r="BH156" t="e">
            <v>#VALUE!</v>
          </cell>
          <cell r="BI156" t="e">
            <v>#VALUE!</v>
          </cell>
          <cell r="BJ156" t="e">
            <v>#VALUE!</v>
          </cell>
          <cell r="BK156" t="e">
            <v>#VALUE!</v>
          </cell>
          <cell r="BL156" t="e">
            <v>#VALUE!</v>
          </cell>
          <cell r="BM156" t="e">
            <v>#VALUE!</v>
          </cell>
        </row>
        <row r="157">
          <cell r="A157" t="str">
            <v>40878-NAVSTAR GPS</v>
          </cell>
          <cell r="B157">
            <v>40878</v>
          </cell>
          <cell r="C157" t="str">
            <v>NAVSTAR GPS - USER EQUIPMENT</v>
          </cell>
          <cell r="D157" t="str">
            <v>NAVSTAR GPS SPLIT</v>
          </cell>
          <cell r="E157">
            <v>2000</v>
          </cell>
          <cell r="F157" t="str">
            <v>-</v>
          </cell>
          <cell r="G157" t="str">
            <v>-</v>
          </cell>
          <cell r="H157" t="str">
            <v>-</v>
          </cell>
          <cell r="I157" t="str">
            <v>-</v>
          </cell>
          <cell r="J157">
            <v>23</v>
          </cell>
          <cell r="K157">
            <v>274.60000000000002</v>
          </cell>
          <cell r="L157">
            <v>-11.2</v>
          </cell>
          <cell r="M157">
            <v>410.3</v>
          </cell>
          <cell r="N157" t="str">
            <v>-</v>
          </cell>
          <cell r="O157" t="str">
            <v>-</v>
          </cell>
          <cell r="P157" t="str">
            <v>-</v>
          </cell>
          <cell r="Q157">
            <v>-254.3</v>
          </cell>
          <cell r="R157">
            <v>11.8</v>
          </cell>
          <cell r="S157">
            <v>430.6</v>
          </cell>
          <cell r="T157">
            <v>3.8</v>
          </cell>
          <cell r="U157">
            <v>-1.7</v>
          </cell>
          <cell r="V157" t="str">
            <v>-</v>
          </cell>
          <cell r="W157" t="str">
            <v>-</v>
          </cell>
          <cell r="X157" t="str">
            <v>-</v>
          </cell>
          <cell r="Y157" t="str">
            <v>-</v>
          </cell>
          <cell r="Z157">
            <v>29.6</v>
          </cell>
          <cell r="AA157">
            <v>307.39999999999998</v>
          </cell>
          <cell r="AB157">
            <v>-13.9</v>
          </cell>
          <cell r="AC157">
            <v>500.4</v>
          </cell>
          <cell r="AD157" t="str">
            <v>-</v>
          </cell>
          <cell r="AE157" t="str">
            <v>-</v>
          </cell>
          <cell r="AF157" t="str">
            <v>-</v>
          </cell>
          <cell r="AG157">
            <v>-274.10000000000002</v>
          </cell>
          <cell r="AH157">
            <v>19.5</v>
          </cell>
          <cell r="AI157">
            <v>532</v>
          </cell>
          <cell r="AJ157" t="e">
            <v>#VALUE!</v>
          </cell>
          <cell r="AK157" t="e">
            <v>#VALUE!</v>
          </cell>
          <cell r="AL157" t="e">
            <v>#VALUE!</v>
          </cell>
          <cell r="AM157" t="e">
            <v>#VALUE!</v>
          </cell>
          <cell r="AN157" t="e">
            <v>#VALUE!</v>
          </cell>
          <cell r="AO157" t="e">
            <v>#VALUE!</v>
          </cell>
          <cell r="AP157" t="e">
            <v>#VALUE!</v>
          </cell>
          <cell r="AQ157" t="e">
            <v>#VALUE!</v>
          </cell>
          <cell r="AR157" t="e">
            <v>#VALUE!</v>
          </cell>
          <cell r="AS157" t="e">
            <v>#VALUE!</v>
          </cell>
          <cell r="AT157" t="e">
            <v>#VALUE!</v>
          </cell>
          <cell r="AU157" t="e">
            <v>#VALUE!</v>
          </cell>
          <cell r="AV157" t="e">
            <v>#VALUE!</v>
          </cell>
          <cell r="AW157" t="e">
            <v>#VALUE!</v>
          </cell>
          <cell r="AX157" t="e">
            <v>#VALUE!</v>
          </cell>
          <cell r="AY157" t="e">
            <v>#VALUE!</v>
          </cell>
          <cell r="AZ157" t="e">
            <v>#VALUE!</v>
          </cell>
          <cell r="BA157" t="e">
            <v>#VALUE!</v>
          </cell>
          <cell r="BB157" t="e">
            <v>#VALUE!</v>
          </cell>
          <cell r="BC157" t="e">
            <v>#VALUE!</v>
          </cell>
          <cell r="BD157" t="e">
            <v>#VALUE!</v>
          </cell>
          <cell r="BE157" t="e">
            <v>#VALUE!</v>
          </cell>
          <cell r="BF157" t="e">
            <v>#VALUE!</v>
          </cell>
          <cell r="BG157" t="e">
            <v>#VALUE!</v>
          </cell>
          <cell r="BH157" t="e">
            <v>#VALUE!</v>
          </cell>
          <cell r="BI157" t="e">
            <v>#VALUE!</v>
          </cell>
          <cell r="BJ157" t="e">
            <v>#VALUE!</v>
          </cell>
          <cell r="BK157" t="e">
            <v>#VALUE!</v>
          </cell>
          <cell r="BL157" t="e">
            <v>#VALUE!</v>
          </cell>
          <cell r="BM157" t="e">
            <v>#VALUE!</v>
          </cell>
        </row>
        <row r="158">
          <cell r="A158" t="str">
            <v>40878-PATRIOT/MEADS CAP</v>
          </cell>
          <cell r="B158">
            <v>40878</v>
          </cell>
          <cell r="C158" t="str">
            <v>PATRIOT/MEADS CAP - FIRE UNIT</v>
          </cell>
          <cell r="D158" t="str">
            <v>PATRIOT/MEADS CAP SPLIT</v>
          </cell>
          <cell r="E158">
            <v>2004</v>
          </cell>
          <cell r="F158" t="str">
            <v>-</v>
          </cell>
          <cell r="G158">
            <v>-8875.5</v>
          </cell>
          <cell r="H158" t="str">
            <v>-</v>
          </cell>
          <cell r="I158">
            <v>-148</v>
          </cell>
          <cell r="J158" t="str">
            <v>-</v>
          </cell>
          <cell r="K158" t="str">
            <v>-</v>
          </cell>
          <cell r="L158">
            <v>-120.7</v>
          </cell>
          <cell r="M158">
            <v>-2568</v>
          </cell>
          <cell r="N158" t="str">
            <v>-</v>
          </cell>
          <cell r="O158" t="str">
            <v>-</v>
          </cell>
          <cell r="P158" t="str">
            <v>-</v>
          </cell>
          <cell r="Q158">
            <v>-2180.1999999999998</v>
          </cell>
          <cell r="R158">
            <v>-120.7</v>
          </cell>
          <cell r="S158">
            <v>-13771.7</v>
          </cell>
          <cell r="T158">
            <v>21.8</v>
          </cell>
          <cell r="U158">
            <v>-70.099999999999994</v>
          </cell>
          <cell r="V158" t="str">
            <v>-</v>
          </cell>
          <cell r="W158">
            <v>-12555.5</v>
          </cell>
          <cell r="X158" t="str">
            <v>-</v>
          </cell>
          <cell r="Y158">
            <v>-86.5</v>
          </cell>
          <cell r="Z158" t="str">
            <v>-</v>
          </cell>
          <cell r="AA158" t="str">
            <v>-</v>
          </cell>
          <cell r="AB158">
            <v>-148.19999999999999</v>
          </cell>
          <cell r="AC158">
            <v>-2908.1</v>
          </cell>
          <cell r="AD158" t="str">
            <v>-</v>
          </cell>
          <cell r="AE158" t="str">
            <v>-</v>
          </cell>
          <cell r="AF158" t="str">
            <v>-</v>
          </cell>
          <cell r="AG158">
            <v>-3042.1</v>
          </cell>
          <cell r="AH158">
            <v>-126.4</v>
          </cell>
          <cell r="AI158">
            <v>-18662.3</v>
          </cell>
          <cell r="AJ158" t="e">
            <v>#VALUE!</v>
          </cell>
          <cell r="AK158" t="e">
            <v>#VALUE!</v>
          </cell>
          <cell r="AL158" t="e">
            <v>#VALUE!</v>
          </cell>
          <cell r="AM158" t="e">
            <v>#VALUE!</v>
          </cell>
          <cell r="AN158" t="e">
            <v>#VALUE!</v>
          </cell>
          <cell r="AO158" t="e">
            <v>#VALUE!</v>
          </cell>
          <cell r="AP158" t="e">
            <v>#VALUE!</v>
          </cell>
          <cell r="AQ158" t="e">
            <v>#VALUE!</v>
          </cell>
          <cell r="AR158" t="e">
            <v>#VALUE!</v>
          </cell>
          <cell r="AS158" t="e">
            <v>#VALUE!</v>
          </cell>
          <cell r="AT158" t="e">
            <v>#VALUE!</v>
          </cell>
          <cell r="AU158" t="e">
            <v>#VALUE!</v>
          </cell>
          <cell r="AV158" t="e">
            <v>#VALUE!</v>
          </cell>
          <cell r="AW158" t="e">
            <v>#VALUE!</v>
          </cell>
          <cell r="AX158" t="e">
            <v>#VALUE!</v>
          </cell>
          <cell r="AY158" t="e">
            <v>#VALUE!</v>
          </cell>
          <cell r="AZ158" t="e">
            <v>#VALUE!</v>
          </cell>
          <cell r="BA158" t="e">
            <v>#VALUE!</v>
          </cell>
          <cell r="BB158" t="e">
            <v>#VALUE!</v>
          </cell>
          <cell r="BC158" t="e">
            <v>#VALUE!</v>
          </cell>
          <cell r="BD158" t="e">
            <v>#VALUE!</v>
          </cell>
          <cell r="BE158" t="e">
            <v>#VALUE!</v>
          </cell>
          <cell r="BF158" t="e">
            <v>#VALUE!</v>
          </cell>
          <cell r="BG158" t="e">
            <v>#VALUE!</v>
          </cell>
          <cell r="BH158" t="e">
            <v>#VALUE!</v>
          </cell>
          <cell r="BI158" t="e">
            <v>#VALUE!</v>
          </cell>
          <cell r="BJ158" t="e">
            <v>#VALUE!</v>
          </cell>
          <cell r="BK158" t="e">
            <v>#VALUE!</v>
          </cell>
          <cell r="BL158" t="e">
            <v>#VALUE!</v>
          </cell>
          <cell r="BM158" t="e">
            <v>#VALUE!</v>
          </cell>
        </row>
        <row r="159">
          <cell r="A159" t="str">
            <v>40878-PATRIOT/MEADS CAP</v>
          </cell>
          <cell r="B159">
            <v>40878</v>
          </cell>
          <cell r="C159" t="str">
            <v>PATRIOT/MEADS CAP - MISSILE</v>
          </cell>
          <cell r="D159" t="str">
            <v>PATRIOT/MEADS CAP SPLIT</v>
          </cell>
          <cell r="E159">
            <v>2004</v>
          </cell>
          <cell r="F159" t="str">
            <v>-</v>
          </cell>
          <cell r="G159" t="str">
            <v>-</v>
          </cell>
          <cell r="H159">
            <v>48.6</v>
          </cell>
          <cell r="I159">
            <v>48.6</v>
          </cell>
          <cell r="J159" t="str">
            <v>-</v>
          </cell>
          <cell r="K159" t="str">
            <v>-</v>
          </cell>
          <cell r="L159">
            <v>57.6</v>
          </cell>
          <cell r="M159">
            <v>604</v>
          </cell>
          <cell r="N159" t="str">
            <v>-</v>
          </cell>
          <cell r="O159" t="str">
            <v>-</v>
          </cell>
          <cell r="P159">
            <v>-12.8</v>
          </cell>
          <cell r="Q159">
            <v>-3.9</v>
          </cell>
          <cell r="R159">
            <v>93.4</v>
          </cell>
          <cell r="S159">
            <v>648.70000000000005</v>
          </cell>
          <cell r="T159">
            <v>222.4</v>
          </cell>
          <cell r="U159">
            <v>200.5</v>
          </cell>
          <cell r="V159" t="str">
            <v>-</v>
          </cell>
          <cell r="W159" t="str">
            <v>-</v>
          </cell>
          <cell r="X159">
            <v>225.4</v>
          </cell>
          <cell r="Y159">
            <v>764.3</v>
          </cell>
          <cell r="Z159" t="str">
            <v>-</v>
          </cell>
          <cell r="AA159" t="str">
            <v>-</v>
          </cell>
          <cell r="AB159">
            <v>69.400000000000006</v>
          </cell>
          <cell r="AC159">
            <v>700.1</v>
          </cell>
          <cell r="AD159" t="str">
            <v>-</v>
          </cell>
          <cell r="AE159" t="str">
            <v>-</v>
          </cell>
          <cell r="AF159">
            <v>-1.9</v>
          </cell>
          <cell r="AG159">
            <v>54.2</v>
          </cell>
          <cell r="AH159">
            <v>515.29999999999995</v>
          </cell>
          <cell r="AI159">
            <v>1719.1</v>
          </cell>
          <cell r="AJ159" t="e">
            <v>#VALUE!</v>
          </cell>
          <cell r="AK159" t="e">
            <v>#VALUE!</v>
          </cell>
          <cell r="AL159" t="e">
            <v>#VALUE!</v>
          </cell>
          <cell r="AM159" t="e">
            <v>#VALUE!</v>
          </cell>
          <cell r="AN159" t="e">
            <v>#VALUE!</v>
          </cell>
          <cell r="AO159" t="e">
            <v>#VALUE!</v>
          </cell>
          <cell r="AP159" t="e">
            <v>#VALUE!</v>
          </cell>
          <cell r="AQ159" t="e">
            <v>#VALUE!</v>
          </cell>
          <cell r="AR159" t="e">
            <v>#VALUE!</v>
          </cell>
          <cell r="AS159" t="e">
            <v>#VALUE!</v>
          </cell>
          <cell r="AT159" t="e">
            <v>#VALUE!</v>
          </cell>
          <cell r="AU159" t="e">
            <v>#VALUE!</v>
          </cell>
          <cell r="AV159" t="e">
            <v>#VALUE!</v>
          </cell>
          <cell r="AW159" t="e">
            <v>#VALUE!</v>
          </cell>
          <cell r="AX159" t="e">
            <v>#VALUE!</v>
          </cell>
          <cell r="AY159" t="e">
            <v>#VALUE!</v>
          </cell>
          <cell r="AZ159" t="e">
            <v>#VALUE!</v>
          </cell>
          <cell r="BA159" t="e">
            <v>#VALUE!</v>
          </cell>
          <cell r="BB159" t="e">
            <v>#VALUE!</v>
          </cell>
          <cell r="BC159" t="e">
            <v>#VALUE!</v>
          </cell>
          <cell r="BD159" t="e">
            <v>#VALUE!</v>
          </cell>
          <cell r="BE159" t="e">
            <v>#VALUE!</v>
          </cell>
          <cell r="BF159" t="e">
            <v>#VALUE!</v>
          </cell>
          <cell r="BG159" t="e">
            <v>#VALUE!</v>
          </cell>
          <cell r="BH159" t="e">
            <v>#VALUE!</v>
          </cell>
          <cell r="BI159" t="e">
            <v>#VALUE!</v>
          </cell>
          <cell r="BJ159" t="e">
            <v>#VALUE!</v>
          </cell>
          <cell r="BK159" t="e">
            <v>#VALUE!</v>
          </cell>
          <cell r="BL159" t="e">
            <v>#VALUE!</v>
          </cell>
          <cell r="BM159" t="e">
            <v>#VALUE!</v>
          </cell>
        </row>
      </sheetData>
      <sheetData sheetId="8">
        <row r="2">
          <cell r="B2" t="b">
            <v>0</v>
          </cell>
          <cell r="E2">
            <v>40878</v>
          </cell>
          <cell r="H2">
            <v>38322</v>
          </cell>
          <cell r="I2">
            <v>38687</v>
          </cell>
          <cell r="J2">
            <v>39052</v>
          </cell>
          <cell r="K2">
            <v>39417</v>
          </cell>
          <cell r="L2">
            <v>39783</v>
          </cell>
          <cell r="M2">
            <v>40148</v>
          </cell>
          <cell r="N2">
            <v>40513</v>
          </cell>
          <cell r="O2">
            <v>40878</v>
          </cell>
          <cell r="P2">
            <v>41244</v>
          </cell>
          <cell r="Q2">
            <v>41609</v>
          </cell>
          <cell r="R2">
            <v>40878</v>
          </cell>
          <cell r="S2">
            <v>40878</v>
          </cell>
        </row>
        <row r="3">
          <cell r="T3" t="str">
            <v>2009 $s</v>
          </cell>
          <cell r="U3" t="str">
            <v>2010 $s</v>
          </cell>
          <cell r="V3" t="str">
            <v>2010 $s</v>
          </cell>
          <cell r="W3" t="str">
            <v>2010 $s</v>
          </cell>
          <cell r="X3" t="str">
            <v>2010 $s</v>
          </cell>
          <cell r="Y3" t="str">
            <v>2010 $s</v>
          </cell>
          <cell r="Z3" t="str">
            <v>2010 $s</v>
          </cell>
          <cell r="AA3" t="str">
            <v>2010 $s</v>
          </cell>
          <cell r="AB3" t="str">
            <v>2010 $s</v>
          </cell>
          <cell r="AC3" t="str">
            <v>2010 $s</v>
          </cell>
          <cell r="AD3" t="str">
            <v>2010 $s</v>
          </cell>
        </row>
        <row r="4">
          <cell r="A4" t="str">
            <v>Shorthand</v>
          </cell>
          <cell r="B4">
            <v>31</v>
          </cell>
          <cell r="C4">
            <v>32</v>
          </cell>
          <cell r="D4">
            <v>33</v>
          </cell>
          <cell r="E4">
            <v>5</v>
          </cell>
          <cell r="T4" t="str">
            <v>2004-2009 Known</v>
          </cell>
          <cell r="U4">
            <v>2004</v>
          </cell>
          <cell r="V4">
            <v>2005</v>
          </cell>
          <cell r="W4">
            <v>2006</v>
          </cell>
          <cell r="X4">
            <v>2007</v>
          </cell>
          <cell r="Y4">
            <v>2008</v>
          </cell>
          <cell r="Z4">
            <v>2009</v>
          </cell>
          <cell r="AA4">
            <v>2010</v>
          </cell>
          <cell r="AB4">
            <v>2011</v>
          </cell>
          <cell r="AC4">
            <v>2012</v>
          </cell>
          <cell r="AD4">
            <v>2013</v>
          </cell>
        </row>
        <row r="5">
          <cell r="A5" t="str">
            <v>Shorthand</v>
          </cell>
          <cell r="B5" t="str">
            <v>In Sample</v>
          </cell>
          <cell r="C5" t="str">
            <v>Latest Included SARs</v>
          </cell>
          <cell r="D5" t="str">
            <v>Latest Intact SARs</v>
          </cell>
          <cell r="E5" t="str">
            <v>Prior Years 
(Then-Year $s)</v>
          </cell>
          <cell r="F5" t="str">
            <v>2004-2010 Estimate (Then-Year $s)</v>
          </cell>
          <cell r="G5" t="str">
            <v>2004-2010 Known (Then-Year $s)</v>
          </cell>
          <cell r="H5" t="str">
            <v>FY 2004 Budget 
(Then-Year $s)</v>
          </cell>
          <cell r="I5" t="str">
            <v>FY 2005 Budget 
(Then-Year $s)</v>
          </cell>
          <cell r="J5" t="str">
            <v>FY 2006 Budget 
(Then-Year $s)</v>
          </cell>
          <cell r="K5" t="str">
            <v>FY 2007 Budget 
(Then-Year $s)</v>
          </cell>
          <cell r="L5" t="str">
            <v>FY 2008 Budget 
(Then-Year $s)</v>
          </cell>
          <cell r="M5" t="str">
            <v>FY 2009 Budget 
(Then-Year $s)</v>
          </cell>
          <cell r="N5" t="str">
            <v>FY 2010 Budget 
(Then-Year $s)</v>
          </cell>
          <cell r="O5" t="str">
            <v>FY 2011 Budget 
(Then-Year $s)</v>
          </cell>
          <cell r="P5" t="str">
            <v>FY 2012 Budget 
(Then-Year $s)</v>
          </cell>
          <cell r="Q5" t="str">
            <v>FY 2013 Budget 
(Then-Year $s)</v>
          </cell>
          <cell r="R5" t="str">
            <v>Balance of Program 
(Then-Year $s)</v>
          </cell>
          <cell r="S5" t="str">
            <v>Total 
(Then-Year $s)</v>
          </cell>
          <cell r="T5" t="str">
            <v>2004-2009 Known (2009 $s)</v>
          </cell>
          <cell r="U5" t="str">
            <v>2004 (2010 $s)</v>
          </cell>
          <cell r="V5" t="str">
            <v>2005 (2010 $s)</v>
          </cell>
          <cell r="W5" t="str">
            <v>2006 (2010 $s)</v>
          </cell>
          <cell r="X5" t="str">
            <v>2007 (2010 $s)</v>
          </cell>
          <cell r="Y5" t="str">
            <v>2008 (2010 $s)</v>
          </cell>
          <cell r="Z5" t="str">
            <v>2009 (2010 $s)</v>
          </cell>
          <cell r="AA5" t="str">
            <v>2010 (2010 $s)</v>
          </cell>
          <cell r="AB5" t="str">
            <v>2011 (2010 $s)</v>
          </cell>
          <cell r="AC5" t="str">
            <v>2012 (2010 $s)</v>
          </cell>
          <cell r="AD5" t="str">
            <v>2013 (2010 $s)</v>
          </cell>
          <cell r="AE5" t="str">
            <v>Baseline Estimate (2010 $)</v>
          </cell>
          <cell r="AF5" t="str">
            <v>Changes To Date (2010 $)</v>
          </cell>
          <cell r="AG5" t="str">
            <v>Current Estimate (2010 $)</v>
          </cell>
          <cell r="AH5" t="str">
            <v>Baseline Estimate (Base-Year  $)</v>
          </cell>
          <cell r="AI5" t="str">
            <v>Changes To Date (Base-Year  $)</v>
          </cell>
          <cell r="AJ5" t="str">
            <v>Current Estimate (Base-Year  $)</v>
          </cell>
          <cell r="AK5" t="str">
            <v>% Change CAGR To Date Adjusted for Qty (Constant $)</v>
          </cell>
          <cell r="AL5" t="str">
            <v>% Change To Date Adjusted  for Qty
 (Constant $)</v>
          </cell>
          <cell r="AM5" t="str">
            <v>Base Year</v>
          </cell>
          <cell r="AN5" t="str">
            <v/>
          </cell>
          <cell r="AO5" t="str">
            <v>% Change To Date Adjusted  for Qty
 (Then-Year  $)</v>
          </cell>
          <cell r="AP5" t="str">
            <v>Baseline Estimate (Then-Year  $)</v>
          </cell>
          <cell r="AQ5" t="str">
            <v>Base Year</v>
          </cell>
          <cell r="AR5" t="str">
            <v>Quantity To Date (Base Year $s)</v>
          </cell>
          <cell r="AS5" t="str">
            <v>Schedule To Date (Base Year $s)</v>
          </cell>
          <cell r="AT5" t="str">
            <v>Engineering To Date (Base Year $s)</v>
          </cell>
          <cell r="AU5" t="str">
            <v>Estimating To Date (Base Year $s)</v>
          </cell>
          <cell r="AV5" t="str">
            <v>Other (Base Year $s)</v>
          </cell>
          <cell r="AW5" t="str">
            <v>Support (Base Year $s)</v>
          </cell>
          <cell r="AX5" t="str">
            <v>Total (Base Year $s)</v>
          </cell>
          <cell r="AY5" t="str">
            <v>Quantity (2010 $)</v>
          </cell>
          <cell r="AZ5" t="str">
            <v>Schedule (2010 $)</v>
          </cell>
          <cell r="BA5" t="str">
            <v>Engineering (2010 $)</v>
          </cell>
          <cell r="BB5" t="str">
            <v>Estimating (2010 $)</v>
          </cell>
          <cell r="BC5" t="str">
            <v>Other (2010 $)</v>
          </cell>
          <cell r="BD5" t="str">
            <v>Support (2010 $)</v>
          </cell>
          <cell r="BE5" t="str">
            <v>Total (2010 $)</v>
          </cell>
          <cell r="BF5" t="str">
            <v>Current Estimate (Then-Year  $)</v>
          </cell>
        </row>
        <row r="6"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  <cell r="Y6">
            <v>25</v>
          </cell>
          <cell r="Z6">
            <v>26</v>
          </cell>
          <cell r="AA6">
            <v>27</v>
          </cell>
          <cell r="AB6">
            <v>28</v>
          </cell>
          <cell r="AC6">
            <v>29</v>
          </cell>
          <cell r="AD6">
            <v>30</v>
          </cell>
          <cell r="AE6">
            <v>31</v>
          </cell>
          <cell r="AF6">
            <v>32</v>
          </cell>
          <cell r="AG6">
            <v>33</v>
          </cell>
          <cell r="AH6">
            <v>34</v>
          </cell>
          <cell r="AI6">
            <v>35</v>
          </cell>
          <cell r="AJ6">
            <v>36</v>
          </cell>
          <cell r="AK6">
            <v>37</v>
          </cell>
          <cell r="AL6">
            <v>38</v>
          </cell>
          <cell r="AM6">
            <v>39</v>
          </cell>
          <cell r="AN6">
            <v>40</v>
          </cell>
          <cell r="AO6">
            <v>41</v>
          </cell>
          <cell r="AP6">
            <v>42</v>
          </cell>
          <cell r="AQ6">
            <v>43</v>
          </cell>
          <cell r="AR6">
            <v>44</v>
          </cell>
          <cell r="AS6">
            <v>45</v>
          </cell>
          <cell r="AT6">
            <v>46</v>
          </cell>
          <cell r="AU6">
            <v>47</v>
          </cell>
          <cell r="AV6">
            <v>48</v>
          </cell>
          <cell r="AW6">
            <v>49</v>
          </cell>
          <cell r="AX6">
            <v>50</v>
          </cell>
          <cell r="AY6">
            <v>51</v>
          </cell>
          <cell r="AZ6">
            <v>52</v>
          </cell>
          <cell r="BA6">
            <v>53</v>
          </cell>
          <cell r="BB6">
            <v>54</v>
          </cell>
          <cell r="BC6">
            <v>55</v>
          </cell>
          <cell r="BD6">
            <v>56</v>
          </cell>
          <cell r="BE6">
            <v>57</v>
          </cell>
          <cell r="BF6">
            <v>58</v>
          </cell>
        </row>
        <row r="7">
          <cell r="A7" t="str">
            <v>AB3 APACHE Block III</v>
          </cell>
          <cell r="B7" t="b">
            <v>0</v>
          </cell>
          <cell r="C7">
            <v>40148</v>
          </cell>
          <cell r="D7">
            <v>40148</v>
          </cell>
          <cell r="E7">
            <v>668.7</v>
          </cell>
          <cell r="F7">
            <v>1036.3000000000002</v>
          </cell>
          <cell r="G7">
            <v>367.6</v>
          </cell>
          <cell r="H7" t="str">
            <v/>
          </cell>
          <cell r="I7" t="str">
            <v/>
          </cell>
          <cell r="J7">
            <v>0</v>
          </cell>
          <cell r="K7">
            <v>0</v>
          </cell>
          <cell r="L7" t="str">
            <v/>
          </cell>
          <cell r="M7">
            <v>0</v>
          </cell>
          <cell r="N7">
            <v>367.6</v>
          </cell>
          <cell r="O7">
            <v>587.20000000000005</v>
          </cell>
          <cell r="P7">
            <v>0</v>
          </cell>
          <cell r="Q7">
            <v>0</v>
          </cell>
          <cell r="R7">
            <v>10062.5</v>
          </cell>
          <cell r="S7">
            <v>11686</v>
          </cell>
          <cell r="T7">
            <v>0</v>
          </cell>
          <cell r="U7" t="str">
            <v/>
          </cell>
          <cell r="V7" t="str">
            <v/>
          </cell>
          <cell r="W7">
            <v>0</v>
          </cell>
          <cell r="X7">
            <v>0</v>
          </cell>
          <cell r="Y7" t="str">
            <v/>
          </cell>
          <cell r="Z7">
            <v>0</v>
          </cell>
          <cell r="AA7">
            <v>377.68416726600231</v>
          </cell>
          <cell r="AB7">
            <v>595.35638243942014</v>
          </cell>
          <cell r="AC7">
            <v>0</v>
          </cell>
          <cell r="AD7">
            <v>0</v>
          </cell>
          <cell r="AE7">
            <v>7243.285066872997</v>
          </cell>
          <cell r="AF7">
            <v>3494.0864374930916</v>
          </cell>
          <cell r="AG7">
            <v>10737.371504366089</v>
          </cell>
          <cell r="AH7">
            <v>6553</v>
          </cell>
          <cell r="AI7">
            <v>3161.1</v>
          </cell>
          <cell r="AJ7">
            <v>9714.1</v>
          </cell>
          <cell r="AK7">
            <v>9.2389450339989132E-2</v>
          </cell>
          <cell r="AL7">
            <v>0.42399999999999999</v>
          </cell>
          <cell r="AM7">
            <v>2006</v>
          </cell>
          <cell r="AN7">
            <v>0.11252893077985693</v>
          </cell>
          <cell r="AO7">
            <v>0.377</v>
          </cell>
          <cell r="AP7">
            <v>8093.9</v>
          </cell>
          <cell r="AQ7">
            <v>2006</v>
          </cell>
          <cell r="AR7">
            <v>1956.5</v>
          </cell>
          <cell r="AS7">
            <v>11.6</v>
          </cell>
          <cell r="AT7" t="str">
            <v>-</v>
          </cell>
          <cell r="AU7">
            <v>182.9</v>
          </cell>
          <cell r="AV7" t="str">
            <v>-</v>
          </cell>
          <cell r="AW7">
            <v>1010.1</v>
          </cell>
          <cell r="AX7">
            <v>3161.1</v>
          </cell>
          <cell r="AY7">
            <v>2162.595335470322</v>
          </cell>
          <cell r="AZ7">
            <v>12.821929921520946</v>
          </cell>
          <cell r="BA7" t="e">
            <v>#VALUE!</v>
          </cell>
          <cell r="BB7">
            <v>202.16646402122251</v>
          </cell>
          <cell r="BC7" t="e">
            <v>#VALUE!</v>
          </cell>
          <cell r="BD7">
            <v>1116.5027080800267</v>
          </cell>
          <cell r="BE7">
            <v>3494.0864374930916</v>
          </cell>
          <cell r="BF7">
            <v>11686</v>
          </cell>
        </row>
        <row r="8">
          <cell r="A8" t="str">
            <v>AB3A REMANUFACTURE</v>
          </cell>
          <cell r="B8" t="b">
            <v>1</v>
          </cell>
          <cell r="C8">
            <v>40878</v>
          </cell>
          <cell r="D8">
            <v>40878</v>
          </cell>
          <cell r="E8">
            <v>1661.9</v>
          </cell>
          <cell r="F8">
            <v>1661.9</v>
          </cell>
          <cell r="G8">
            <v>0</v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>
            <v>0</v>
          </cell>
          <cell r="O8">
            <v>0</v>
          </cell>
          <cell r="P8">
            <v>654</v>
          </cell>
          <cell r="Q8">
            <v>809.3</v>
          </cell>
          <cell r="R8">
            <v>8843.1</v>
          </cell>
          <cell r="S8">
            <v>11968.3</v>
          </cell>
          <cell r="T8">
            <v>0</v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>
            <v>0</v>
          </cell>
          <cell r="AB8">
            <v>0</v>
          </cell>
          <cell r="AC8">
            <v>654</v>
          </cell>
          <cell r="AD8">
            <v>796.31998425661709</v>
          </cell>
          <cell r="AE8">
            <v>10755.882050755165</v>
          </cell>
          <cell r="AF8">
            <v>-225.31593547724239</v>
          </cell>
          <cell r="AG8">
            <v>10530.566115277921</v>
          </cell>
          <cell r="AH8">
            <v>10468.700000000001</v>
          </cell>
          <cell r="AI8">
            <v>-219.3</v>
          </cell>
          <cell r="AJ8">
            <v>10249.4</v>
          </cell>
          <cell r="AK8" t="str">
            <v/>
          </cell>
          <cell r="AL8">
            <v>-2.1</v>
          </cell>
          <cell r="AM8">
            <v>2010</v>
          </cell>
          <cell r="AN8">
            <v>0.60000000000000009</v>
          </cell>
          <cell r="AO8">
            <v>0.6</v>
          </cell>
          <cell r="AP8">
            <v>11896.6</v>
          </cell>
          <cell r="AQ8">
            <v>2010</v>
          </cell>
          <cell r="AR8" t="str">
            <v>-</v>
          </cell>
          <cell r="AS8" t="str">
            <v>-</v>
          </cell>
          <cell r="AT8" t="str">
            <v>-</v>
          </cell>
          <cell r="AU8">
            <v>-157.9</v>
          </cell>
          <cell r="AV8" t="str">
            <v>-</v>
          </cell>
          <cell r="AW8">
            <v>-61.4</v>
          </cell>
          <cell r="AX8">
            <v>-219.3</v>
          </cell>
          <cell r="AY8" t="e">
            <v>#VALUE!</v>
          </cell>
          <cell r="AZ8" t="e">
            <v>#VALUE!</v>
          </cell>
          <cell r="BA8" t="e">
            <v>#VALUE!</v>
          </cell>
          <cell r="BB8">
            <v>-162.23158327339979</v>
          </cell>
          <cell r="BC8" t="e">
            <v>#VALUE!</v>
          </cell>
          <cell r="BD8">
            <v>-63.084352203842599</v>
          </cell>
          <cell r="BE8">
            <v>-225.31593547724239</v>
          </cell>
          <cell r="BF8">
            <v>11968.3</v>
          </cell>
        </row>
        <row r="9">
          <cell r="A9" t="str">
            <v>AB3B NEW BUILD</v>
          </cell>
          <cell r="B9" t="b">
            <v>1</v>
          </cell>
          <cell r="C9">
            <v>40878</v>
          </cell>
          <cell r="D9">
            <v>40878</v>
          </cell>
          <cell r="E9" t="str">
            <v/>
          </cell>
          <cell r="F9" t="e">
            <v>#VALUE!</v>
          </cell>
          <cell r="G9">
            <v>0</v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>
            <v>0</v>
          </cell>
          <cell r="O9">
            <v>0</v>
          </cell>
          <cell r="P9">
            <v>104.2</v>
          </cell>
          <cell r="Q9">
            <v>371.1</v>
          </cell>
          <cell r="R9">
            <v>1680.5</v>
          </cell>
          <cell r="S9">
            <v>2155.8000000000002</v>
          </cell>
          <cell r="T9">
            <v>0</v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>
            <v>0</v>
          </cell>
          <cell r="AB9">
            <v>0</v>
          </cell>
          <cell r="AC9">
            <v>104.2</v>
          </cell>
          <cell r="AD9">
            <v>365.14808619502116</v>
          </cell>
          <cell r="AE9">
            <v>2370.2866536525225</v>
          </cell>
          <cell r="AF9">
            <v>-411.89766772834685</v>
          </cell>
          <cell r="AG9">
            <v>1958.3889859241756</v>
          </cell>
          <cell r="AH9">
            <v>2307</v>
          </cell>
          <cell r="AI9">
            <v>-400.9</v>
          </cell>
          <cell r="AJ9">
            <v>1906.1</v>
          </cell>
          <cell r="AK9" t="str">
            <v/>
          </cell>
          <cell r="AL9">
            <v>-20.399999999999999</v>
          </cell>
          <cell r="AM9">
            <v>2010</v>
          </cell>
          <cell r="AN9">
            <v>-17.5</v>
          </cell>
          <cell r="AO9">
            <v>-17.5</v>
          </cell>
          <cell r="AP9">
            <v>2510.4</v>
          </cell>
          <cell r="AQ9">
            <v>2010</v>
          </cell>
          <cell r="AR9">
            <v>88.3</v>
          </cell>
          <cell r="AS9">
            <v>0.1</v>
          </cell>
          <cell r="AT9" t="str">
            <v>-</v>
          </cell>
          <cell r="AU9">
            <v>-508.2</v>
          </cell>
          <cell r="AV9" t="str">
            <v>-</v>
          </cell>
          <cell r="AW9">
            <v>18.899999999999999</v>
          </cell>
          <cell r="AX9">
            <v>-400.9</v>
          </cell>
          <cell r="AY9">
            <v>90.722285009760611</v>
          </cell>
          <cell r="AZ9">
            <v>0.10274324463166548</v>
          </cell>
          <cell r="BA9" t="e">
            <v>#VALUE!</v>
          </cell>
          <cell r="BB9">
            <v>-522.14116921812388</v>
          </cell>
          <cell r="BC9" t="e">
            <v>#VALUE!</v>
          </cell>
          <cell r="BD9">
            <v>19.418473235384774</v>
          </cell>
          <cell r="BE9">
            <v>-411.89766772834685</v>
          </cell>
          <cell r="BF9">
            <v>2155.8000000000002</v>
          </cell>
        </row>
        <row r="10">
          <cell r="A10" t="str">
            <v>ACS</v>
          </cell>
          <cell r="B10" t="b">
            <v>0</v>
          </cell>
          <cell r="C10">
            <v>38687</v>
          </cell>
          <cell r="D10">
            <v>38687</v>
          </cell>
          <cell r="E10">
            <v>267.8</v>
          </cell>
          <cell r="F10">
            <v>133.19999999999999</v>
          </cell>
          <cell r="G10">
            <v>133.19999999999999</v>
          </cell>
          <cell r="H10">
            <v>0</v>
          </cell>
          <cell r="I10">
            <v>0</v>
          </cell>
          <cell r="J10">
            <v>87.8</v>
          </cell>
          <cell r="K10">
            <v>45.4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826.9</v>
          </cell>
          <cell r="S10">
            <v>1227.9000000000001</v>
          </cell>
          <cell r="T10">
            <v>145.76641901060304</v>
          </cell>
          <cell r="U10">
            <v>0</v>
          </cell>
          <cell r="V10">
            <v>0</v>
          </cell>
          <cell r="W10">
            <v>97.048745440477504</v>
          </cell>
          <cell r="X10">
            <v>48.717673570125548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4670.0569076159336</v>
          </cell>
          <cell r="AF10">
            <v>-3379.3437462162487</v>
          </cell>
          <cell r="AG10">
            <v>1290.7131613996851</v>
          </cell>
          <cell r="AH10">
            <v>3857</v>
          </cell>
          <cell r="AI10">
            <v>-2791</v>
          </cell>
          <cell r="AJ10">
            <v>1066</v>
          </cell>
          <cell r="AK10">
            <v>-5.2360430656423151E-2</v>
          </cell>
          <cell r="AL10">
            <v>-0.14899999999999999</v>
          </cell>
          <cell r="AM10">
            <v>2003</v>
          </cell>
          <cell r="AN10">
            <v>5.9821071967434136E-3</v>
          </cell>
          <cell r="AO10">
            <v>1.2E-2</v>
          </cell>
          <cell r="AP10">
            <v>4546</v>
          </cell>
          <cell r="AQ10">
            <v>2003</v>
          </cell>
          <cell r="AR10">
            <v>-2604.9</v>
          </cell>
          <cell r="AS10" t="str">
            <v>-</v>
          </cell>
          <cell r="AT10" t="str">
            <v>-</v>
          </cell>
          <cell r="AU10">
            <v>-76</v>
          </cell>
          <cell r="AV10" t="str">
            <v>-</v>
          </cell>
          <cell r="AW10">
            <v>-110.1</v>
          </cell>
          <cell r="AX10">
            <v>-2791</v>
          </cell>
          <cell r="AY10">
            <v>-3154.0138031238648</v>
          </cell>
          <cell r="AZ10" t="e">
            <v>#VALUE!</v>
          </cell>
          <cell r="BA10" t="e">
            <v>#VALUE!</v>
          </cell>
          <cell r="BB10">
            <v>-92.020825765831205</v>
          </cell>
          <cell r="BC10" t="e">
            <v>#VALUE!</v>
          </cell>
          <cell r="BD10">
            <v>-133.30911732655284</v>
          </cell>
          <cell r="BE10">
            <v>-3379.3437462162487</v>
          </cell>
          <cell r="BF10">
            <v>1227.9000000000001</v>
          </cell>
        </row>
        <row r="11">
          <cell r="A11" t="str">
            <v>ADS Increment Alpha</v>
          </cell>
          <cell r="B11" t="b">
            <v>0</v>
          </cell>
          <cell r="C11">
            <v>39417</v>
          </cell>
          <cell r="D11">
            <v>39417</v>
          </cell>
          <cell r="E11">
            <v>527.6</v>
          </cell>
          <cell r="F11">
            <v>1.2</v>
          </cell>
          <cell r="G11">
            <v>1.2</v>
          </cell>
          <cell r="H11" t="str">
            <v/>
          </cell>
          <cell r="I11" t="str">
            <v/>
          </cell>
          <cell r="J11">
            <v>0</v>
          </cell>
          <cell r="K11">
            <v>0</v>
          </cell>
          <cell r="L11">
            <v>1.2</v>
          </cell>
          <cell r="M11" t="str">
            <v>-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 t="str">
            <v>-</v>
          </cell>
          <cell r="S11">
            <v>528.79999999999995</v>
          </cell>
          <cell r="T11">
            <v>1.258785272212315</v>
          </cell>
          <cell r="U11" t="str">
            <v/>
          </cell>
          <cell r="V11" t="str">
            <v/>
          </cell>
          <cell r="W11">
            <v>0</v>
          </cell>
          <cell r="X11">
            <v>0</v>
          </cell>
          <cell r="Y11">
            <v>1.258785272212315</v>
          </cell>
          <cell r="Z11" t="str">
            <v/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1528.5240653938492</v>
          </cell>
          <cell r="AF11">
            <v>-897.33622956442207</v>
          </cell>
          <cell r="AG11">
            <v>631.18783582942729</v>
          </cell>
          <cell r="AH11">
            <v>1337</v>
          </cell>
          <cell r="AI11">
            <v>-784.9</v>
          </cell>
          <cell r="AJ11">
            <v>552.1</v>
          </cell>
          <cell r="AK11">
            <v>-0.14137953281070748</v>
          </cell>
          <cell r="AL11">
            <v>-0.36700000000000005</v>
          </cell>
          <cell r="AM11">
            <v>2005</v>
          </cell>
          <cell r="AN11">
            <v>-0.2183351101654879</v>
          </cell>
          <cell r="AO11">
            <v>-0.38900000000000001</v>
          </cell>
          <cell r="AP11">
            <v>1431.7</v>
          </cell>
          <cell r="AQ11">
            <v>2005</v>
          </cell>
          <cell r="AR11">
            <v>-465.3</v>
          </cell>
          <cell r="AS11" t="str">
            <v>-</v>
          </cell>
          <cell r="AT11" t="str">
            <v>-</v>
          </cell>
          <cell r="AU11">
            <v>-174.7</v>
          </cell>
          <cell r="AV11" t="str">
            <v>-</v>
          </cell>
          <cell r="AW11">
            <v>-144.9</v>
          </cell>
          <cell r="AX11">
            <v>-784.9</v>
          </cell>
          <cell r="AY11">
            <v>-531.95381273579517</v>
          </cell>
          <cell r="AZ11" t="e">
            <v>#VALUE!</v>
          </cell>
          <cell r="BA11" t="e">
            <v>#VALUE!</v>
          </cell>
          <cell r="BB11">
            <v>-199.72562021264432</v>
          </cell>
          <cell r="BC11" t="e">
            <v>#VALUE!</v>
          </cell>
          <cell r="BD11">
            <v>-165.65679661598261</v>
          </cell>
          <cell r="BE11">
            <v>-897.33622956442207</v>
          </cell>
          <cell r="BF11">
            <v>528.79999999999995</v>
          </cell>
        </row>
        <row r="12">
          <cell r="A12" t="str">
            <v>AEHF</v>
          </cell>
          <cell r="B12" t="b">
            <v>1</v>
          </cell>
          <cell r="C12">
            <v>40878</v>
          </cell>
          <cell r="D12">
            <v>40878</v>
          </cell>
          <cell r="E12">
            <v>9427.7000000000007</v>
          </cell>
          <cell r="F12">
            <v>9427.7000000000007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 t="str">
            <v/>
          </cell>
          <cell r="M12">
            <v>0</v>
          </cell>
          <cell r="N12">
            <v>0</v>
          </cell>
          <cell r="O12">
            <v>0</v>
          </cell>
          <cell r="P12">
            <v>828.2</v>
          </cell>
          <cell r="Q12">
            <v>732.8</v>
          </cell>
          <cell r="R12">
            <v>2485.5</v>
          </cell>
          <cell r="S12">
            <v>13474.2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 t="str">
            <v/>
          </cell>
          <cell r="Z12">
            <v>0</v>
          </cell>
          <cell r="AA12">
            <v>0</v>
          </cell>
          <cell r="AB12">
            <v>0</v>
          </cell>
          <cell r="AC12">
            <v>828.2</v>
          </cell>
          <cell r="AD12">
            <v>721.04693496014954</v>
          </cell>
          <cell r="AE12">
            <v>7170.2101359703329</v>
          </cell>
          <cell r="AF12">
            <v>7136.2175525339917</v>
          </cell>
          <cell r="AG12">
            <v>14306.427688504325</v>
          </cell>
          <cell r="AH12">
            <v>5800.7</v>
          </cell>
          <cell r="AI12">
            <v>5773.2</v>
          </cell>
          <cell r="AJ12">
            <v>11573.9</v>
          </cell>
          <cell r="AK12">
            <v>2.9391661147386561E-2</v>
          </cell>
          <cell r="AL12">
            <v>0.33600000000000002</v>
          </cell>
          <cell r="AM12">
            <v>2002</v>
          </cell>
          <cell r="AN12">
            <v>3.7763471556169437E-2</v>
          </cell>
          <cell r="AO12">
            <v>0.39600000000000002</v>
          </cell>
          <cell r="AP12">
            <v>6085.7</v>
          </cell>
          <cell r="AQ12">
            <v>2002</v>
          </cell>
          <cell r="AR12">
            <v>2859.2</v>
          </cell>
          <cell r="AS12">
            <v>1091.3</v>
          </cell>
          <cell r="AT12">
            <v>136.1</v>
          </cell>
          <cell r="AU12">
            <v>1686.6</v>
          </cell>
          <cell r="AV12" t="str">
            <v>-</v>
          </cell>
          <cell r="AW12" t="str">
            <v>-</v>
          </cell>
          <cell r="AX12">
            <v>5773.2</v>
          </cell>
          <cell r="AY12">
            <v>3534.2398022249686</v>
          </cell>
          <cell r="AZ12">
            <v>1348.949320148331</v>
          </cell>
          <cell r="BA12">
            <v>168.23238566131025</v>
          </cell>
          <cell r="BB12">
            <v>2084.7960444993819</v>
          </cell>
          <cell r="BC12" t="e">
            <v>#VALUE!</v>
          </cell>
          <cell r="BD12" t="e">
            <v>#VALUE!</v>
          </cell>
          <cell r="BE12">
            <v>7136.2175525339917</v>
          </cell>
          <cell r="BF12">
            <v>13474.2</v>
          </cell>
        </row>
        <row r="13">
          <cell r="A13" t="str">
            <v>AESA</v>
          </cell>
          <cell r="B13" t="b">
            <v>0</v>
          </cell>
          <cell r="C13">
            <v>38687</v>
          </cell>
          <cell r="D13">
            <v>38687</v>
          </cell>
          <cell r="E13">
            <v>514.20000000000005</v>
          </cell>
          <cell r="F13">
            <v>62.8</v>
          </cell>
          <cell r="G13">
            <v>62.8</v>
          </cell>
          <cell r="H13">
            <v>0</v>
          </cell>
          <cell r="I13">
            <v>0</v>
          </cell>
          <cell r="J13">
            <v>56.4</v>
          </cell>
          <cell r="K13">
            <v>6.4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2.9</v>
          </cell>
          <cell r="S13">
            <v>579.9</v>
          </cell>
          <cell r="T13">
            <v>69.208797215737121</v>
          </cell>
          <cell r="U13">
            <v>0</v>
          </cell>
          <cell r="V13">
            <v>0</v>
          </cell>
          <cell r="W13">
            <v>62.341107549463914</v>
          </cell>
          <cell r="X13">
            <v>6.8676896662732059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2443.1584362139915</v>
          </cell>
          <cell r="AF13">
            <v>72.145061728395063</v>
          </cell>
          <cell r="AG13">
            <v>2515.3034979423869</v>
          </cell>
          <cell r="AH13">
            <v>1899.8</v>
          </cell>
          <cell r="AI13">
            <v>56.1</v>
          </cell>
          <cell r="AJ13">
            <v>1955.9</v>
          </cell>
          <cell r="AK13">
            <v>4.938622031196882E-3</v>
          </cell>
          <cell r="AL13">
            <v>0.03</v>
          </cell>
          <cell r="AM13">
            <v>2000</v>
          </cell>
          <cell r="AN13">
            <v>1.9985069629570695E-2</v>
          </cell>
          <cell r="AO13">
            <v>0.10400000000000001</v>
          </cell>
          <cell r="AP13">
            <v>525.20000000000005</v>
          </cell>
          <cell r="AQ13">
            <v>2000</v>
          </cell>
          <cell r="AR13" t="str">
            <v>-</v>
          </cell>
          <cell r="AS13" t="str">
            <v>-</v>
          </cell>
          <cell r="AT13">
            <v>48.4</v>
          </cell>
          <cell r="AU13">
            <v>7.7</v>
          </cell>
          <cell r="AV13" t="str">
            <v>-</v>
          </cell>
          <cell r="AW13" t="str">
            <v>-</v>
          </cell>
          <cell r="AX13">
            <v>56.1</v>
          </cell>
          <cell r="AY13" t="e">
            <v>#VALUE!</v>
          </cell>
          <cell r="AZ13" t="e">
            <v>#VALUE!</v>
          </cell>
          <cell r="BA13">
            <v>62.242798353909457</v>
          </cell>
          <cell r="BB13">
            <v>9.9022633744855959</v>
          </cell>
          <cell r="BC13" t="e">
            <v>#VALUE!</v>
          </cell>
          <cell r="BD13" t="e">
            <v>#VALUE!</v>
          </cell>
          <cell r="BE13">
            <v>72.145061728395063</v>
          </cell>
          <cell r="BF13">
            <v>579.9</v>
          </cell>
        </row>
        <row r="14">
          <cell r="A14" t="str">
            <v>AGM-88E</v>
          </cell>
          <cell r="B14" t="b">
            <v>1</v>
          </cell>
          <cell r="C14">
            <v>40878</v>
          </cell>
          <cell r="D14">
            <v>40878</v>
          </cell>
          <cell r="E14">
            <v>819.9</v>
          </cell>
          <cell r="F14">
            <v>819.9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/>
          </cell>
          <cell r="M14">
            <v>0</v>
          </cell>
          <cell r="N14">
            <v>0</v>
          </cell>
          <cell r="O14">
            <v>0</v>
          </cell>
          <cell r="P14">
            <v>71.7</v>
          </cell>
          <cell r="Q14">
            <v>86.7</v>
          </cell>
          <cell r="R14">
            <v>1027.4000000000001</v>
          </cell>
          <cell r="S14">
            <v>2005.7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 t="str">
            <v/>
          </cell>
          <cell r="Z14">
            <v>0</v>
          </cell>
          <cell r="AA14">
            <v>0</v>
          </cell>
          <cell r="AB14">
            <v>0</v>
          </cell>
          <cell r="AC14">
            <v>71.7</v>
          </cell>
          <cell r="AD14">
            <v>85.309455869329923</v>
          </cell>
          <cell r="AE14">
            <v>1850.7083181983289</v>
          </cell>
          <cell r="AF14">
            <v>143.47984017435525</v>
          </cell>
          <cell r="AG14">
            <v>1994.1881583726843</v>
          </cell>
          <cell r="AH14">
            <v>1528.5</v>
          </cell>
          <cell r="AI14">
            <v>118.5</v>
          </cell>
          <cell r="AJ14">
            <v>1647</v>
          </cell>
          <cell r="AK14">
            <v>8.3801935941125727E-3</v>
          </cell>
          <cell r="AL14">
            <v>7.8E-2</v>
          </cell>
          <cell r="AM14">
            <v>2003</v>
          </cell>
          <cell r="AN14">
            <v>9.4326436525429269E-3</v>
          </cell>
          <cell r="AO14">
            <v>7.8E-2</v>
          </cell>
          <cell r="AP14">
            <v>1861.4</v>
          </cell>
          <cell r="AQ14">
            <v>2003</v>
          </cell>
          <cell r="AR14" t="str">
            <v>-</v>
          </cell>
          <cell r="AS14">
            <v>19.100000000000001</v>
          </cell>
          <cell r="AT14">
            <v>25.1</v>
          </cell>
          <cell r="AU14">
            <v>87.3</v>
          </cell>
          <cell r="AV14" t="str">
            <v>-</v>
          </cell>
          <cell r="AW14">
            <v>-13</v>
          </cell>
          <cell r="AX14">
            <v>118.5</v>
          </cell>
          <cell r="AY14" t="e">
            <v>#VALUE!</v>
          </cell>
          <cell r="AZ14">
            <v>23.126286475360214</v>
          </cell>
          <cell r="BA14">
            <v>30.391088509504783</v>
          </cell>
          <cell r="BB14">
            <v>105.70286959680347</v>
          </cell>
          <cell r="BC14" t="e">
            <v>#VALUE!</v>
          </cell>
          <cell r="BD14">
            <v>-15.740404407313232</v>
          </cell>
          <cell r="BE14">
            <v>143.47984017435525</v>
          </cell>
          <cell r="BF14">
            <v>2005.7</v>
          </cell>
        </row>
        <row r="15">
          <cell r="A15" t="str">
            <v>AIM-9X</v>
          </cell>
          <cell r="B15" t="b">
            <v>0</v>
          </cell>
          <cell r="C15">
            <v>40513</v>
          </cell>
          <cell r="D15">
            <v>40513</v>
          </cell>
          <cell r="E15">
            <v>1687.8</v>
          </cell>
          <cell r="F15">
            <v>1687.8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/>
          </cell>
          <cell r="M15">
            <v>0</v>
          </cell>
          <cell r="N15">
            <v>0</v>
          </cell>
          <cell r="O15">
            <v>0</v>
          </cell>
          <cell r="P15">
            <v>155</v>
          </cell>
          <cell r="Q15">
            <v>155.19999999999999</v>
          </cell>
          <cell r="R15">
            <v>1756.6</v>
          </cell>
          <cell r="S15">
            <v>3754.6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 t="str">
            <v/>
          </cell>
          <cell r="Z15">
            <v>0</v>
          </cell>
          <cell r="AA15">
            <v>0</v>
          </cell>
          <cell r="AB15">
            <v>0</v>
          </cell>
          <cell r="AC15">
            <v>155</v>
          </cell>
          <cell r="AD15">
            <v>152.71081373610153</v>
          </cell>
          <cell r="AE15">
            <v>3315.8390526174135</v>
          </cell>
          <cell r="AF15">
            <v>639.61781725205219</v>
          </cell>
          <cell r="AG15">
            <v>3955.4568698694661</v>
          </cell>
          <cell r="AH15">
            <v>2464</v>
          </cell>
          <cell r="AI15">
            <v>475.3</v>
          </cell>
          <cell r="AJ15">
            <v>2939.3</v>
          </cell>
          <cell r="AK15">
            <v>1.2320213006425051E-2</v>
          </cell>
          <cell r="AL15">
            <v>0.187</v>
          </cell>
          <cell r="AM15">
            <v>1997</v>
          </cell>
          <cell r="AN15">
            <v>1.1078934774448657E-2</v>
          </cell>
          <cell r="AO15">
            <v>0.154</v>
          </cell>
          <cell r="AP15">
            <v>3232.9</v>
          </cell>
          <cell r="AQ15">
            <v>1997</v>
          </cell>
          <cell r="AR15">
            <v>12.9</v>
          </cell>
          <cell r="AS15">
            <v>64.3</v>
          </cell>
          <cell r="AT15">
            <v>297.5</v>
          </cell>
          <cell r="AU15">
            <v>307.5</v>
          </cell>
          <cell r="AV15" t="str">
            <v>-</v>
          </cell>
          <cell r="AW15">
            <v>-206.9</v>
          </cell>
          <cell r="AX15">
            <v>475.3</v>
          </cell>
          <cell r="AY15">
            <v>17.359709325797336</v>
          </cell>
          <cell r="AZ15">
            <v>86.529403848741751</v>
          </cell>
          <cell r="BA15">
            <v>400.3498856143184</v>
          </cell>
          <cell r="BB15">
            <v>413.80702462656438</v>
          </cell>
          <cell r="BC15" t="e">
            <v>#VALUE!</v>
          </cell>
          <cell r="BD15">
            <v>-278.42820616336968</v>
          </cell>
          <cell r="BE15">
            <v>639.61781725205219</v>
          </cell>
          <cell r="BF15">
            <v>3754.6</v>
          </cell>
        </row>
        <row r="16">
          <cell r="A16" t="str">
            <v>AIM-9X Block I</v>
          </cell>
          <cell r="B16" t="b">
            <v>1</v>
          </cell>
          <cell r="C16">
            <v>40878</v>
          </cell>
          <cell r="D16">
            <v>40878</v>
          </cell>
          <cell r="E16">
            <v>1472.8</v>
          </cell>
          <cell r="F16">
            <v>1472.8</v>
          </cell>
          <cell r="G16">
            <v>0</v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>
            <v>0</v>
          </cell>
          <cell r="P16" t="str">
            <v>-</v>
          </cell>
          <cell r="Q16" t="str">
            <v>-</v>
          </cell>
          <cell r="R16" t="str">
            <v>-</v>
          </cell>
          <cell r="S16">
            <v>1472.8</v>
          </cell>
          <cell r="T16">
            <v>0</v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>
            <v>0</v>
          </cell>
          <cell r="AC16" t="str">
            <v/>
          </cell>
          <cell r="AD16" t="str">
            <v/>
          </cell>
          <cell r="AE16">
            <v>3315.8390526174135</v>
          </cell>
          <cell r="AF16">
            <v>-1536.8052751984928</v>
          </cell>
          <cell r="AG16">
            <v>1779.0337774189209</v>
          </cell>
          <cell r="AH16">
            <v>2464</v>
          </cell>
          <cell r="AI16">
            <v>-1142</v>
          </cell>
          <cell r="AJ16">
            <v>1322</v>
          </cell>
          <cell r="AK16">
            <v>-3.5537223107724447E-3</v>
          </cell>
          <cell r="AL16">
            <v>-5.2000000000000005E-2</v>
          </cell>
          <cell r="AM16">
            <v>1997</v>
          </cell>
          <cell r="AN16">
            <v>-8.8484824444953203E-3</v>
          </cell>
          <cell r="AO16">
            <v>-0.11699999999999999</v>
          </cell>
          <cell r="AP16">
            <v>3232.9</v>
          </cell>
          <cell r="AQ16">
            <v>1997</v>
          </cell>
          <cell r="AR16">
            <v>-1069.9000000000001</v>
          </cell>
          <cell r="AS16">
            <v>-68.400000000000006</v>
          </cell>
          <cell r="AT16">
            <v>189.5</v>
          </cell>
          <cell r="AU16">
            <v>35.799999999999997</v>
          </cell>
          <cell r="AV16" t="str">
            <v>-</v>
          </cell>
          <cell r="AW16">
            <v>-229</v>
          </cell>
          <cell r="AX16">
            <v>-1142</v>
          </cell>
          <cell r="AY16">
            <v>-1439.7793029201994</v>
          </cell>
          <cell r="AZ16">
            <v>-92.046830843762621</v>
          </cell>
          <cell r="BA16">
            <v>255.01278428206163</v>
          </cell>
          <cell r="BB16">
            <v>48.176557663840661</v>
          </cell>
          <cell r="BC16" t="e">
            <v>#VALUE!</v>
          </cell>
          <cell r="BD16">
            <v>-308.16848338043332</v>
          </cell>
          <cell r="BE16">
            <v>-1536.8052751984928</v>
          </cell>
          <cell r="BF16">
            <v>1472.8</v>
          </cell>
        </row>
        <row r="17">
          <cell r="A17" t="str">
            <v>AMF JTRS</v>
          </cell>
          <cell r="B17" t="b">
            <v>1</v>
          </cell>
          <cell r="C17">
            <v>40878</v>
          </cell>
          <cell r="D17">
            <v>40878</v>
          </cell>
          <cell r="E17">
            <v>1297</v>
          </cell>
          <cell r="F17">
            <v>1297</v>
          </cell>
          <cell r="G17">
            <v>0</v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>
            <v>0</v>
          </cell>
          <cell r="O17">
            <v>0</v>
          </cell>
          <cell r="P17">
            <v>347.5</v>
          </cell>
          <cell r="Q17">
            <v>132.19999999999999</v>
          </cell>
          <cell r="R17">
            <v>2452.8000000000002</v>
          </cell>
          <cell r="S17">
            <v>4229.5</v>
          </cell>
          <cell r="T17">
            <v>0</v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>
            <v>0</v>
          </cell>
          <cell r="AB17">
            <v>0</v>
          </cell>
          <cell r="AC17">
            <v>347.5</v>
          </cell>
          <cell r="AD17">
            <v>130.07970087572565</v>
          </cell>
          <cell r="AE17">
            <v>8138.6761774887236</v>
          </cell>
          <cell r="AF17">
            <v>-4234.9732508129655</v>
          </cell>
          <cell r="AG17">
            <v>3903.7029266757577</v>
          </cell>
          <cell r="AH17">
            <v>7758.6</v>
          </cell>
          <cell r="AI17">
            <v>-4037.2</v>
          </cell>
          <cell r="AJ17">
            <v>3721.4</v>
          </cell>
          <cell r="AK17">
            <v>-5.1609641091415193E-2</v>
          </cell>
          <cell r="AL17">
            <v>-0.191</v>
          </cell>
          <cell r="AM17">
            <v>2008</v>
          </cell>
          <cell r="AN17">
            <v>-6.5152683953480173E-2</v>
          </cell>
          <cell r="AO17">
            <v>-0.183</v>
          </cell>
          <cell r="AP17">
            <v>9034.2999999999993</v>
          </cell>
          <cell r="AQ17">
            <v>2008</v>
          </cell>
          <cell r="AR17">
            <v>-3156.7</v>
          </cell>
          <cell r="AS17">
            <v>-5</v>
          </cell>
          <cell r="AT17">
            <v>12.1</v>
          </cell>
          <cell r="AU17">
            <v>-1652</v>
          </cell>
          <cell r="AV17" t="str">
            <v>-</v>
          </cell>
          <cell r="AW17">
            <v>764.4</v>
          </cell>
          <cell r="AX17">
            <v>-4037.2</v>
          </cell>
          <cell r="AY17">
            <v>-3311.3395573271791</v>
          </cell>
          <cell r="AZ17">
            <v>-5.2449386342179798</v>
          </cell>
          <cell r="BA17">
            <v>12.69275149480751</v>
          </cell>
          <cell r="BB17">
            <v>-1732.9277247456205</v>
          </cell>
          <cell r="BC17" t="e">
            <v>#VALUE!</v>
          </cell>
          <cell r="BD17">
            <v>801.84621839924466</v>
          </cell>
          <cell r="BE17">
            <v>-4234.9732508129655</v>
          </cell>
          <cell r="BF17">
            <v>4229.5</v>
          </cell>
        </row>
        <row r="18">
          <cell r="A18" t="str">
            <v>AMRAAM</v>
          </cell>
          <cell r="B18" t="b">
            <v>1</v>
          </cell>
          <cell r="C18">
            <v>40878</v>
          </cell>
          <cell r="D18">
            <v>40878</v>
          </cell>
          <cell r="E18">
            <v>11787.8</v>
          </cell>
          <cell r="F18">
            <v>11787.8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/>
          </cell>
          <cell r="M18">
            <v>0</v>
          </cell>
          <cell r="N18">
            <v>0</v>
          </cell>
          <cell r="O18">
            <v>0</v>
          </cell>
          <cell r="P18">
            <v>388.7</v>
          </cell>
          <cell r="Q18">
            <v>423.2</v>
          </cell>
          <cell r="R18">
            <v>7608.5</v>
          </cell>
          <cell r="S18">
            <v>20208.2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/>
          </cell>
          <cell r="Z18">
            <v>0</v>
          </cell>
          <cell r="AA18">
            <v>0</v>
          </cell>
          <cell r="AB18">
            <v>0</v>
          </cell>
          <cell r="AC18">
            <v>388.7</v>
          </cell>
          <cell r="AD18">
            <v>416.41247663091605</v>
          </cell>
          <cell r="AE18">
            <v>18282.013103037523</v>
          </cell>
          <cell r="AF18">
            <v>6101.399642644431</v>
          </cell>
          <cell r="AG18">
            <v>24383.412745681955</v>
          </cell>
          <cell r="AH18">
            <v>12278.2</v>
          </cell>
          <cell r="AI18">
            <v>4097.7</v>
          </cell>
          <cell r="AJ18">
            <v>16375.9</v>
          </cell>
          <cell r="AK18">
            <v>1.2538004174882156E-2</v>
          </cell>
          <cell r="AL18">
            <v>0.28300000000000003</v>
          </cell>
          <cell r="AM18">
            <v>1992</v>
          </cell>
          <cell r="AN18">
            <v>2.0154150511471736E-2</v>
          </cell>
          <cell r="AO18">
            <v>0.46100000000000002</v>
          </cell>
          <cell r="AP18">
            <v>13112.4</v>
          </cell>
          <cell r="AQ18">
            <v>1992</v>
          </cell>
          <cell r="AR18">
            <v>486.3</v>
          </cell>
          <cell r="AS18">
            <v>1378.8</v>
          </cell>
          <cell r="AT18">
            <v>881.7</v>
          </cell>
          <cell r="AU18">
            <v>974.3</v>
          </cell>
          <cell r="AV18" t="str">
            <v>-</v>
          </cell>
          <cell r="AW18">
            <v>376.6</v>
          </cell>
          <cell r="AX18">
            <v>4097.7</v>
          </cell>
          <cell r="AY18">
            <v>724.09172126265639</v>
          </cell>
          <cell r="AZ18">
            <v>2053.0077427039905</v>
          </cell>
          <cell r="BA18">
            <v>1312.8350208457416</v>
          </cell>
          <cell r="BB18">
            <v>1450.7147111375818</v>
          </cell>
          <cell r="BC18" t="e">
            <v>#VALUE!</v>
          </cell>
          <cell r="BD18">
            <v>560.75044669446106</v>
          </cell>
          <cell r="BE18">
            <v>6101.399642644431</v>
          </cell>
          <cell r="BF18">
            <v>20208.2</v>
          </cell>
        </row>
        <row r="19">
          <cell r="A19" t="str">
            <v>ARH</v>
          </cell>
          <cell r="B19" t="b">
            <v>0</v>
          </cell>
          <cell r="C19">
            <v>39692</v>
          </cell>
          <cell r="D19">
            <v>39692</v>
          </cell>
          <cell r="E19">
            <v>355.6</v>
          </cell>
          <cell r="F19">
            <v>181.1</v>
          </cell>
          <cell r="G19">
            <v>181.1</v>
          </cell>
          <cell r="H19" t="str">
            <v/>
          </cell>
          <cell r="I19">
            <v>0</v>
          </cell>
          <cell r="J19">
            <v>0</v>
          </cell>
          <cell r="K19">
            <v>0</v>
          </cell>
          <cell r="L19">
            <v>181.1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536.70000000000005</v>
          </cell>
          <cell r="T19">
            <v>189.97167733137522</v>
          </cell>
          <cell r="U19" t="str">
            <v/>
          </cell>
          <cell r="V19">
            <v>0</v>
          </cell>
          <cell r="W19">
            <v>0</v>
          </cell>
          <cell r="X19">
            <v>0</v>
          </cell>
          <cell r="Y19">
            <v>189.97167733137522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3600.2057848405166</v>
          </cell>
          <cell r="AF19">
            <v>-3026.6377043557791</v>
          </cell>
          <cell r="AG19">
            <v>573.56808048473761</v>
          </cell>
          <cell r="AH19">
            <v>3149.1</v>
          </cell>
          <cell r="AI19">
            <v>-2647.4</v>
          </cell>
          <cell r="AJ19">
            <v>501.7</v>
          </cell>
          <cell r="AK19">
            <v>-0.2052267820980942</v>
          </cell>
          <cell r="AL19">
            <v>-0.60099999999999998</v>
          </cell>
          <cell r="AM19">
            <v>2005</v>
          </cell>
          <cell r="AN19">
            <v>-0.24463111749980704</v>
          </cell>
          <cell r="AO19">
            <v>-0.56899999999999995</v>
          </cell>
          <cell r="AP19">
            <v>3568.7</v>
          </cell>
          <cell r="AQ19">
            <v>2005</v>
          </cell>
          <cell r="AR19">
            <v>-1892.9</v>
          </cell>
          <cell r="AS19">
            <v>79.099999999999994</v>
          </cell>
          <cell r="AT19">
            <v>71.5</v>
          </cell>
          <cell r="AU19">
            <v>-191.7</v>
          </cell>
          <cell r="AV19" t="str">
            <v>-</v>
          </cell>
          <cell r="AW19">
            <v>-713.4</v>
          </cell>
          <cell r="AX19">
            <v>-2647.4</v>
          </cell>
          <cell r="AY19">
            <v>-2164.0562478564079</v>
          </cell>
          <cell r="AZ19">
            <v>90.431004915971187</v>
          </cell>
          <cell r="BA19">
            <v>81.742311649708469</v>
          </cell>
          <cell r="BB19">
            <v>-219.16085515033723</v>
          </cell>
          <cell r="BC19" t="e">
            <v>#VALUE!</v>
          </cell>
          <cell r="BD19">
            <v>-815.59391791471353</v>
          </cell>
          <cell r="BE19">
            <v>-3026.6377043557791</v>
          </cell>
          <cell r="BF19">
            <v>536.70000000000005</v>
          </cell>
        </row>
        <row r="20">
          <cell r="A20" t="str">
            <v>ASDS</v>
          </cell>
          <cell r="B20" t="b">
            <v>0</v>
          </cell>
          <cell r="C20">
            <v>38687</v>
          </cell>
          <cell r="D20">
            <v>38687</v>
          </cell>
          <cell r="E20">
            <v>599.29999999999995</v>
          </cell>
          <cell r="F20">
            <v>101</v>
          </cell>
          <cell r="G20">
            <v>101</v>
          </cell>
          <cell r="H20">
            <v>0</v>
          </cell>
          <cell r="I20">
            <v>0</v>
          </cell>
          <cell r="J20">
            <v>49.5</v>
          </cell>
          <cell r="K20">
            <v>51.5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37.4</v>
          </cell>
          <cell r="S20">
            <v>737.7</v>
          </cell>
          <cell r="T20">
            <v>109.97771020702383</v>
          </cell>
          <cell r="U20">
            <v>0</v>
          </cell>
          <cell r="V20">
            <v>0</v>
          </cell>
          <cell r="W20">
            <v>54.714269923731628</v>
          </cell>
          <cell r="X20">
            <v>55.263440283292205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2225.3299430923839</v>
          </cell>
          <cell r="AF20">
            <v>-1325.5842111635789</v>
          </cell>
          <cell r="AG20">
            <v>899.74573192880484</v>
          </cell>
          <cell r="AH20">
            <v>1837.9</v>
          </cell>
          <cell r="AI20">
            <v>-1094.8</v>
          </cell>
          <cell r="AJ20">
            <v>743.1</v>
          </cell>
          <cell r="AK20">
            <v>9.2475524977846391E-3</v>
          </cell>
          <cell r="AL20">
            <v>2.7999999999999997E-2</v>
          </cell>
          <cell r="AM20">
            <v>2003</v>
          </cell>
          <cell r="AN20">
            <v>4.8808848170151631E-2</v>
          </cell>
          <cell r="AO20">
            <v>0.1</v>
          </cell>
          <cell r="AP20">
            <v>1969.3</v>
          </cell>
          <cell r="AQ20">
            <v>2003</v>
          </cell>
          <cell r="AR20">
            <v>-1115.0999999999999</v>
          </cell>
          <cell r="AS20" t="str">
            <v>-</v>
          </cell>
          <cell r="AT20" t="str">
            <v>-</v>
          </cell>
          <cell r="AU20">
            <v>69.8</v>
          </cell>
          <cell r="AV20" t="str">
            <v>-</v>
          </cell>
          <cell r="AW20">
            <v>-49.5</v>
          </cell>
          <cell r="AX20">
            <v>-1094.8</v>
          </cell>
          <cell r="AY20">
            <v>-1350.163458045768</v>
          </cell>
          <cell r="AZ20" t="e">
            <v>#VALUE!</v>
          </cell>
          <cell r="BA20" t="e">
            <v>#VALUE!</v>
          </cell>
          <cell r="BB20">
            <v>84.513863663881821</v>
          </cell>
          <cell r="BC20" t="e">
            <v>#VALUE!</v>
          </cell>
          <cell r="BD20">
            <v>-59.934616781692696</v>
          </cell>
          <cell r="BE20">
            <v>-1325.5842111635789</v>
          </cell>
          <cell r="BF20">
            <v>737.7</v>
          </cell>
        </row>
        <row r="21">
          <cell r="A21" t="str">
            <v>ASIP</v>
          </cell>
          <cell r="B21" t="b">
            <v>0</v>
          </cell>
          <cell r="C21">
            <v>40513</v>
          </cell>
          <cell r="D21">
            <v>40513</v>
          </cell>
          <cell r="E21">
            <v>508</v>
          </cell>
          <cell r="F21">
            <v>508</v>
          </cell>
          <cell r="G21">
            <v>0</v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508</v>
          </cell>
          <cell r="T21">
            <v>0</v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554.40254803246694</v>
          </cell>
          <cell r="AF21">
            <v>-0.71920271242165823</v>
          </cell>
          <cell r="AG21">
            <v>553.68334532004519</v>
          </cell>
          <cell r="AH21">
            <v>539.6</v>
          </cell>
          <cell r="AI21">
            <v>-0.7</v>
          </cell>
          <cell r="AJ21">
            <v>538.9</v>
          </cell>
          <cell r="AK21">
            <v>-1.0000000000000009E-3</v>
          </cell>
          <cell r="AL21">
            <v>-1E-3</v>
          </cell>
          <cell r="AM21">
            <v>2010</v>
          </cell>
          <cell r="AN21">
            <v>0</v>
          </cell>
          <cell r="AO21">
            <v>0</v>
          </cell>
          <cell r="AP21">
            <v>508</v>
          </cell>
          <cell r="AQ21">
            <v>2010</v>
          </cell>
          <cell r="AR21" t="str">
            <v>-</v>
          </cell>
          <cell r="AS21" t="str">
            <v>-</v>
          </cell>
          <cell r="AT21" t="str">
            <v>-</v>
          </cell>
          <cell r="AU21">
            <v>-0.7</v>
          </cell>
          <cell r="AV21" t="str">
            <v>-</v>
          </cell>
          <cell r="AW21" t="str">
            <v>-</v>
          </cell>
          <cell r="AX21">
            <v>-0.7</v>
          </cell>
          <cell r="AY21" t="e">
            <v>#VALUE!</v>
          </cell>
          <cell r="AZ21" t="e">
            <v>#VALUE!</v>
          </cell>
          <cell r="BA21" t="e">
            <v>#VALUE!</v>
          </cell>
          <cell r="BB21">
            <v>-0.71920271242165823</v>
          </cell>
          <cell r="BC21" t="e">
            <v>#VALUE!</v>
          </cell>
          <cell r="BD21" t="e">
            <v>#VALUE!</v>
          </cell>
          <cell r="BE21">
            <v>-0.71920271242165823</v>
          </cell>
          <cell r="BF21">
            <v>508</v>
          </cell>
        </row>
        <row r="22">
          <cell r="A22" t="str">
            <v>ATACMS-BAT</v>
          </cell>
          <cell r="B22" t="b">
            <v>0</v>
          </cell>
          <cell r="C22">
            <v>37591</v>
          </cell>
          <cell r="D22">
            <v>37591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5908.4937366330587</v>
          </cell>
          <cell r="AF22">
            <v>-2607.6993583868011</v>
          </cell>
          <cell r="AG22">
            <v>3300.7943782462571</v>
          </cell>
          <cell r="AH22">
            <v>3867.7</v>
          </cell>
          <cell r="AI22">
            <v>-1707</v>
          </cell>
          <cell r="AJ22">
            <v>2160.6999999999998</v>
          </cell>
          <cell r="AK22">
            <v>2.1512895544899102E-2</v>
          </cell>
          <cell r="AL22">
            <v>0.29100000000000004</v>
          </cell>
          <cell r="AM22">
            <v>1991</v>
          </cell>
          <cell r="AN22">
            <v>4.6807592961751965E-2</v>
          </cell>
          <cell r="AO22">
            <v>0.65400000000000003</v>
          </cell>
          <cell r="AP22">
            <v>5287.7</v>
          </cell>
          <cell r="AQ22">
            <v>1991</v>
          </cell>
          <cell r="AR22">
            <v>-2193.4</v>
          </cell>
          <cell r="AS22">
            <v>42.5</v>
          </cell>
          <cell r="AT22">
            <v>283.8</v>
          </cell>
          <cell r="AU22">
            <v>200.2</v>
          </cell>
          <cell r="AV22" t="str">
            <v>-</v>
          </cell>
          <cell r="AW22">
            <v>-40.1</v>
          </cell>
          <cell r="AX22">
            <v>-1707</v>
          </cell>
          <cell r="AY22">
            <v>-3350.7485487320505</v>
          </cell>
          <cell r="AZ22">
            <v>64.925145126794988</v>
          </cell>
          <cell r="BA22">
            <v>433.54720439963342</v>
          </cell>
          <cell r="BB22">
            <v>305.83562480904368</v>
          </cell>
          <cell r="BC22" t="e">
            <v>#VALUE!</v>
          </cell>
          <cell r="BD22">
            <v>-61.258783990223044</v>
          </cell>
          <cell r="BE22">
            <v>-2607.6993583868011</v>
          </cell>
          <cell r="BF22">
            <v>2430.1999999999998</v>
          </cell>
        </row>
        <row r="23">
          <cell r="A23" t="str">
            <v>ATIRCM/CMWS</v>
          </cell>
          <cell r="B23" t="b">
            <v>0</v>
          </cell>
          <cell r="C23">
            <v>39692</v>
          </cell>
          <cell r="D23">
            <v>39692</v>
          </cell>
          <cell r="E23">
            <v>2063</v>
          </cell>
          <cell r="F23">
            <v>934.7</v>
          </cell>
          <cell r="G23">
            <v>934.7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479.9</v>
          </cell>
          <cell r="M23">
            <v>454.8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1818.2</v>
          </cell>
          <cell r="S23">
            <v>4815.8999999999996</v>
          </cell>
          <cell r="T23">
            <v>974.21666352839065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503.40921011224162</v>
          </cell>
          <cell r="Z23">
            <v>470.80745341614909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3385.0345078096616</v>
          </cell>
          <cell r="AF23">
            <v>1663.7607458530085</v>
          </cell>
          <cell r="AG23">
            <v>5048.7952536626708</v>
          </cell>
          <cell r="AH23">
            <v>2795.7</v>
          </cell>
          <cell r="AI23">
            <v>1374.1</v>
          </cell>
          <cell r="AJ23">
            <v>4169.8</v>
          </cell>
          <cell r="AK23">
            <v>2.9777443873004739E-3</v>
          </cell>
          <cell r="AL23">
            <v>1.8000000000000002E-2</v>
          </cell>
          <cell r="AM23">
            <v>2003</v>
          </cell>
          <cell r="AN23">
            <v>-9.1665166693228883E-3</v>
          </cell>
          <cell r="AO23">
            <v>-4.4999999999999998E-2</v>
          </cell>
          <cell r="AP23">
            <v>3240.6</v>
          </cell>
          <cell r="AQ23">
            <v>2003</v>
          </cell>
          <cell r="AR23">
            <v>1299.3</v>
          </cell>
          <cell r="AS23">
            <v>-153.9</v>
          </cell>
          <cell r="AT23">
            <v>-301.60000000000002</v>
          </cell>
          <cell r="AU23">
            <v>465.9</v>
          </cell>
          <cell r="AV23" t="str">
            <v>-</v>
          </cell>
          <cell r="AW23">
            <v>64.400000000000006</v>
          </cell>
          <cell r="AX23">
            <v>1374.1</v>
          </cell>
          <cell r="AY23">
            <v>1573.1928804940064</v>
          </cell>
          <cell r="AZ23">
            <v>-186.3421721758082</v>
          </cell>
          <cell r="BA23">
            <v>-365.177382249667</v>
          </cell>
          <cell r="BB23">
            <v>564.11187795132571</v>
          </cell>
          <cell r="BC23" t="e">
            <v>#VALUE!</v>
          </cell>
          <cell r="BD23">
            <v>77.975541833151709</v>
          </cell>
          <cell r="BE23">
            <v>1663.7607458530085</v>
          </cell>
          <cell r="BF23">
            <v>4815.8999999999996</v>
          </cell>
        </row>
        <row r="24">
          <cell r="A24" t="str">
            <v>ATIRCM/CMWS SPLIT</v>
          </cell>
          <cell r="B24" t="b">
            <v>0</v>
          </cell>
          <cell r="C24">
            <v>40513</v>
          </cell>
          <cell r="D24">
            <v>40513</v>
          </cell>
          <cell r="E24">
            <v>1006.6</v>
          </cell>
          <cell r="F24">
            <v>1006.6</v>
          </cell>
          <cell r="G24">
            <v>0</v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1006.6</v>
          </cell>
          <cell r="T24">
            <v>0</v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1083.4241433587599</v>
          </cell>
          <cell r="AF24">
            <v>7.2648020341445685</v>
          </cell>
          <cell r="AG24">
            <v>1090.6889453929045</v>
          </cell>
          <cell r="AH24">
            <v>894.8</v>
          </cell>
          <cell r="AI24">
            <v>6</v>
          </cell>
          <cell r="AJ24">
            <v>900.8</v>
          </cell>
          <cell r="AK24">
            <v>-2.199588467909086E-2</v>
          </cell>
          <cell r="AL24">
            <v>-0.16300000000000001</v>
          </cell>
          <cell r="AM24">
            <v>2003</v>
          </cell>
          <cell r="AN24">
            <v>-4.1918175998655105E-2</v>
          </cell>
          <cell r="AO24">
            <v>-0.25900000000000001</v>
          </cell>
          <cell r="AP24">
            <v>1054.4000000000001</v>
          </cell>
          <cell r="AQ24">
            <v>2003</v>
          </cell>
          <cell r="AR24">
            <v>180.9</v>
          </cell>
          <cell r="AS24">
            <v>-593.70000000000005</v>
          </cell>
          <cell r="AT24">
            <v>138.9</v>
          </cell>
          <cell r="AU24">
            <v>289.5</v>
          </cell>
          <cell r="AV24" t="str">
            <v>-</v>
          </cell>
          <cell r="AW24">
            <v>-9.6</v>
          </cell>
          <cell r="AX24">
            <v>6</v>
          </cell>
          <cell r="AY24">
            <v>219.03378132945875</v>
          </cell>
          <cell r="AZ24">
            <v>-718.85216127860519</v>
          </cell>
          <cell r="BA24">
            <v>168.18016709044679</v>
          </cell>
          <cell r="BB24">
            <v>350.52669814747543</v>
          </cell>
          <cell r="BC24" t="e">
            <v>#VALUE!</v>
          </cell>
          <cell r="BD24">
            <v>-11.62368325463131</v>
          </cell>
          <cell r="BE24">
            <v>7.2648020341445685</v>
          </cell>
          <cell r="BF24">
            <v>1006.6</v>
          </cell>
        </row>
        <row r="25">
          <cell r="A25" t="str">
            <v>ATIRCM/CMWS SPLIT</v>
          </cell>
          <cell r="B25" t="b">
            <v>0</v>
          </cell>
          <cell r="C25">
            <v>40513</v>
          </cell>
          <cell r="D25">
            <v>40513</v>
          </cell>
          <cell r="E25">
            <v>1006.6</v>
          </cell>
          <cell r="F25">
            <v>1006.6</v>
          </cell>
          <cell r="G25">
            <v>0</v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1006.6</v>
          </cell>
          <cell r="T25">
            <v>0</v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1083.4241433587599</v>
          </cell>
          <cell r="AF25">
            <v>7.2648020341445685</v>
          </cell>
          <cell r="AG25">
            <v>1090.6889453929045</v>
          </cell>
          <cell r="AH25">
            <v>894.8</v>
          </cell>
          <cell r="AI25">
            <v>6</v>
          </cell>
          <cell r="AJ25">
            <v>900.8</v>
          </cell>
          <cell r="AK25">
            <v>-2.199588467909086E-2</v>
          </cell>
          <cell r="AL25">
            <v>-0.16300000000000001</v>
          </cell>
          <cell r="AM25">
            <v>2003</v>
          </cell>
          <cell r="AN25">
            <v>-4.1918175998655105E-2</v>
          </cell>
          <cell r="AO25">
            <v>-0.25900000000000001</v>
          </cell>
          <cell r="AP25">
            <v>1054.4000000000001</v>
          </cell>
          <cell r="AQ25">
            <v>2003</v>
          </cell>
          <cell r="AR25">
            <v>180.9</v>
          </cell>
          <cell r="AS25">
            <v>-593.70000000000005</v>
          </cell>
          <cell r="AT25">
            <v>138.9</v>
          </cell>
          <cell r="AU25">
            <v>289.5</v>
          </cell>
          <cell r="AV25" t="str">
            <v>-</v>
          </cell>
          <cell r="AW25">
            <v>-9.6</v>
          </cell>
          <cell r="AX25">
            <v>6</v>
          </cell>
          <cell r="AY25">
            <v>219.03378132945875</v>
          </cell>
          <cell r="AZ25">
            <v>-718.85216127860519</v>
          </cell>
          <cell r="BA25">
            <v>168.18016709044679</v>
          </cell>
          <cell r="BB25">
            <v>350.52669814747543</v>
          </cell>
          <cell r="BC25" t="e">
            <v>#VALUE!</v>
          </cell>
          <cell r="BD25">
            <v>-11.62368325463131</v>
          </cell>
          <cell r="BE25">
            <v>7.2648020341445685</v>
          </cell>
          <cell r="BF25">
            <v>1006.6</v>
          </cell>
        </row>
        <row r="26">
          <cell r="A26" t="str">
            <v>AV-8B REMANUFACTURE</v>
          </cell>
          <cell r="B26" t="b">
            <v>0</v>
          </cell>
          <cell r="C26">
            <v>37591</v>
          </cell>
          <cell r="D26">
            <v>37591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2629.1012838801712</v>
          </cell>
          <cell r="AF26">
            <v>222.53922967189732</v>
          </cell>
          <cell r="AG26">
            <v>2851.6405135520686</v>
          </cell>
          <cell r="AH26">
            <v>1843</v>
          </cell>
          <cell r="AI26">
            <v>156</v>
          </cell>
          <cell r="AJ26">
            <v>1999</v>
          </cell>
          <cell r="AK26">
            <v>7.8594427229554675E-3</v>
          </cell>
          <cell r="AL26">
            <v>7.2999999999999995E-2</v>
          </cell>
          <cell r="AM26">
            <v>1994</v>
          </cell>
          <cell r="AN26">
            <v>-6.2637147537480953E-4</v>
          </cell>
          <cell r="AO26">
            <v>-5.0000000000000001E-3</v>
          </cell>
          <cell r="AP26">
            <v>2158.4</v>
          </cell>
          <cell r="AQ26">
            <v>1994</v>
          </cell>
          <cell r="AR26">
            <v>20.5</v>
          </cell>
          <cell r="AS26">
            <v>23.3</v>
          </cell>
          <cell r="AT26">
            <v>61.1</v>
          </cell>
          <cell r="AU26">
            <v>-64.3</v>
          </cell>
          <cell r="AV26" t="str">
            <v>-</v>
          </cell>
          <cell r="AW26">
            <v>115.4</v>
          </cell>
          <cell r="AX26">
            <v>156</v>
          </cell>
          <cell r="AY26">
            <v>29.243937232524967</v>
          </cell>
          <cell r="AZ26">
            <v>33.238231098430816</v>
          </cell>
          <cell r="BA26">
            <v>87.161198288159781</v>
          </cell>
          <cell r="BB26">
            <v>-91.726105563480743</v>
          </cell>
          <cell r="BC26" t="e">
            <v>#VALUE!</v>
          </cell>
          <cell r="BD26">
            <v>164.62196861626251</v>
          </cell>
          <cell r="BE26">
            <v>222.53922967189732</v>
          </cell>
          <cell r="BF26">
            <v>2169.1</v>
          </cell>
        </row>
        <row r="27">
          <cell r="A27" t="str">
            <v>AWACS Upgrade</v>
          </cell>
          <cell r="B27" t="b">
            <v>0</v>
          </cell>
          <cell r="C27">
            <v>37956</v>
          </cell>
          <cell r="D27">
            <v>37956</v>
          </cell>
          <cell r="E27">
            <v>976.6</v>
          </cell>
          <cell r="F27">
            <v>28.5</v>
          </cell>
          <cell r="G27">
            <v>28.5</v>
          </cell>
          <cell r="H27">
            <v>21.9</v>
          </cell>
          <cell r="I27">
            <v>6.6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 t="str">
            <v>-</v>
          </cell>
          <cell r="S27">
            <v>1005.1</v>
          </cell>
          <cell r="T27">
            <v>33.398354080270394</v>
          </cell>
          <cell r="U27">
            <v>25.852909927989611</v>
          </cell>
          <cell r="V27">
            <v>7.5454441522807816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1197.8199434800163</v>
          </cell>
          <cell r="AF27">
            <v>173.46252186785091</v>
          </cell>
          <cell r="AG27">
            <v>1371.2824653478672</v>
          </cell>
          <cell r="AH27">
            <v>890.1</v>
          </cell>
          <cell r="AI27">
            <v>128.9</v>
          </cell>
          <cell r="AJ27">
            <v>1019</v>
          </cell>
          <cell r="AK27">
            <v>1.9531817602958634E-2</v>
          </cell>
          <cell r="AL27">
            <v>0.14499999999999999</v>
          </cell>
          <cell r="AM27">
            <v>1997</v>
          </cell>
          <cell r="AN27">
            <v>2.0277203841603253E-2</v>
          </cell>
          <cell r="AO27">
            <v>0.128</v>
          </cell>
          <cell r="AP27">
            <v>891.3</v>
          </cell>
          <cell r="AQ27">
            <v>1997</v>
          </cell>
          <cell r="AR27" t="str">
            <v>-</v>
          </cell>
          <cell r="AS27">
            <v>22.2</v>
          </cell>
          <cell r="AT27" t="str">
            <v>-</v>
          </cell>
          <cell r="AU27">
            <v>-5.3</v>
          </cell>
          <cell r="AV27" t="str">
            <v>-</v>
          </cell>
          <cell r="AW27">
            <v>112</v>
          </cell>
          <cell r="AX27">
            <v>128.9</v>
          </cell>
          <cell r="AY27" t="e">
            <v>#VALUE!</v>
          </cell>
          <cell r="AZ27">
            <v>29.874848607186113</v>
          </cell>
          <cell r="BA27" t="e">
            <v>#VALUE!</v>
          </cell>
          <cell r="BB27">
            <v>-7.1322836764903776</v>
          </cell>
          <cell r="BC27" t="e">
            <v>#VALUE!</v>
          </cell>
          <cell r="BD27">
            <v>150.71995693715516</v>
          </cell>
          <cell r="BE27">
            <v>173.46252186785091</v>
          </cell>
          <cell r="BF27">
            <v>1005.1</v>
          </cell>
        </row>
        <row r="28">
          <cell r="A28" t="str">
            <v>B-1B CMUP</v>
          </cell>
          <cell r="B28" t="b">
            <v>0</v>
          </cell>
          <cell r="C28">
            <v>38322</v>
          </cell>
          <cell r="D28">
            <v>38322</v>
          </cell>
          <cell r="E28">
            <v>634.6</v>
          </cell>
          <cell r="F28">
            <v>634.6</v>
          </cell>
          <cell r="G28">
            <v>0</v>
          </cell>
          <cell r="H28">
            <v>0</v>
          </cell>
          <cell r="I28">
            <v>0</v>
          </cell>
          <cell r="J28" t="str">
            <v>-</v>
          </cell>
          <cell r="K28" t="str">
            <v>-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 t="str">
            <v>-</v>
          </cell>
          <cell r="S28">
            <v>634.6</v>
          </cell>
          <cell r="T28">
            <v>0</v>
          </cell>
          <cell r="U28">
            <v>0</v>
          </cell>
          <cell r="V28">
            <v>0</v>
          </cell>
          <cell r="W28" t="str">
            <v/>
          </cell>
          <cell r="X28" t="str">
            <v/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839.44787504540488</v>
          </cell>
          <cell r="AF28">
            <v>-49.15849376437825</v>
          </cell>
          <cell r="AG28">
            <v>790.28938128102675</v>
          </cell>
          <cell r="AH28">
            <v>693.3</v>
          </cell>
          <cell r="AI28">
            <v>-40.6</v>
          </cell>
          <cell r="AJ28">
            <v>652.70000000000005</v>
          </cell>
          <cell r="AK28">
            <v>-3.9271110041964041E-2</v>
          </cell>
          <cell r="AL28">
            <v>-7.6999999999999999E-2</v>
          </cell>
          <cell r="AM28">
            <v>2003</v>
          </cell>
          <cell r="AN28">
            <v>-7.999999999999996E-2</v>
          </cell>
          <cell r="AO28">
            <v>-0.08</v>
          </cell>
          <cell r="AP28">
            <v>675.4</v>
          </cell>
          <cell r="AQ28">
            <v>2003</v>
          </cell>
          <cell r="AR28">
            <v>14</v>
          </cell>
          <cell r="AS28" t="str">
            <v xml:space="preserve">- </v>
          </cell>
          <cell r="AT28" t="str">
            <v xml:space="preserve">- </v>
          </cell>
          <cell r="AU28">
            <v>-55.3</v>
          </cell>
          <cell r="AV28" t="str">
            <v xml:space="preserve">- </v>
          </cell>
          <cell r="AW28">
            <v>0.7</v>
          </cell>
          <cell r="AX28">
            <v>-40.6</v>
          </cell>
          <cell r="AY28">
            <v>16.951204746337329</v>
          </cell>
          <cell r="AZ28" t="e">
            <v>#VALUE!</v>
          </cell>
          <cell r="BA28" t="e">
            <v>#VALUE!</v>
          </cell>
          <cell r="BB28">
            <v>-66.957258748032444</v>
          </cell>
          <cell r="BC28" t="e">
            <v>#VALUE!</v>
          </cell>
          <cell r="BD28">
            <v>0.84756023731686636</v>
          </cell>
          <cell r="BE28">
            <v>-49.15849376437825</v>
          </cell>
          <cell r="BF28">
            <v>634.6</v>
          </cell>
        </row>
        <row r="29">
          <cell r="A29" t="str">
            <v>B-2 EHF Increment I</v>
          </cell>
          <cell r="B29" t="b">
            <v>1</v>
          </cell>
          <cell r="C29">
            <v>40878</v>
          </cell>
          <cell r="D29">
            <v>40878</v>
          </cell>
          <cell r="E29">
            <v>377.3</v>
          </cell>
          <cell r="F29">
            <v>377.3</v>
          </cell>
          <cell r="G29">
            <v>0</v>
          </cell>
          <cell r="H29" t="str">
            <v/>
          </cell>
          <cell r="I29" t="str">
            <v/>
          </cell>
          <cell r="J29" t="str">
            <v/>
          </cell>
          <cell r="K29">
            <v>0</v>
          </cell>
          <cell r="L29" t="str">
            <v/>
          </cell>
          <cell r="M29" t="str">
            <v/>
          </cell>
          <cell r="N29">
            <v>0</v>
          </cell>
          <cell r="O29">
            <v>0</v>
          </cell>
          <cell r="P29">
            <v>91.3</v>
          </cell>
          <cell r="Q29">
            <v>81</v>
          </cell>
          <cell r="R29">
            <v>24.4</v>
          </cell>
          <cell r="S29">
            <v>574</v>
          </cell>
          <cell r="T29">
            <v>0</v>
          </cell>
          <cell r="U29" t="str">
            <v/>
          </cell>
          <cell r="V29" t="str">
            <v/>
          </cell>
          <cell r="W29" t="str">
            <v/>
          </cell>
          <cell r="X29">
            <v>0</v>
          </cell>
          <cell r="Y29" t="str">
            <v/>
          </cell>
          <cell r="Z29" t="str">
            <v/>
          </cell>
          <cell r="AA29">
            <v>0</v>
          </cell>
          <cell r="AB29">
            <v>0</v>
          </cell>
          <cell r="AC29">
            <v>91.3</v>
          </cell>
          <cell r="AD29">
            <v>79.700875725671551</v>
          </cell>
          <cell r="AE29">
            <v>707.90857388131781</v>
          </cell>
          <cell r="AF29">
            <v>-130.16418070608435</v>
          </cell>
          <cell r="AG29">
            <v>577.74439317523343</v>
          </cell>
          <cell r="AH29">
            <v>659.7</v>
          </cell>
          <cell r="AI29">
            <v>-121.3</v>
          </cell>
          <cell r="AJ29">
            <v>538.4</v>
          </cell>
          <cell r="AK29">
            <v>-3.8210642760597602E-2</v>
          </cell>
          <cell r="AL29">
            <v>-0.17699999999999999</v>
          </cell>
          <cell r="AM29">
            <v>2007</v>
          </cell>
          <cell r="AN29">
            <v>-4.8402125993473155E-2</v>
          </cell>
          <cell r="AO29">
            <v>-0.18</v>
          </cell>
          <cell r="AP29">
            <v>706.1</v>
          </cell>
          <cell r="AQ29">
            <v>2007</v>
          </cell>
          <cell r="AR29">
            <v>-5.3</v>
          </cell>
          <cell r="AS29">
            <v>5.3</v>
          </cell>
          <cell r="AT29" t="str">
            <v>-</v>
          </cell>
          <cell r="AU29">
            <v>-122.2</v>
          </cell>
          <cell r="AV29" t="str">
            <v>-</v>
          </cell>
          <cell r="AW29">
            <v>0.9</v>
          </cell>
          <cell r="AX29">
            <v>-121.3</v>
          </cell>
          <cell r="AY29">
            <v>-5.6873055048824979</v>
          </cell>
          <cell r="AZ29">
            <v>5.6873055048824979</v>
          </cell>
          <cell r="BA29" t="e">
            <v>#VALUE!</v>
          </cell>
          <cell r="BB29">
            <v>-131.12994956540402</v>
          </cell>
          <cell r="BC29" t="e">
            <v>#VALUE!</v>
          </cell>
          <cell r="BD29">
            <v>0.9657688593196696</v>
          </cell>
          <cell r="BE29">
            <v>-130.16418070608435</v>
          </cell>
          <cell r="BF29">
            <v>574</v>
          </cell>
        </row>
        <row r="30">
          <cell r="A30" t="str">
            <v>B-2 RMP</v>
          </cell>
          <cell r="B30" t="b">
            <v>0</v>
          </cell>
          <cell r="C30">
            <v>40513</v>
          </cell>
          <cell r="D30">
            <v>40513</v>
          </cell>
          <cell r="E30">
            <v>1210.3</v>
          </cell>
          <cell r="F30">
            <v>1210.3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/>
          </cell>
          <cell r="M30">
            <v>0</v>
          </cell>
          <cell r="N30">
            <v>0</v>
          </cell>
          <cell r="O30">
            <v>0</v>
          </cell>
          <cell r="P30">
            <v>14.8</v>
          </cell>
          <cell r="Q30">
            <v>0</v>
          </cell>
          <cell r="R30">
            <v>0</v>
          </cell>
          <cell r="S30">
            <v>1225.0999999999999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/>
          </cell>
          <cell r="Z30">
            <v>0</v>
          </cell>
          <cell r="AA30">
            <v>0</v>
          </cell>
          <cell r="AB30">
            <v>0</v>
          </cell>
          <cell r="AC30">
            <v>14.8</v>
          </cell>
          <cell r="AD30">
            <v>0</v>
          </cell>
          <cell r="AE30">
            <v>1389.3842442043428</v>
          </cell>
          <cell r="AF30">
            <v>-108.2555334102591</v>
          </cell>
          <cell r="AG30">
            <v>1281.1287107940836</v>
          </cell>
          <cell r="AH30">
            <v>1324.5</v>
          </cell>
          <cell r="AI30">
            <v>-103.2</v>
          </cell>
          <cell r="AJ30">
            <v>1221.3</v>
          </cell>
          <cell r="AK30">
            <v>-2.6706909359656805E-2</v>
          </cell>
          <cell r="AL30">
            <v>-7.8E-2</v>
          </cell>
          <cell r="AM30">
            <v>2008</v>
          </cell>
          <cell r="AN30">
            <v>-4.6585085075757759E-2</v>
          </cell>
          <cell r="AO30">
            <v>-9.0999999999999998E-2</v>
          </cell>
          <cell r="AP30">
            <v>1348.4</v>
          </cell>
          <cell r="AQ30">
            <v>2008</v>
          </cell>
          <cell r="AR30" t="str">
            <v>-</v>
          </cell>
          <cell r="AS30" t="str">
            <v>-</v>
          </cell>
          <cell r="AT30" t="str">
            <v>-</v>
          </cell>
          <cell r="AU30">
            <v>-30.9</v>
          </cell>
          <cell r="AV30" t="str">
            <v>-</v>
          </cell>
          <cell r="AW30">
            <v>-72.3</v>
          </cell>
          <cell r="AX30">
            <v>-103.2</v>
          </cell>
          <cell r="AY30" t="e">
            <v>#VALUE!</v>
          </cell>
          <cell r="AZ30" t="e">
            <v>#VALUE!</v>
          </cell>
          <cell r="BA30" t="e">
            <v>#VALUE!</v>
          </cell>
          <cell r="BB30">
            <v>-32.413720759467111</v>
          </cell>
          <cell r="BC30" t="e">
            <v>#VALUE!</v>
          </cell>
          <cell r="BD30">
            <v>-75.841812650791979</v>
          </cell>
          <cell r="BE30">
            <v>-108.2555334102591</v>
          </cell>
          <cell r="BF30">
            <v>1225.0999999999999</v>
          </cell>
        </row>
        <row r="31">
          <cell r="A31" t="str">
            <v>BAMS</v>
          </cell>
          <cell r="B31" t="b">
            <v>1</v>
          </cell>
          <cell r="C31">
            <v>40878</v>
          </cell>
          <cell r="D31">
            <v>40878</v>
          </cell>
          <cell r="E31">
            <v>1585.6</v>
          </cell>
          <cell r="F31">
            <v>1585.6</v>
          </cell>
          <cell r="G31">
            <v>0</v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>
            <v>0</v>
          </cell>
          <cell r="O31">
            <v>0</v>
          </cell>
          <cell r="P31">
            <v>552.79999999999995</v>
          </cell>
          <cell r="Q31">
            <v>779.5</v>
          </cell>
          <cell r="R31">
            <v>11964.4</v>
          </cell>
          <cell r="S31">
            <v>14882.3</v>
          </cell>
          <cell r="T31">
            <v>0</v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>
            <v>0</v>
          </cell>
          <cell r="AB31">
            <v>0</v>
          </cell>
          <cell r="AC31">
            <v>552.79999999999995</v>
          </cell>
          <cell r="AD31">
            <v>766.99793368099972</v>
          </cell>
          <cell r="AE31">
            <v>12823.350466799538</v>
          </cell>
          <cell r="AF31">
            <v>20.350361900765758</v>
          </cell>
          <cell r="AG31">
            <v>12843.700828700303</v>
          </cell>
          <cell r="AH31">
            <v>12224.5</v>
          </cell>
          <cell r="AI31">
            <v>19.399999999999999</v>
          </cell>
          <cell r="AJ31">
            <v>12243.9</v>
          </cell>
          <cell r="AK31">
            <v>4.6635139392105618E-2</v>
          </cell>
          <cell r="AL31">
            <v>0.2</v>
          </cell>
          <cell r="AM31">
            <v>2008</v>
          </cell>
          <cell r="AN31">
            <v>-1.9654893846056298</v>
          </cell>
          <cell r="AO31">
            <v>-1.9</v>
          </cell>
          <cell r="AP31">
            <v>15172.3</v>
          </cell>
          <cell r="AQ31">
            <v>2008</v>
          </cell>
          <cell r="AR31" t="str">
            <v>-</v>
          </cell>
          <cell r="AS31">
            <v>36.299999999999997</v>
          </cell>
          <cell r="AT31" t="str">
            <v>-</v>
          </cell>
          <cell r="AU31">
            <v>-14.8</v>
          </cell>
          <cell r="AV31" t="str">
            <v>-</v>
          </cell>
          <cell r="AW31">
            <v>-2.1</v>
          </cell>
          <cell r="AX31">
            <v>19.399999999999999</v>
          </cell>
          <cell r="AY31" t="e">
            <v>#VALUE!</v>
          </cell>
          <cell r="AZ31">
            <v>38.07825448442253</v>
          </cell>
          <cell r="BA31" t="e">
            <v>#VALUE!</v>
          </cell>
          <cell r="BB31">
            <v>-15.525018357285219</v>
          </cell>
          <cell r="BC31" t="e">
            <v>#VALUE!</v>
          </cell>
          <cell r="BD31">
            <v>-2.2028742263715513</v>
          </cell>
          <cell r="BE31">
            <v>20.350361900765758</v>
          </cell>
          <cell r="BF31">
            <v>14882.3</v>
          </cell>
        </row>
        <row r="32">
          <cell r="A32" t="str">
            <v>BMDS</v>
          </cell>
          <cell r="B32" t="b">
            <v>1</v>
          </cell>
          <cell r="C32">
            <v>40878</v>
          </cell>
          <cell r="D32">
            <v>40878</v>
          </cell>
          <cell r="E32">
            <v>80240.100000000006</v>
          </cell>
          <cell r="F32">
            <v>80240.100000000006</v>
          </cell>
          <cell r="G32">
            <v>0</v>
          </cell>
          <cell r="H32" t="str">
            <v/>
          </cell>
          <cell r="I32">
            <v>0</v>
          </cell>
          <cell r="J32">
            <v>0</v>
          </cell>
          <cell r="K32">
            <v>0</v>
          </cell>
          <cell r="L32" t="str">
            <v/>
          </cell>
          <cell r="M32">
            <v>0</v>
          </cell>
          <cell r="N32">
            <v>0</v>
          </cell>
          <cell r="O32">
            <v>0</v>
          </cell>
          <cell r="P32">
            <v>8217.1</v>
          </cell>
          <cell r="Q32">
            <v>7490.8</v>
          </cell>
          <cell r="R32">
            <v>30258.1</v>
          </cell>
          <cell r="S32">
            <v>126206.1</v>
          </cell>
          <cell r="T32">
            <v>0</v>
          </cell>
          <cell r="U32" t="str">
            <v/>
          </cell>
          <cell r="V32">
            <v>0</v>
          </cell>
          <cell r="W32">
            <v>0</v>
          </cell>
          <cell r="X32">
            <v>0</v>
          </cell>
          <cell r="Y32" t="str">
            <v/>
          </cell>
          <cell r="Z32">
            <v>0</v>
          </cell>
          <cell r="AA32">
            <v>0</v>
          </cell>
          <cell r="AB32">
            <v>0</v>
          </cell>
          <cell r="AC32">
            <v>8217.1</v>
          </cell>
          <cell r="AD32">
            <v>7370.6582701958087</v>
          </cell>
          <cell r="AE32">
            <v>93367.119901112485</v>
          </cell>
          <cell r="AF32">
            <v>39346.971569839305</v>
          </cell>
          <cell r="AG32">
            <v>132714.09147095177</v>
          </cell>
          <cell r="AH32">
            <v>75534</v>
          </cell>
          <cell r="AI32">
            <v>31831.7</v>
          </cell>
          <cell r="AJ32">
            <v>107365.7</v>
          </cell>
          <cell r="AK32">
            <v>3.5760650605848321E-2</v>
          </cell>
          <cell r="AL32">
            <v>0.42100000000000004</v>
          </cell>
          <cell r="AM32">
            <v>2002</v>
          </cell>
          <cell r="AN32">
            <v>4.2228742241802397E-2</v>
          </cell>
          <cell r="AO32">
            <v>0.45100000000000001</v>
          </cell>
          <cell r="AP32">
            <v>86998</v>
          </cell>
          <cell r="AQ32">
            <v>2002</v>
          </cell>
          <cell r="AR32" t="str">
            <v>-</v>
          </cell>
          <cell r="AS32">
            <v>-1508.5</v>
          </cell>
          <cell r="AT32">
            <v>41339</v>
          </cell>
          <cell r="AU32">
            <v>-7998.8</v>
          </cell>
          <cell r="AV32" t="str">
            <v>-</v>
          </cell>
          <cell r="AW32" t="str">
            <v>-</v>
          </cell>
          <cell r="AX32">
            <v>31831.7</v>
          </cell>
          <cell r="AY32" t="e">
            <v>#VALUE!</v>
          </cell>
          <cell r="AZ32">
            <v>-1864.647713226205</v>
          </cell>
          <cell r="BA32">
            <v>51098.88751545117</v>
          </cell>
          <cell r="BB32">
            <v>-9887.2682323856607</v>
          </cell>
          <cell r="BC32" t="e">
            <v>#VALUE!</v>
          </cell>
          <cell r="BD32" t="e">
            <v>#VALUE!</v>
          </cell>
          <cell r="BE32">
            <v>39346.971569839305</v>
          </cell>
          <cell r="BF32">
            <v>126206.1</v>
          </cell>
        </row>
        <row r="33">
          <cell r="A33" t="str">
            <v>BDMS (RDT&amp;E)</v>
          </cell>
          <cell r="B33" t="b">
            <v>0</v>
          </cell>
          <cell r="C33">
            <v>38322</v>
          </cell>
          <cell r="D33">
            <v>38322</v>
          </cell>
          <cell r="E33">
            <v>29448.400000000001</v>
          </cell>
          <cell r="F33">
            <v>17348.8</v>
          </cell>
          <cell r="G33">
            <v>17348.8</v>
          </cell>
          <cell r="H33">
            <v>0</v>
          </cell>
          <cell r="I33">
            <v>0</v>
          </cell>
          <cell r="J33">
            <v>7775.2</v>
          </cell>
          <cell r="K33">
            <v>9573.6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40326.199999999997</v>
          </cell>
          <cell r="S33">
            <v>87123.4</v>
          </cell>
          <cell r="T33">
            <v>18867.435411071747</v>
          </cell>
          <cell r="U33">
            <v>0</v>
          </cell>
          <cell r="V33">
            <v>0</v>
          </cell>
          <cell r="W33">
            <v>8594.2301315353161</v>
          </cell>
          <cell r="X33">
            <v>10273.205279536432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55302.96662546353</v>
          </cell>
          <cell r="AF33">
            <v>43766.131025957977</v>
          </cell>
          <cell r="AG33">
            <v>99069.0976514215</v>
          </cell>
          <cell r="AH33">
            <v>44740.1</v>
          </cell>
          <cell r="AI33">
            <v>35406.800000000003</v>
          </cell>
          <cell r="AJ33">
            <v>80146.899999999994</v>
          </cell>
          <cell r="AK33">
            <v>0.2144096100308639</v>
          </cell>
          <cell r="AL33">
            <v>0.79099999999999993</v>
          </cell>
          <cell r="AM33">
            <v>2002</v>
          </cell>
          <cell r="AN33">
            <v>0.3583077707206126</v>
          </cell>
          <cell r="AO33">
            <v>0.84499999999999997</v>
          </cell>
          <cell r="AP33">
            <v>47217.1</v>
          </cell>
          <cell r="AQ33">
            <v>2002</v>
          </cell>
          <cell r="AR33" t="str">
            <v xml:space="preserve">- </v>
          </cell>
          <cell r="AS33">
            <v>-196.7</v>
          </cell>
          <cell r="AT33">
            <v>35606.699999999997</v>
          </cell>
          <cell r="AU33">
            <v>-3.2</v>
          </cell>
          <cell r="AV33" t="str">
            <v xml:space="preserve">- </v>
          </cell>
          <cell r="AW33" t="str">
            <v xml:space="preserve">- </v>
          </cell>
          <cell r="AX33">
            <v>35406.800000000003</v>
          </cell>
          <cell r="AY33" t="e">
            <v>#VALUE!</v>
          </cell>
          <cell r="AZ33">
            <v>-243.13967861557475</v>
          </cell>
          <cell r="BA33">
            <v>44013.22620519159</v>
          </cell>
          <cell r="BB33">
            <v>-3.9555006180469716</v>
          </cell>
          <cell r="BC33" t="e">
            <v>#VALUE!</v>
          </cell>
          <cell r="BD33" t="e">
            <v>#VALUE!</v>
          </cell>
          <cell r="BE33">
            <v>43766.131025957977</v>
          </cell>
          <cell r="BF33">
            <v>87123.4</v>
          </cell>
        </row>
        <row r="34">
          <cell r="A34" t="str">
            <v>BRADLEY UPGRADE</v>
          </cell>
          <cell r="B34" t="b">
            <v>0</v>
          </cell>
          <cell r="C34">
            <v>40148</v>
          </cell>
          <cell r="D34">
            <v>40148</v>
          </cell>
          <cell r="E34" t="str">
            <v/>
          </cell>
          <cell r="F34" t="e">
            <v>#VALUE!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>
            <v>4679.231059178288</v>
          </cell>
          <cell r="AF34">
            <v>5458.977258449554</v>
          </cell>
          <cell r="AG34">
            <v>10138.208317627843</v>
          </cell>
          <cell r="AH34">
            <v>3724.2</v>
          </cell>
          <cell r="AI34">
            <v>4344.8</v>
          </cell>
          <cell r="AJ34">
            <v>8069</v>
          </cell>
          <cell r="AK34">
            <v>-3.1505238203900499E-3</v>
          </cell>
          <cell r="AL34">
            <v>-2.7999999999999997E-2</v>
          </cell>
          <cell r="AM34">
            <v>2001</v>
          </cell>
          <cell r="AN34">
            <v>-9.9657649174188512E-3</v>
          </cell>
          <cell r="AO34">
            <v>-7.6999999999999999E-2</v>
          </cell>
          <cell r="AP34">
            <v>3859.8</v>
          </cell>
          <cell r="AQ34">
            <v>2001</v>
          </cell>
          <cell r="AR34">
            <v>4577.1000000000004</v>
          </cell>
          <cell r="AS34">
            <v>85.1</v>
          </cell>
          <cell r="AT34">
            <v>595</v>
          </cell>
          <cell r="AU34">
            <v>-1107.3</v>
          </cell>
          <cell r="AV34" t="str">
            <v>-</v>
          </cell>
          <cell r="AW34">
            <v>194.9</v>
          </cell>
          <cell r="AX34">
            <v>4344.8</v>
          </cell>
          <cell r="AY34">
            <v>5750.8480964945347</v>
          </cell>
          <cell r="AZ34">
            <v>106.92298027390375</v>
          </cell>
          <cell r="BA34">
            <v>747.58135444151276</v>
          </cell>
          <cell r="BB34">
            <v>-1391.2551828119108</v>
          </cell>
          <cell r="BC34" t="e">
            <v>#VALUE!</v>
          </cell>
          <cell r="BD34">
            <v>244.88001005151401</v>
          </cell>
          <cell r="BE34">
            <v>5458.977258449554</v>
          </cell>
          <cell r="BF34">
            <v>8903.2000000000007</v>
          </cell>
        </row>
        <row r="35">
          <cell r="A35" t="str">
            <v>C-130AMP</v>
          </cell>
          <cell r="B35" t="b">
            <v>1</v>
          </cell>
          <cell r="C35">
            <v>40878</v>
          </cell>
          <cell r="D35">
            <v>40878</v>
          </cell>
          <cell r="E35">
            <v>1985</v>
          </cell>
          <cell r="F35">
            <v>1985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/>
          </cell>
          <cell r="M35">
            <v>0</v>
          </cell>
          <cell r="N35">
            <v>0</v>
          </cell>
          <cell r="O35">
            <v>0</v>
          </cell>
          <cell r="P35">
            <v>214.6</v>
          </cell>
          <cell r="Q35" t="str">
            <v>-</v>
          </cell>
          <cell r="R35" t="str">
            <v>-</v>
          </cell>
          <cell r="S35">
            <v>2199.6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 t="str">
            <v/>
          </cell>
          <cell r="Z35">
            <v>0</v>
          </cell>
          <cell r="AA35">
            <v>0</v>
          </cell>
          <cell r="AB35">
            <v>0</v>
          </cell>
          <cell r="AC35">
            <v>214.6</v>
          </cell>
          <cell r="AD35" t="str">
            <v/>
          </cell>
          <cell r="AE35">
            <v>6092.8798931470255</v>
          </cell>
          <cell r="AF35">
            <v>-3733.2785369361964</v>
          </cell>
          <cell r="AG35">
            <v>2359.6013562108292</v>
          </cell>
          <cell r="AH35">
            <v>5930.2</v>
          </cell>
          <cell r="AI35">
            <v>-3633.6</v>
          </cell>
          <cell r="AJ35">
            <v>2296.6</v>
          </cell>
          <cell r="AK35">
            <v>-5.0263194353298735E-2</v>
          </cell>
          <cell r="AL35">
            <v>-9.8000000000000004E-2</v>
          </cell>
          <cell r="AM35">
            <v>2010</v>
          </cell>
          <cell r="AN35">
            <v>-8.4999999999999964E-2</v>
          </cell>
          <cell r="AO35">
            <v>-8.5000000000000006E-2</v>
          </cell>
          <cell r="AP35">
            <v>6300.3</v>
          </cell>
          <cell r="AQ35">
            <v>2010</v>
          </cell>
          <cell r="AR35">
            <v>-3384.5</v>
          </cell>
          <cell r="AS35">
            <v>-76</v>
          </cell>
          <cell r="AT35">
            <v>6.5</v>
          </cell>
          <cell r="AU35">
            <v>-83.6</v>
          </cell>
          <cell r="AV35" t="str">
            <v>-</v>
          </cell>
          <cell r="AW35">
            <v>-96</v>
          </cell>
          <cell r="AX35">
            <v>-3633.6</v>
          </cell>
          <cell r="AY35">
            <v>-3477.3451145587178</v>
          </cell>
          <cell r="AZ35">
            <v>-78.084865920065766</v>
          </cell>
          <cell r="BA35">
            <v>6.6783109010582562</v>
          </cell>
          <cell r="BB35">
            <v>-85.893352512072326</v>
          </cell>
          <cell r="BC35" t="e">
            <v>#VALUE!</v>
          </cell>
          <cell r="BD35">
            <v>-98.633514846398853</v>
          </cell>
          <cell r="BE35">
            <v>-3733.2785369361964</v>
          </cell>
          <cell r="BF35">
            <v>2199.6</v>
          </cell>
        </row>
        <row r="36">
          <cell r="A36" t="str">
            <v>C-130J</v>
          </cell>
          <cell r="B36" t="b">
            <v>1</v>
          </cell>
          <cell r="C36">
            <v>40878</v>
          </cell>
          <cell r="D36">
            <v>40878</v>
          </cell>
          <cell r="E36">
            <v>9662.2000000000007</v>
          </cell>
          <cell r="F36">
            <v>9662.2000000000007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/>
          </cell>
          <cell r="M36">
            <v>0</v>
          </cell>
          <cell r="N36">
            <v>0</v>
          </cell>
          <cell r="O36">
            <v>0</v>
          </cell>
          <cell r="P36">
            <v>246.6</v>
          </cell>
          <cell r="Q36">
            <v>137.30000000000001</v>
          </cell>
          <cell r="R36">
            <v>5672.2</v>
          </cell>
          <cell r="S36">
            <v>15718.3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 t="str">
            <v/>
          </cell>
          <cell r="Z36">
            <v>0</v>
          </cell>
          <cell r="AA36">
            <v>0</v>
          </cell>
          <cell r="AB36">
            <v>0</v>
          </cell>
          <cell r="AC36">
            <v>246.6</v>
          </cell>
          <cell r="AD36">
            <v>135.09790416215685</v>
          </cell>
          <cell r="AE36">
            <v>1001.3704262025491</v>
          </cell>
          <cell r="AF36">
            <v>15832.945045909277</v>
          </cell>
          <cell r="AG36">
            <v>16834.315472111826</v>
          </cell>
          <cell r="AH36">
            <v>730.7</v>
          </cell>
          <cell r="AI36">
            <v>11553.3</v>
          </cell>
          <cell r="AJ36">
            <v>12284</v>
          </cell>
          <cell r="AK36">
            <v>1.7406980759904656E-2</v>
          </cell>
          <cell r="AL36">
            <v>0.318</v>
          </cell>
          <cell r="AM36">
            <v>1996</v>
          </cell>
          <cell r="AN36">
            <v>1.8268374644941243E-2</v>
          </cell>
          <cell r="AO36">
            <v>0.312</v>
          </cell>
          <cell r="AP36">
            <v>839.7</v>
          </cell>
          <cell r="AQ36">
            <v>1996</v>
          </cell>
          <cell r="AR36">
            <v>8590</v>
          </cell>
          <cell r="AS36">
            <v>-267.39999999999998</v>
          </cell>
          <cell r="AT36">
            <v>126.2</v>
          </cell>
          <cell r="AU36">
            <v>639.29999999999995</v>
          </cell>
          <cell r="AV36" t="str">
            <v>-</v>
          </cell>
          <cell r="AW36">
            <v>2465.1999999999998</v>
          </cell>
          <cell r="AX36">
            <v>11553.3</v>
          </cell>
          <cell r="AY36">
            <v>11771.961079895847</v>
          </cell>
          <cell r="AZ36">
            <v>-366.45196656160061</v>
          </cell>
          <cell r="BA36">
            <v>172.94778676168289</v>
          </cell>
          <cell r="BB36">
            <v>876.11347128957095</v>
          </cell>
          <cell r="BC36" t="e">
            <v>#VALUE!</v>
          </cell>
          <cell r="BD36">
            <v>3378.3746745237768</v>
          </cell>
          <cell r="BE36">
            <v>15832.945045909277</v>
          </cell>
          <cell r="BF36">
            <v>15718.3</v>
          </cell>
        </row>
        <row r="37">
          <cell r="A37" t="str">
            <v>C-17A</v>
          </cell>
          <cell r="B37" t="b">
            <v>0</v>
          </cell>
          <cell r="C37">
            <v>40148</v>
          </cell>
          <cell r="D37">
            <v>40148</v>
          </cell>
          <cell r="E37">
            <v>65680.100000000006</v>
          </cell>
          <cell r="F37">
            <v>68422.3</v>
          </cell>
          <cell r="G37">
            <v>2742.2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 t="str">
            <v/>
          </cell>
          <cell r="M37">
            <v>0</v>
          </cell>
          <cell r="N37">
            <v>2742.2</v>
          </cell>
          <cell r="O37">
            <v>305.89999999999998</v>
          </cell>
          <cell r="P37">
            <v>0</v>
          </cell>
          <cell r="Q37">
            <v>0</v>
          </cell>
          <cell r="R37">
            <v>842.6</v>
          </cell>
          <cell r="S37">
            <v>69570.8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 t="str">
            <v/>
          </cell>
          <cell r="Z37">
            <v>0</v>
          </cell>
          <cell r="AA37">
            <v>2817.4252542895306</v>
          </cell>
          <cell r="AB37">
            <v>310.14904187366926</v>
          </cell>
          <cell r="AC37">
            <v>0</v>
          </cell>
          <cell r="AD37">
            <v>0</v>
          </cell>
          <cell r="AE37">
            <v>56531.314238728242</v>
          </cell>
          <cell r="AF37">
            <v>31682.883376730162</v>
          </cell>
          <cell r="AG37">
            <v>88214.197615458412</v>
          </cell>
          <cell r="AH37">
            <v>41250.9</v>
          </cell>
          <cell r="AI37">
            <v>23119</v>
          </cell>
          <cell r="AJ37">
            <v>64369.9</v>
          </cell>
          <cell r="AK37">
            <v>2.7900880784120563E-2</v>
          </cell>
          <cell r="AL37">
            <v>0.47</v>
          </cell>
          <cell r="AM37">
            <v>1996</v>
          </cell>
          <cell r="AN37">
            <v>3.5002236780549367E-2</v>
          </cell>
          <cell r="AO37">
            <v>0.56399999999999995</v>
          </cell>
          <cell r="AP37">
            <v>41811.9</v>
          </cell>
          <cell r="AQ37">
            <v>1996</v>
          </cell>
          <cell r="AR37">
            <v>2550.3000000000002</v>
          </cell>
          <cell r="AS37">
            <v>2047.1</v>
          </cell>
          <cell r="AT37">
            <v>402.4</v>
          </cell>
          <cell r="AU37">
            <v>14947.9</v>
          </cell>
          <cell r="AV37">
            <v>445.5</v>
          </cell>
          <cell r="AW37">
            <v>2725.8</v>
          </cell>
          <cell r="AX37">
            <v>23119</v>
          </cell>
          <cell r="AY37">
            <v>3494.9979443606962</v>
          </cell>
          <cell r="AZ37">
            <v>2805.3994792380427</v>
          </cell>
          <cell r="BA37">
            <v>551.45950390571466</v>
          </cell>
          <cell r="BB37">
            <v>20484.993833082088</v>
          </cell>
          <cell r="BC37">
            <v>610.52487323557625</v>
          </cell>
          <cell r="BD37">
            <v>3735.5077429080447</v>
          </cell>
          <cell r="BE37">
            <v>31682.883376730162</v>
          </cell>
          <cell r="BF37">
            <v>69570.8</v>
          </cell>
        </row>
        <row r="38">
          <cell r="A38" t="str">
            <v>C-5 AMP</v>
          </cell>
          <cell r="B38" t="b">
            <v>0</v>
          </cell>
          <cell r="C38">
            <v>40513</v>
          </cell>
          <cell r="D38">
            <v>40513</v>
          </cell>
          <cell r="E38">
            <v>1147.9000000000001</v>
          </cell>
          <cell r="F38">
            <v>1147.9000000000001</v>
          </cell>
          <cell r="G38">
            <v>0</v>
          </cell>
          <cell r="H38" t="str">
            <v/>
          </cell>
          <cell r="I38" t="str">
            <v/>
          </cell>
          <cell r="J38">
            <v>0</v>
          </cell>
          <cell r="K38">
            <v>0</v>
          </cell>
          <cell r="L38" t="str">
            <v/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1147.9000000000001</v>
          </cell>
          <cell r="T38">
            <v>0</v>
          </cell>
          <cell r="U38" t="str">
            <v/>
          </cell>
          <cell r="V38" t="str">
            <v/>
          </cell>
          <cell r="W38">
            <v>0</v>
          </cell>
          <cell r="X38">
            <v>0</v>
          </cell>
          <cell r="Y38" t="str">
            <v/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981.98297778269045</v>
          </cell>
          <cell r="AF38">
            <v>300.21001436940429</v>
          </cell>
          <cell r="AG38">
            <v>1282.1929921520948</v>
          </cell>
          <cell r="AH38">
            <v>888.4</v>
          </cell>
          <cell r="AI38">
            <v>271.60000000000002</v>
          </cell>
          <cell r="AJ38">
            <v>1160</v>
          </cell>
          <cell r="AK38">
            <v>3.6964375474194178E-2</v>
          </cell>
          <cell r="AL38">
            <v>0.19899999999999998</v>
          </cell>
          <cell r="AM38">
            <v>2006</v>
          </cell>
          <cell r="AN38">
            <v>4.9241971883431157E-2</v>
          </cell>
          <cell r="AO38">
            <v>0.21199999999999999</v>
          </cell>
          <cell r="AP38">
            <v>856.3</v>
          </cell>
          <cell r="AQ38">
            <v>2006</v>
          </cell>
          <cell r="AR38">
            <v>79.2</v>
          </cell>
          <cell r="AS38">
            <v>3.1</v>
          </cell>
          <cell r="AT38">
            <v>13.9</v>
          </cell>
          <cell r="AU38">
            <v>33.6</v>
          </cell>
          <cell r="AV38" t="str">
            <v>-</v>
          </cell>
          <cell r="AW38">
            <v>141.80000000000001</v>
          </cell>
          <cell r="AX38">
            <v>271.60000000000002</v>
          </cell>
          <cell r="AY38">
            <v>87.542831877970613</v>
          </cell>
          <cell r="AZ38">
            <v>3.4265502376478394</v>
          </cell>
          <cell r="BA38">
            <v>15.364209130098377</v>
          </cell>
          <cell r="BB38">
            <v>37.139383220957228</v>
          </cell>
          <cell r="BC38" t="e">
            <v>#VALUE!</v>
          </cell>
          <cell r="BD38">
            <v>156.7370399027302</v>
          </cell>
          <cell r="BE38">
            <v>300.21001436940429</v>
          </cell>
          <cell r="BF38">
            <v>1147.9000000000001</v>
          </cell>
        </row>
        <row r="39">
          <cell r="A39" t="str">
            <v>C-5 RERP</v>
          </cell>
          <cell r="B39" t="b">
            <v>1</v>
          </cell>
          <cell r="C39">
            <v>40878</v>
          </cell>
          <cell r="D39">
            <v>40878</v>
          </cell>
          <cell r="E39">
            <v>3597</v>
          </cell>
          <cell r="F39">
            <v>3597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/>
          </cell>
          <cell r="M39">
            <v>0</v>
          </cell>
          <cell r="N39">
            <v>0</v>
          </cell>
          <cell r="O39">
            <v>0</v>
          </cell>
          <cell r="P39">
            <v>1102.5999999999999</v>
          </cell>
          <cell r="Q39">
            <v>1238.8</v>
          </cell>
          <cell r="R39">
            <v>1497.8</v>
          </cell>
          <cell r="S39">
            <v>7436.2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 t="str">
            <v/>
          </cell>
          <cell r="Z39">
            <v>0</v>
          </cell>
          <cell r="AA39">
            <v>0</v>
          </cell>
          <cell r="AB39">
            <v>0</v>
          </cell>
          <cell r="AC39">
            <v>1102.5999999999999</v>
          </cell>
          <cell r="AD39">
            <v>1218.9314178884188</v>
          </cell>
          <cell r="AE39">
            <v>7496.695688660443</v>
          </cell>
          <cell r="AF39">
            <v>-143.71131857757263</v>
          </cell>
          <cell r="AG39">
            <v>7352.9843700828706</v>
          </cell>
          <cell r="AH39">
            <v>7146.6</v>
          </cell>
          <cell r="AI39">
            <v>-137</v>
          </cell>
          <cell r="AJ39">
            <v>7009.6</v>
          </cell>
          <cell r="AK39">
            <v>-4.7842238222152167E-3</v>
          </cell>
          <cell r="AL39">
            <v>-1.9E-2</v>
          </cell>
          <cell r="AM39">
            <v>2008</v>
          </cell>
          <cell r="AN39">
            <v>-1.1464260352320177E-2</v>
          </cell>
          <cell r="AO39">
            <v>-3.4000000000000002E-2</v>
          </cell>
          <cell r="AP39">
            <v>7694.1</v>
          </cell>
          <cell r="AQ39">
            <v>2008</v>
          </cell>
          <cell r="AR39" t="str">
            <v>-</v>
          </cell>
          <cell r="AS39" t="str">
            <v>-</v>
          </cell>
          <cell r="AT39" t="str">
            <v>-</v>
          </cell>
          <cell r="AU39">
            <v>28.4</v>
          </cell>
          <cell r="AV39" t="str">
            <v>-</v>
          </cell>
          <cell r="AW39">
            <v>-165.4</v>
          </cell>
          <cell r="AX39">
            <v>-137</v>
          </cell>
          <cell r="AY39" t="e">
            <v>#VALUE!</v>
          </cell>
          <cell r="AZ39" t="e">
            <v>#VALUE!</v>
          </cell>
          <cell r="BA39" t="e">
            <v>#VALUE!</v>
          </cell>
          <cell r="BB39">
            <v>29.791251442358121</v>
          </cell>
          <cell r="BC39" t="e">
            <v>#VALUE!</v>
          </cell>
          <cell r="BD39">
            <v>-173.50257001993077</v>
          </cell>
          <cell r="BE39">
            <v>-143.71131857757263</v>
          </cell>
          <cell r="BF39">
            <v>7436.2</v>
          </cell>
        </row>
        <row r="40">
          <cell r="A40" t="str">
            <v>CEC</v>
          </cell>
          <cell r="B40" t="b">
            <v>1</v>
          </cell>
          <cell r="C40">
            <v>40878</v>
          </cell>
          <cell r="D40">
            <v>40878</v>
          </cell>
          <cell r="E40">
            <v>3645.7</v>
          </cell>
          <cell r="F40">
            <v>3645.7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/>
          </cell>
          <cell r="M40">
            <v>0</v>
          </cell>
          <cell r="N40">
            <v>0</v>
          </cell>
          <cell r="O40">
            <v>0</v>
          </cell>
          <cell r="P40">
            <v>118.6</v>
          </cell>
          <cell r="Q40">
            <v>146.1</v>
          </cell>
          <cell r="R40">
            <v>863.9</v>
          </cell>
          <cell r="S40">
            <v>4774.3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 t="str">
            <v/>
          </cell>
          <cell r="Z40">
            <v>0</v>
          </cell>
          <cell r="AA40">
            <v>0</v>
          </cell>
          <cell r="AB40">
            <v>0</v>
          </cell>
          <cell r="AC40">
            <v>118.6</v>
          </cell>
          <cell r="AD40">
            <v>143.75676473482238</v>
          </cell>
          <cell r="AE40">
            <v>5096.7861557478363</v>
          </cell>
          <cell r="AF40">
            <v>333.99258343634114</v>
          </cell>
          <cell r="AG40">
            <v>5430.7787391841775</v>
          </cell>
          <cell r="AH40">
            <v>4123.3</v>
          </cell>
          <cell r="AI40">
            <v>270.2</v>
          </cell>
          <cell r="AJ40">
            <v>4393.5</v>
          </cell>
          <cell r="AK40">
            <v>1.1126091664452664E-2</v>
          </cell>
          <cell r="AL40">
            <v>0.11699999999999999</v>
          </cell>
          <cell r="AM40">
            <v>2002</v>
          </cell>
          <cell r="AN40">
            <v>1.7983877072059951E-2</v>
          </cell>
          <cell r="AO40">
            <v>0.17399999999999999</v>
          </cell>
          <cell r="AP40">
            <v>4310.7</v>
          </cell>
          <cell r="AQ40">
            <v>2002</v>
          </cell>
          <cell r="AR40">
            <v>-190.1</v>
          </cell>
          <cell r="AS40">
            <v>23.3</v>
          </cell>
          <cell r="AT40">
            <v>303.39999999999998</v>
          </cell>
          <cell r="AU40">
            <v>224.9</v>
          </cell>
          <cell r="AV40" t="str">
            <v>-</v>
          </cell>
          <cell r="AW40">
            <v>-91.3</v>
          </cell>
          <cell r="AX40">
            <v>270.2</v>
          </cell>
          <cell r="AY40">
            <v>-234.9814585908529</v>
          </cell>
          <cell r="AZ40">
            <v>28.800988875154509</v>
          </cell>
          <cell r="BA40">
            <v>375.03090234857842</v>
          </cell>
          <cell r="BB40">
            <v>277.99752781211373</v>
          </cell>
          <cell r="BC40" t="e">
            <v>#VALUE!</v>
          </cell>
          <cell r="BD40">
            <v>-112.85537700865265</v>
          </cell>
          <cell r="BE40">
            <v>333.99258343634114</v>
          </cell>
          <cell r="BF40">
            <v>4774.3</v>
          </cell>
        </row>
        <row r="41">
          <cell r="A41" t="str">
            <v>CH-47F</v>
          </cell>
          <cell r="B41" t="b">
            <v>1</v>
          </cell>
          <cell r="C41">
            <v>40878</v>
          </cell>
          <cell r="D41">
            <v>40878</v>
          </cell>
          <cell r="E41">
            <v>8407.7999999999993</v>
          </cell>
          <cell r="F41">
            <v>8407.7999999999993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/>
          </cell>
          <cell r="M41">
            <v>0</v>
          </cell>
          <cell r="N41">
            <v>0</v>
          </cell>
          <cell r="O41">
            <v>0</v>
          </cell>
          <cell r="P41">
            <v>1307</v>
          </cell>
          <cell r="Q41">
            <v>1066.3</v>
          </cell>
          <cell r="R41">
            <v>3475.6</v>
          </cell>
          <cell r="S41">
            <v>14256.7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 t="str">
            <v/>
          </cell>
          <cell r="Z41">
            <v>0</v>
          </cell>
          <cell r="AA41">
            <v>0</v>
          </cell>
          <cell r="AB41">
            <v>0</v>
          </cell>
          <cell r="AC41">
            <v>1307</v>
          </cell>
          <cell r="AD41">
            <v>1049.1980714355998</v>
          </cell>
          <cell r="AE41">
            <v>12135.36069509546</v>
          </cell>
          <cell r="AF41">
            <v>2126.2147021836058</v>
          </cell>
          <cell r="AG41">
            <v>14261.575397279066</v>
          </cell>
          <cell r="AH41">
            <v>10614.8</v>
          </cell>
          <cell r="AI41">
            <v>1859.8</v>
          </cell>
          <cell r="AJ41">
            <v>12474.6</v>
          </cell>
          <cell r="AK41">
            <v>1.7741572821694529E-2</v>
          </cell>
          <cell r="AL41">
            <v>0.13100000000000001</v>
          </cell>
          <cell r="AM41">
            <v>2005</v>
          </cell>
          <cell r="AN41">
            <v>2.0126397948637464E-2</v>
          </cell>
          <cell r="AO41">
            <v>0.127</v>
          </cell>
          <cell r="AP41">
            <v>12147.4</v>
          </cell>
          <cell r="AQ41">
            <v>2005</v>
          </cell>
          <cell r="AR41">
            <v>417</v>
          </cell>
          <cell r="AS41">
            <v>-42</v>
          </cell>
          <cell r="AT41">
            <v>177.4</v>
          </cell>
          <cell r="AU41">
            <v>1194.0999999999999</v>
          </cell>
          <cell r="AV41" t="str">
            <v>-</v>
          </cell>
          <cell r="AW41">
            <v>113.3</v>
          </cell>
          <cell r="AX41">
            <v>1859.8</v>
          </cell>
          <cell r="AY41">
            <v>476.73488053046759</v>
          </cell>
          <cell r="AZ41">
            <v>-48.016462787241338</v>
          </cell>
          <cell r="BA41">
            <v>202.81239282039556</v>
          </cell>
          <cell r="BB41">
            <v>1365.1537670058303</v>
          </cell>
          <cell r="BC41" t="e">
            <v>#VALUE!</v>
          </cell>
          <cell r="BD41">
            <v>129.53012461415341</v>
          </cell>
          <cell r="BE41">
            <v>2126.2147021836058</v>
          </cell>
          <cell r="BF41">
            <v>14256.7</v>
          </cell>
        </row>
        <row r="42">
          <cell r="A42" t="str">
            <v>CH-53K</v>
          </cell>
          <cell r="B42" t="b">
            <v>1</v>
          </cell>
          <cell r="C42">
            <v>40878</v>
          </cell>
          <cell r="D42">
            <v>40878</v>
          </cell>
          <cell r="E42">
            <v>2691.1</v>
          </cell>
          <cell r="F42">
            <v>2691.1</v>
          </cell>
          <cell r="G42">
            <v>0</v>
          </cell>
          <cell r="H42" t="str">
            <v/>
          </cell>
          <cell r="I42" t="str">
            <v/>
          </cell>
          <cell r="J42">
            <v>0</v>
          </cell>
          <cell r="K42">
            <v>0</v>
          </cell>
          <cell r="L42" t="str">
            <v/>
          </cell>
          <cell r="M42">
            <v>0</v>
          </cell>
          <cell r="N42">
            <v>0</v>
          </cell>
          <cell r="O42">
            <v>0</v>
          </cell>
          <cell r="P42">
            <v>624.5</v>
          </cell>
          <cell r="Q42">
            <v>606.20000000000005</v>
          </cell>
          <cell r="R42">
            <v>22705</v>
          </cell>
          <cell r="S42">
            <v>26626.799999999999</v>
          </cell>
          <cell r="T42">
            <v>0</v>
          </cell>
          <cell r="U42" t="str">
            <v/>
          </cell>
          <cell r="V42" t="str">
            <v/>
          </cell>
          <cell r="W42">
            <v>0</v>
          </cell>
          <cell r="X42">
            <v>0</v>
          </cell>
          <cell r="Y42" t="str">
            <v/>
          </cell>
          <cell r="Z42">
            <v>0</v>
          </cell>
          <cell r="AA42">
            <v>0</v>
          </cell>
          <cell r="AB42">
            <v>0</v>
          </cell>
          <cell r="AC42">
            <v>624.5</v>
          </cell>
          <cell r="AD42">
            <v>596.47741808521107</v>
          </cell>
          <cell r="AE42">
            <v>16558.969824251133</v>
          </cell>
          <cell r="AF42">
            <v>5960.6499392063679</v>
          </cell>
          <cell r="AG42">
            <v>22519.6197634575</v>
          </cell>
          <cell r="AH42">
            <v>14980.9</v>
          </cell>
          <cell r="AI42">
            <v>5392.6</v>
          </cell>
          <cell r="AJ42">
            <v>20373.5</v>
          </cell>
          <cell r="AK42">
            <v>2.7533706654055301E-2</v>
          </cell>
          <cell r="AL42">
            <v>0.17699999999999999</v>
          </cell>
          <cell r="AM42">
            <v>2006</v>
          </cell>
          <cell r="AN42">
            <v>4.0059333326165181E-2</v>
          </cell>
          <cell r="AO42">
            <v>0.217</v>
          </cell>
          <cell r="AP42">
            <v>18766.3</v>
          </cell>
          <cell r="AQ42">
            <v>2006</v>
          </cell>
          <cell r="AR42">
            <v>2326.4</v>
          </cell>
          <cell r="AS42">
            <v>984.8</v>
          </cell>
          <cell r="AT42" t="str">
            <v>-</v>
          </cell>
          <cell r="AU42">
            <v>1149.9000000000001</v>
          </cell>
          <cell r="AV42" t="str">
            <v>-</v>
          </cell>
          <cell r="AW42">
            <v>931.5</v>
          </cell>
          <cell r="AX42">
            <v>5392.6</v>
          </cell>
          <cell r="AY42">
            <v>2571.460152536753</v>
          </cell>
          <cell r="AZ42">
            <v>1088.5376367856747</v>
          </cell>
          <cell r="BA42" t="e">
            <v>#VALUE!</v>
          </cell>
          <cell r="BB42">
            <v>1271.0290704100807</v>
          </cell>
          <cell r="BC42" t="e">
            <v>#VALUE!</v>
          </cell>
          <cell r="BD42">
            <v>1029.6230794738588</v>
          </cell>
          <cell r="BE42">
            <v>5960.6499392063679</v>
          </cell>
          <cell r="BF42">
            <v>26626.799999999999</v>
          </cell>
        </row>
        <row r="43">
          <cell r="A43" t="str">
            <v>CHEM DEMIL-ACWA</v>
          </cell>
          <cell r="B43" t="b">
            <v>1</v>
          </cell>
          <cell r="C43">
            <v>40878</v>
          </cell>
          <cell r="D43">
            <v>40878</v>
          </cell>
          <cell r="E43">
            <v>3361.6</v>
          </cell>
          <cell r="F43">
            <v>3361.6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/>
          </cell>
          <cell r="M43">
            <v>0</v>
          </cell>
          <cell r="N43">
            <v>0</v>
          </cell>
          <cell r="O43">
            <v>0</v>
          </cell>
          <cell r="P43">
            <v>477.1</v>
          </cell>
          <cell r="Q43">
            <v>778.7</v>
          </cell>
          <cell r="R43">
            <v>5999.7</v>
          </cell>
          <cell r="S43">
            <v>10617.1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 t="str">
            <v/>
          </cell>
          <cell r="Z43">
            <v>0</v>
          </cell>
          <cell r="AA43">
            <v>0</v>
          </cell>
          <cell r="AB43">
            <v>0</v>
          </cell>
          <cell r="AC43">
            <v>477.1</v>
          </cell>
          <cell r="AD43">
            <v>766.21076453803016</v>
          </cell>
          <cell r="AE43">
            <v>2632.36337828247</v>
          </cell>
          <cell r="AF43">
            <v>7487.0728987123593</v>
          </cell>
          <cell r="AG43">
            <v>10119.436276994829</v>
          </cell>
          <cell r="AH43">
            <v>2596.3000000000002</v>
          </cell>
          <cell r="AI43">
            <v>7384.5</v>
          </cell>
          <cell r="AJ43">
            <v>9980.7999999999993</v>
          </cell>
          <cell r="AK43">
            <v>2.8439999999999999</v>
          </cell>
          <cell r="AL43">
            <v>2.8439999999999999</v>
          </cell>
          <cell r="AM43">
            <v>2011</v>
          </cell>
          <cell r="AN43">
            <v>3.3680000000000003</v>
          </cell>
          <cell r="AO43">
            <v>3.3680000000000003</v>
          </cell>
          <cell r="AP43">
            <v>2430.4</v>
          </cell>
          <cell r="AQ43">
            <v>2011</v>
          </cell>
          <cell r="AR43" t="str">
            <v>-</v>
          </cell>
          <cell r="AS43">
            <v>-486.1</v>
          </cell>
          <cell r="AT43" t="str">
            <v>-</v>
          </cell>
          <cell r="AU43">
            <v>7870.6</v>
          </cell>
          <cell r="AV43" t="str">
            <v>-</v>
          </cell>
          <cell r="AW43" t="str">
            <v>-</v>
          </cell>
          <cell r="AX43">
            <v>7384.5</v>
          </cell>
          <cell r="AY43" t="e">
            <v>#VALUE!</v>
          </cell>
          <cell r="AZ43">
            <v>-492.85207340565756</v>
          </cell>
          <cell r="BA43" t="e">
            <v>#VALUE!</v>
          </cell>
          <cell r="BB43">
            <v>7979.9249721180176</v>
          </cell>
          <cell r="BC43" t="e">
            <v>#VALUE!</v>
          </cell>
          <cell r="BD43" t="e">
            <v>#VALUE!</v>
          </cell>
          <cell r="BE43">
            <v>7487.0728987123593</v>
          </cell>
          <cell r="BF43">
            <v>10617.1</v>
          </cell>
        </row>
        <row r="44">
          <cell r="A44" t="str">
            <v>CHEM DEMIL-CMA</v>
          </cell>
          <cell r="B44" t="b">
            <v>1</v>
          </cell>
          <cell r="C44">
            <v>40878</v>
          </cell>
          <cell r="D44">
            <v>40878</v>
          </cell>
          <cell r="E44">
            <v>20282.2</v>
          </cell>
          <cell r="F44">
            <v>20282.2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/>
          </cell>
          <cell r="M44">
            <v>0</v>
          </cell>
          <cell r="N44">
            <v>0</v>
          </cell>
          <cell r="O44">
            <v>0</v>
          </cell>
          <cell r="P44">
            <v>1152.7</v>
          </cell>
          <cell r="Q44">
            <v>674.1</v>
          </cell>
          <cell r="R44">
            <v>2754.3</v>
          </cell>
          <cell r="S44">
            <v>24863.3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/>
          </cell>
          <cell r="Z44">
            <v>0</v>
          </cell>
          <cell r="AA44">
            <v>0</v>
          </cell>
          <cell r="AB44">
            <v>0</v>
          </cell>
          <cell r="AC44">
            <v>1152.7</v>
          </cell>
          <cell r="AD44">
            <v>663.2883990947555</v>
          </cell>
          <cell r="AE44">
            <v>16424.679029957206</v>
          </cell>
          <cell r="AF44">
            <v>13165.905848787446</v>
          </cell>
          <cell r="AG44">
            <v>29590.584878744652</v>
          </cell>
          <cell r="AH44">
            <v>11513.7</v>
          </cell>
          <cell r="AI44">
            <v>9229.2999999999993</v>
          </cell>
          <cell r="AJ44">
            <v>20743</v>
          </cell>
          <cell r="AK44">
            <v>3.3257578331690851E-2</v>
          </cell>
          <cell r="AL44">
            <v>0.80200000000000005</v>
          </cell>
          <cell r="AM44">
            <v>1994</v>
          </cell>
          <cell r="AN44">
            <v>3.9435364771155834E-2</v>
          </cell>
          <cell r="AO44">
            <v>0.93</v>
          </cell>
          <cell r="AP44">
            <v>12879.9</v>
          </cell>
          <cell r="AQ44">
            <v>1994</v>
          </cell>
          <cell r="AR44" t="str">
            <v>-</v>
          </cell>
          <cell r="AS44">
            <v>7078.6</v>
          </cell>
          <cell r="AT44" t="str">
            <v>-</v>
          </cell>
          <cell r="AU44">
            <v>2143.1</v>
          </cell>
          <cell r="AV44">
            <v>7.6</v>
          </cell>
          <cell r="AW44" t="str">
            <v>-</v>
          </cell>
          <cell r="AX44">
            <v>9229.2999999999993</v>
          </cell>
          <cell r="AY44" t="e">
            <v>#VALUE!</v>
          </cell>
          <cell r="AZ44">
            <v>10097.860199714694</v>
          </cell>
          <cell r="BA44" t="e">
            <v>#VALUE!</v>
          </cell>
          <cell r="BB44">
            <v>3057.2039942938659</v>
          </cell>
          <cell r="BC44">
            <v>10.841654778887303</v>
          </cell>
          <cell r="BD44" t="e">
            <v>#VALUE!</v>
          </cell>
          <cell r="BE44">
            <v>13165.905848787446</v>
          </cell>
          <cell r="BF44">
            <v>24863.3</v>
          </cell>
        </row>
        <row r="45">
          <cell r="A45" t="str">
            <v>CHEM DEMIL-NEWPORT</v>
          </cell>
          <cell r="B45" t="b">
            <v>0</v>
          </cell>
          <cell r="C45">
            <v>39052</v>
          </cell>
          <cell r="D45">
            <v>39052</v>
          </cell>
          <cell r="E45">
            <v>1138.5</v>
          </cell>
          <cell r="F45">
            <v>281</v>
          </cell>
          <cell r="G45">
            <v>281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137.9</v>
          </cell>
          <cell r="M45">
            <v>143.1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488.6</v>
          </cell>
          <cell r="S45">
            <v>1908.1</v>
          </cell>
          <cell r="T45">
            <v>292.79205349446477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144.65540753173187</v>
          </cell>
          <cell r="Z45">
            <v>148.13664596273293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606.13409415121259</v>
          </cell>
          <cell r="AF45">
            <v>1585.734664764622</v>
          </cell>
          <cell r="AG45">
            <v>2191.8687589158349</v>
          </cell>
          <cell r="AH45">
            <v>424.9</v>
          </cell>
          <cell r="AI45">
            <v>1111.5999999999999</v>
          </cell>
          <cell r="AJ45">
            <v>1536.5</v>
          </cell>
          <cell r="AK45">
            <v>0.10392774305236796</v>
          </cell>
          <cell r="AL45">
            <v>2.6160000000000001</v>
          </cell>
          <cell r="AM45">
            <v>1994</v>
          </cell>
          <cell r="AN45">
            <v>0.11906196888361809</v>
          </cell>
          <cell r="AO45">
            <v>2.8569999999999998</v>
          </cell>
          <cell r="AP45">
            <v>494.7</v>
          </cell>
          <cell r="AQ45">
            <v>1994</v>
          </cell>
          <cell r="AR45" t="str">
            <v>-</v>
          </cell>
          <cell r="AS45">
            <v>819.9</v>
          </cell>
          <cell r="AT45" t="str">
            <v>-</v>
          </cell>
          <cell r="AU45">
            <v>291.7</v>
          </cell>
          <cell r="AV45" t="str">
            <v>-</v>
          </cell>
          <cell r="AW45" t="str">
            <v>-</v>
          </cell>
          <cell r="AX45">
            <v>1111.5999999999999</v>
          </cell>
          <cell r="AY45" t="e">
            <v>#VALUE!</v>
          </cell>
          <cell r="AZ45">
            <v>1169.6148359486449</v>
          </cell>
          <cell r="BA45" t="e">
            <v>#VALUE!</v>
          </cell>
          <cell r="BB45">
            <v>416.1198288159772</v>
          </cell>
          <cell r="BC45" t="e">
            <v>#VALUE!</v>
          </cell>
          <cell r="BD45" t="e">
            <v>#VALUE!</v>
          </cell>
          <cell r="BE45">
            <v>1585.734664764622</v>
          </cell>
          <cell r="BF45">
            <v>1908.1</v>
          </cell>
        </row>
        <row r="46">
          <cell r="A46" t="str">
            <v>COBRA JUDY REPLACEMENT</v>
          </cell>
          <cell r="B46" t="b">
            <v>1</v>
          </cell>
          <cell r="C46">
            <v>40878</v>
          </cell>
          <cell r="D46">
            <v>40878</v>
          </cell>
          <cell r="E46">
            <v>1600.2</v>
          </cell>
          <cell r="F46">
            <v>1600.2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/>
          </cell>
          <cell r="M46">
            <v>0</v>
          </cell>
          <cell r="N46">
            <v>0</v>
          </cell>
          <cell r="O46">
            <v>0</v>
          </cell>
          <cell r="P46">
            <v>80.599999999999994</v>
          </cell>
          <cell r="Q46">
            <v>33.1</v>
          </cell>
          <cell r="R46" t="str">
            <v>-</v>
          </cell>
          <cell r="S46">
            <v>1713.9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/>
          </cell>
          <cell r="Z46">
            <v>0</v>
          </cell>
          <cell r="AA46">
            <v>0</v>
          </cell>
          <cell r="AB46">
            <v>0</v>
          </cell>
          <cell r="AC46">
            <v>80.599999999999994</v>
          </cell>
          <cell r="AD46">
            <v>32.569123290367017</v>
          </cell>
          <cell r="AE46">
            <v>1652.7424627678895</v>
          </cell>
          <cell r="AF46">
            <v>193.48589417605035</v>
          </cell>
          <cell r="AG46">
            <v>1846.2283569439396</v>
          </cell>
          <cell r="AH46">
            <v>1365</v>
          </cell>
          <cell r="AI46">
            <v>159.80000000000001</v>
          </cell>
          <cell r="AJ46">
            <v>1524.8</v>
          </cell>
          <cell r="AK46">
            <v>1.2369940365308585E-2</v>
          </cell>
          <cell r="AL46">
            <v>0.11699999999999999</v>
          </cell>
          <cell r="AM46">
            <v>2003</v>
          </cell>
          <cell r="AN46">
            <v>1.992822847157627E-2</v>
          </cell>
          <cell r="AO46">
            <v>0.17100000000000001</v>
          </cell>
          <cell r="AP46">
            <v>1464</v>
          </cell>
          <cell r="AQ46">
            <v>2003</v>
          </cell>
          <cell r="AR46" t="str">
            <v>-</v>
          </cell>
          <cell r="AS46">
            <v>30</v>
          </cell>
          <cell r="AT46" t="str">
            <v>-</v>
          </cell>
          <cell r="AU46">
            <v>129.80000000000001</v>
          </cell>
          <cell r="AV46" t="str">
            <v>-</v>
          </cell>
          <cell r="AW46" t="str">
            <v>-</v>
          </cell>
          <cell r="AX46">
            <v>159.80000000000001</v>
          </cell>
          <cell r="AY46" t="e">
            <v>#VALUE!</v>
          </cell>
          <cell r="AZ46">
            <v>36.324010170722843</v>
          </cell>
          <cell r="BA46" t="e">
            <v>#VALUE!</v>
          </cell>
          <cell r="BB46">
            <v>157.16188400532752</v>
          </cell>
          <cell r="BC46" t="e">
            <v>#VALUE!</v>
          </cell>
          <cell r="BD46" t="e">
            <v>#VALUE!</v>
          </cell>
          <cell r="BE46">
            <v>193.48589417605035</v>
          </cell>
          <cell r="BF46">
            <v>1713.9</v>
          </cell>
        </row>
        <row r="47">
          <cell r="A47" t="str">
            <v>COMANCHE</v>
          </cell>
          <cell r="B47" t="b">
            <v>0</v>
          </cell>
          <cell r="C47">
            <v>37956</v>
          </cell>
          <cell r="D47">
            <v>37956</v>
          </cell>
          <cell r="E47">
            <v>6873.6</v>
          </cell>
          <cell r="F47">
            <v>2309.6999999999998</v>
          </cell>
          <cell r="G47">
            <v>2309.6999999999998</v>
          </cell>
          <cell r="H47">
            <v>1068</v>
          </cell>
          <cell r="I47">
            <v>1241.7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30135.8</v>
          </cell>
          <cell r="S47">
            <v>39319.1</v>
          </cell>
          <cell r="T47">
            <v>2680.3444706347</v>
          </cell>
          <cell r="U47">
            <v>1260.7720458033291</v>
          </cell>
          <cell r="V47">
            <v>1419.5724248313707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48786.136831275711</v>
          </cell>
          <cell r="AF47">
            <v>-5711.5483539094648</v>
          </cell>
          <cell r="AG47">
            <v>43074.588477366255</v>
          </cell>
          <cell r="AH47">
            <v>37936.1</v>
          </cell>
          <cell r="AI47">
            <v>-4441.3</v>
          </cell>
          <cell r="AJ47">
            <v>33494.800000000003</v>
          </cell>
          <cell r="AK47">
            <v>3.5783124290653889E-2</v>
          </cell>
          <cell r="AL47">
            <v>0.151</v>
          </cell>
          <cell r="AM47">
            <v>2000</v>
          </cell>
          <cell r="AN47">
            <v>3.5398805448406234E-2</v>
          </cell>
          <cell r="AO47">
            <v>0.11</v>
          </cell>
          <cell r="AP47">
            <v>48134.3</v>
          </cell>
          <cell r="AQ47">
            <v>2000</v>
          </cell>
          <cell r="AR47">
            <v>-8838.7999999999993</v>
          </cell>
          <cell r="AS47">
            <v>685.2</v>
          </cell>
          <cell r="AT47">
            <v>1235.4000000000001</v>
          </cell>
          <cell r="AU47">
            <v>2882.3</v>
          </cell>
          <cell r="AV47" t="str">
            <v>-</v>
          </cell>
          <cell r="AW47">
            <v>-405.4</v>
          </cell>
          <cell r="AX47">
            <v>-4441.3</v>
          </cell>
          <cell r="AY47">
            <v>-11366.769547325101</v>
          </cell>
          <cell r="AZ47">
            <v>881.17283950617286</v>
          </cell>
          <cell r="BA47">
            <v>1588.7345679012346</v>
          </cell>
          <cell r="BB47">
            <v>3706.6615226337449</v>
          </cell>
          <cell r="BC47" t="e">
            <v>#VALUE!</v>
          </cell>
          <cell r="BD47">
            <v>-521.34773662551436</v>
          </cell>
          <cell r="BE47">
            <v>-5711.5483539094648</v>
          </cell>
          <cell r="BF47">
            <v>39319.1</v>
          </cell>
        </row>
        <row r="48">
          <cell r="A48" t="str">
            <v>CRUSADER</v>
          </cell>
          <cell r="B48" t="b">
            <v>0</v>
          </cell>
          <cell r="C48">
            <v>37226</v>
          </cell>
          <cell r="D48">
            <v>37226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3292.3592680541974</v>
          </cell>
          <cell r="AF48">
            <v>2036.597290124319</v>
          </cell>
          <cell r="AG48">
            <v>5328.9565581785164</v>
          </cell>
          <cell r="AH48">
            <v>2357</v>
          </cell>
          <cell r="AI48">
            <v>1458</v>
          </cell>
          <cell r="AJ48">
            <v>3815</v>
          </cell>
          <cell r="AK48">
            <v>6.3723976434373997E-2</v>
          </cell>
          <cell r="AL48">
            <v>0.54100000000000004</v>
          </cell>
          <cell r="AM48">
            <v>1995</v>
          </cell>
          <cell r="AN48">
            <v>6.6074795978679379E-2</v>
          </cell>
          <cell r="AO48">
            <v>0.46799999999999997</v>
          </cell>
          <cell r="AP48">
            <v>2780</v>
          </cell>
          <cell r="AQ48">
            <v>1995</v>
          </cell>
          <cell r="AR48">
            <v>118.6</v>
          </cell>
          <cell r="AS48">
            <v>582.4</v>
          </cell>
          <cell r="AT48">
            <v>780.6</v>
          </cell>
          <cell r="AU48">
            <v>-23.6</v>
          </cell>
          <cell r="AV48" t="str">
            <v>-</v>
          </cell>
          <cell r="AW48" t="str">
            <v>-</v>
          </cell>
          <cell r="AX48">
            <v>1458</v>
          </cell>
          <cell r="AY48">
            <v>165.66559575359688</v>
          </cell>
          <cell r="AZ48">
            <v>813.52144154211476</v>
          </cell>
          <cell r="BA48">
            <v>1090.3757508031849</v>
          </cell>
          <cell r="BB48">
            <v>-32.96549797457746</v>
          </cell>
          <cell r="BC48" t="e">
            <v>#VALUE!</v>
          </cell>
          <cell r="BD48" t="e">
            <v>#VALUE!</v>
          </cell>
          <cell r="BE48">
            <v>2036.597290124319</v>
          </cell>
          <cell r="BF48">
            <v>4286.3</v>
          </cell>
        </row>
        <row r="49">
          <cell r="A49" t="str">
            <v>CSAR-X</v>
          </cell>
          <cell r="B49" t="b">
            <v>0</v>
          </cell>
          <cell r="C49" t="str">
            <v/>
          </cell>
          <cell r="D49" t="str">
            <v/>
          </cell>
          <cell r="E49" t="str">
            <v/>
          </cell>
          <cell r="F49" t="e">
            <v>#VALUE!</v>
          </cell>
          <cell r="G49">
            <v>0</v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>
            <v>0</v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  <cell r="AD49" t="str">
            <v/>
          </cell>
          <cell r="AE49" t="e">
            <v>#VALUE!</v>
          </cell>
          <cell r="AF49" t="e">
            <v>#VALUE!</v>
          </cell>
          <cell r="AG49" t="e">
            <v>#VALUE!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 t="str">
            <v/>
          </cell>
          <cell r="AM49" t="str">
            <v/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 t="str">
            <v/>
          </cell>
          <cell r="AS49" t="str">
            <v/>
          </cell>
          <cell r="AT49" t="str">
            <v/>
          </cell>
          <cell r="AU49" t="str">
            <v/>
          </cell>
          <cell r="AV49" t="str">
            <v/>
          </cell>
          <cell r="AW49" t="str">
            <v/>
          </cell>
          <cell r="AX49" t="str">
            <v/>
          </cell>
          <cell r="AY49" t="e">
            <v>#VALUE!</v>
          </cell>
          <cell r="AZ49" t="e">
            <v>#VALUE!</v>
          </cell>
          <cell r="BA49" t="e">
            <v>#VALUE!</v>
          </cell>
          <cell r="BB49" t="e">
            <v>#VALUE!</v>
          </cell>
          <cell r="BC49" t="e">
            <v>#VALUE!</v>
          </cell>
          <cell r="BD49" t="e">
            <v>#VALUE!</v>
          </cell>
          <cell r="BE49" t="e">
            <v>#VALUE!</v>
          </cell>
          <cell r="BF49" t="str">
            <v/>
          </cell>
        </row>
        <row r="50">
          <cell r="A50" t="str">
            <v>CVN 21</v>
          </cell>
          <cell r="B50" t="b">
            <v>0</v>
          </cell>
          <cell r="C50">
            <v>39692</v>
          </cell>
          <cell r="D50">
            <v>39692</v>
          </cell>
          <cell r="E50">
            <v>6143.9</v>
          </cell>
          <cell r="F50">
            <v>7225.5</v>
          </cell>
          <cell r="G50">
            <v>7225.5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3037.5</v>
          </cell>
          <cell r="M50">
            <v>4188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21749.7</v>
          </cell>
          <cell r="S50">
            <v>35119.1</v>
          </cell>
          <cell r="T50">
            <v>7521.703946995498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3186.3002202874227</v>
          </cell>
          <cell r="Z50">
            <v>4335.4037267080748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36909.97942386831</v>
          </cell>
          <cell r="AF50">
            <v>-4776.3631687242796</v>
          </cell>
          <cell r="AG50">
            <v>32133.616255144028</v>
          </cell>
          <cell r="AH50">
            <v>28701.200000000001</v>
          </cell>
          <cell r="AI50">
            <v>-3714.1</v>
          </cell>
          <cell r="AJ50">
            <v>24987.1</v>
          </cell>
          <cell r="AK50">
            <v>-1.5228773807717588E-2</v>
          </cell>
          <cell r="AL50">
            <v>-0.129</v>
          </cell>
          <cell r="AM50">
            <v>2000</v>
          </cell>
          <cell r="AN50">
            <v>-3.41555328133758E-3</v>
          </cell>
          <cell r="AO50">
            <v>-2.7000000000000003E-2</v>
          </cell>
          <cell r="AP50">
            <v>36082.1</v>
          </cell>
          <cell r="AQ50">
            <v>2000</v>
          </cell>
          <cell r="AR50" t="str">
            <v>-</v>
          </cell>
          <cell r="AS50">
            <v>88</v>
          </cell>
          <cell r="AT50">
            <v>-688.9</v>
          </cell>
          <cell r="AU50">
            <v>-3113.2</v>
          </cell>
          <cell r="AV50" t="str">
            <v>-</v>
          </cell>
          <cell r="AW50" t="str">
            <v>-</v>
          </cell>
          <cell r="AX50">
            <v>-3714.1</v>
          </cell>
          <cell r="AY50" t="e">
            <v>#VALUE!</v>
          </cell>
          <cell r="AZ50">
            <v>113.16872427983539</v>
          </cell>
          <cell r="BA50">
            <v>-885.93106995884762</v>
          </cell>
          <cell r="BB50">
            <v>-4003.6008230452667</v>
          </cell>
          <cell r="BC50" t="e">
            <v>#VALUE!</v>
          </cell>
          <cell r="BD50" t="e">
            <v>#VALUE!</v>
          </cell>
          <cell r="BE50">
            <v>-4776.3631687242796</v>
          </cell>
          <cell r="BF50">
            <v>35119.1</v>
          </cell>
        </row>
        <row r="51">
          <cell r="A51" t="str">
            <v>CVN 68</v>
          </cell>
          <cell r="B51" t="b">
            <v>0</v>
          </cell>
          <cell r="C51">
            <v>40148</v>
          </cell>
          <cell r="D51">
            <v>40148</v>
          </cell>
          <cell r="E51">
            <v>6261.6</v>
          </cell>
          <cell r="F51">
            <v>6265.8</v>
          </cell>
          <cell r="G51">
            <v>4.2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/>
          </cell>
          <cell r="M51">
            <v>0</v>
          </cell>
          <cell r="N51">
            <v>4.2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6265.8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 t="str">
            <v/>
          </cell>
          <cell r="Z51">
            <v>0</v>
          </cell>
          <cell r="AA51">
            <v>4.3152162745299503</v>
          </cell>
          <cell r="AB51">
            <v>0</v>
          </cell>
          <cell r="AC51">
            <v>0</v>
          </cell>
          <cell r="AD51">
            <v>0</v>
          </cell>
          <cell r="AE51">
            <v>6365.5538483028358</v>
          </cell>
          <cell r="AF51">
            <v>991.33957256600092</v>
          </cell>
          <cell r="AG51">
            <v>7356.893420868837</v>
          </cell>
          <cell r="AH51">
            <v>4557.1000000000004</v>
          </cell>
          <cell r="AI51">
            <v>709.7</v>
          </cell>
          <cell r="AJ51">
            <v>5266.8</v>
          </cell>
          <cell r="AK51">
            <v>9.7112356559760915E-3</v>
          </cell>
          <cell r="AL51">
            <v>0.156</v>
          </cell>
          <cell r="AM51">
            <v>1995</v>
          </cell>
          <cell r="AN51">
            <v>8.8317861872189152E-3</v>
          </cell>
          <cell r="AO51">
            <v>0.13100000000000001</v>
          </cell>
          <cell r="AP51">
            <v>5540.8</v>
          </cell>
          <cell r="AQ51">
            <v>1995</v>
          </cell>
          <cell r="AR51" t="str">
            <v>-</v>
          </cell>
          <cell r="AS51">
            <v>-72.8</v>
          </cell>
          <cell r="AT51">
            <v>-5.3</v>
          </cell>
          <cell r="AU51">
            <v>673.1</v>
          </cell>
          <cell r="AV51">
            <v>114.7</v>
          </cell>
          <cell r="AW51" t="str">
            <v>-</v>
          </cell>
          <cell r="AX51">
            <v>709.7</v>
          </cell>
          <cell r="AY51" t="e">
            <v>#VALUE!</v>
          </cell>
          <cell r="AZ51">
            <v>-101.69018019276434</v>
          </cell>
          <cell r="BA51">
            <v>-7.4032686129347676</v>
          </cell>
          <cell r="BB51">
            <v>940.21511384271548</v>
          </cell>
          <cell r="BC51">
            <v>160.21790752898451</v>
          </cell>
          <cell r="BD51" t="e">
            <v>#VALUE!</v>
          </cell>
          <cell r="BE51">
            <v>991.33957256600092</v>
          </cell>
          <cell r="BF51">
            <v>6265.8</v>
          </cell>
        </row>
        <row r="52">
          <cell r="A52" t="str">
            <v>CVN 78</v>
          </cell>
          <cell r="B52" t="b">
            <v>1</v>
          </cell>
          <cell r="C52">
            <v>40878</v>
          </cell>
          <cell r="D52">
            <v>40878</v>
          </cell>
          <cell r="E52">
            <v>17714.400000000001</v>
          </cell>
          <cell r="F52">
            <v>17714.400000000001</v>
          </cell>
          <cell r="G52">
            <v>0</v>
          </cell>
          <cell r="H52" t="str">
            <v/>
          </cell>
          <cell r="I52" t="str">
            <v/>
          </cell>
          <cell r="J52" t="str">
            <v/>
          </cell>
          <cell r="K52" t="str">
            <v/>
          </cell>
          <cell r="L52" t="str">
            <v/>
          </cell>
          <cell r="M52">
            <v>0</v>
          </cell>
          <cell r="N52">
            <v>0</v>
          </cell>
          <cell r="O52">
            <v>0</v>
          </cell>
          <cell r="P52">
            <v>691.7</v>
          </cell>
          <cell r="Q52">
            <v>814.3</v>
          </cell>
          <cell r="R52">
            <v>23308.1</v>
          </cell>
          <cell r="S52">
            <v>42528.5</v>
          </cell>
          <cell r="T52">
            <v>0</v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>
            <v>0</v>
          </cell>
          <cell r="AA52">
            <v>0</v>
          </cell>
          <cell r="AB52">
            <v>0</v>
          </cell>
          <cell r="AC52">
            <v>691.7</v>
          </cell>
          <cell r="AD52">
            <v>801.23979140017707</v>
          </cell>
          <cell r="AE52">
            <v>36909.97942386831</v>
          </cell>
          <cell r="AF52">
            <v>-1102.3662551440329</v>
          </cell>
          <cell r="AG52">
            <v>35807.613168724274</v>
          </cell>
          <cell r="AH52">
            <v>28701.200000000001</v>
          </cell>
          <cell r="AI52">
            <v>-857.2</v>
          </cell>
          <cell r="AJ52">
            <v>27844</v>
          </cell>
          <cell r="AK52">
            <v>-2.5350486138366879E-3</v>
          </cell>
          <cell r="AL52">
            <v>-0.03</v>
          </cell>
          <cell r="AM52">
            <v>2000</v>
          </cell>
          <cell r="AN52">
            <v>1.5082299916939546E-2</v>
          </cell>
          <cell r="AO52">
            <v>0.17899999999999999</v>
          </cell>
          <cell r="AP52">
            <v>36082.1</v>
          </cell>
          <cell r="AQ52">
            <v>2000</v>
          </cell>
          <cell r="AR52" t="str">
            <v>-</v>
          </cell>
          <cell r="AS52">
            <v>120.2</v>
          </cell>
          <cell r="AT52">
            <v>-185.9</v>
          </cell>
          <cell r="AU52">
            <v>-791.5</v>
          </cell>
          <cell r="AV52" t="str">
            <v>-</v>
          </cell>
          <cell r="AW52" t="str">
            <v>-</v>
          </cell>
          <cell r="AX52">
            <v>-857.2</v>
          </cell>
          <cell r="AY52" t="e">
            <v>#VALUE!</v>
          </cell>
          <cell r="AZ52">
            <v>154.57818930041151</v>
          </cell>
          <cell r="BA52">
            <v>-239.06893004115224</v>
          </cell>
          <cell r="BB52">
            <v>-1017.8755144032921</v>
          </cell>
          <cell r="BC52" t="e">
            <v>#VALUE!</v>
          </cell>
          <cell r="BD52" t="e">
            <v>#VALUE!</v>
          </cell>
          <cell r="BE52">
            <v>-1102.3662551440329</v>
          </cell>
          <cell r="BF52">
            <v>42528.5</v>
          </cell>
        </row>
        <row r="53">
          <cell r="A53" t="str">
            <v>DDG 1000</v>
          </cell>
          <cell r="B53" t="b">
            <v>1</v>
          </cell>
          <cell r="C53">
            <v>40878</v>
          </cell>
          <cell r="D53">
            <v>40878</v>
          </cell>
          <cell r="E53">
            <v>18089.8</v>
          </cell>
          <cell r="F53">
            <v>18089.8</v>
          </cell>
          <cell r="G53">
            <v>0</v>
          </cell>
          <cell r="H53" t="str">
            <v/>
          </cell>
          <cell r="I53">
            <v>0</v>
          </cell>
          <cell r="J53">
            <v>0</v>
          </cell>
          <cell r="K53">
            <v>0</v>
          </cell>
          <cell r="L53" t="str">
            <v/>
          </cell>
          <cell r="M53">
            <v>0</v>
          </cell>
          <cell r="N53">
            <v>0</v>
          </cell>
          <cell r="O53">
            <v>0</v>
          </cell>
          <cell r="P53">
            <v>716.1</v>
          </cell>
          <cell r="Q53">
            <v>803.9</v>
          </cell>
          <cell r="R53">
            <v>1419.9</v>
          </cell>
          <cell r="S53">
            <v>21029.7</v>
          </cell>
          <cell r="T53">
            <v>0</v>
          </cell>
          <cell r="U53" t="str">
            <v/>
          </cell>
          <cell r="V53">
            <v>0</v>
          </cell>
          <cell r="W53">
            <v>0</v>
          </cell>
          <cell r="X53">
            <v>0</v>
          </cell>
          <cell r="Y53" t="str">
            <v/>
          </cell>
          <cell r="Z53">
            <v>0</v>
          </cell>
          <cell r="AA53">
            <v>0</v>
          </cell>
          <cell r="AB53">
            <v>0</v>
          </cell>
          <cell r="AC53">
            <v>716.1</v>
          </cell>
          <cell r="AD53">
            <v>791.00659254157233</v>
          </cell>
          <cell r="AE53">
            <v>36067.108722990743</v>
          </cell>
          <cell r="AF53">
            <v>-15131.130673373729</v>
          </cell>
          <cell r="AG53">
            <v>20935.978049617013</v>
          </cell>
          <cell r="AH53">
            <v>31547.9</v>
          </cell>
          <cell r="AI53">
            <v>-13235.2</v>
          </cell>
          <cell r="AJ53">
            <v>18312.7</v>
          </cell>
          <cell r="AK53">
            <v>1.1455830874759876E-2</v>
          </cell>
          <cell r="AL53">
            <v>8.3000000000000004E-2</v>
          </cell>
          <cell r="AM53">
            <v>2005</v>
          </cell>
          <cell r="AN53">
            <v>3.3979355402073086E-2</v>
          </cell>
          <cell r="AO53">
            <v>0.222</v>
          </cell>
          <cell r="AP53">
            <v>36296.300000000003</v>
          </cell>
          <cell r="AQ53">
            <v>2005</v>
          </cell>
          <cell r="AR53">
            <v>-14646</v>
          </cell>
          <cell r="AS53">
            <v>63.8</v>
          </cell>
          <cell r="AT53">
            <v>15.9</v>
          </cell>
          <cell r="AU53">
            <v>1331.1</v>
          </cell>
          <cell r="AV53" t="str">
            <v>-</v>
          </cell>
          <cell r="AW53" t="str">
            <v>-</v>
          </cell>
          <cell r="AX53">
            <v>-13235.2</v>
          </cell>
          <cell r="AY53">
            <v>-16744.026523379445</v>
          </cell>
          <cell r="AZ53">
            <v>72.939293472047552</v>
          </cell>
          <cell r="BA53">
            <v>18.177660912312792</v>
          </cell>
          <cell r="BB53">
            <v>1521.7788956213558</v>
          </cell>
          <cell r="BC53" t="e">
            <v>#VALUE!</v>
          </cell>
          <cell r="BD53" t="e">
            <v>#VALUE!</v>
          </cell>
          <cell r="BE53">
            <v>-15131.130673373729</v>
          </cell>
          <cell r="BF53">
            <v>21029.7</v>
          </cell>
        </row>
        <row r="54">
          <cell r="A54" t="str">
            <v>DDG 1000 (RDT&amp;E)</v>
          </cell>
          <cell r="B54" t="b">
            <v>0</v>
          </cell>
          <cell r="C54">
            <v>38322</v>
          </cell>
          <cell r="D54">
            <v>38322</v>
          </cell>
          <cell r="E54">
            <v>4653</v>
          </cell>
          <cell r="F54">
            <v>1878.8000000000002</v>
          </cell>
          <cell r="G54">
            <v>1878.8000000000002</v>
          </cell>
          <cell r="H54">
            <v>0</v>
          </cell>
          <cell r="I54">
            <v>0</v>
          </cell>
          <cell r="J54">
            <v>1084.7</v>
          </cell>
          <cell r="K54">
            <v>794.1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1529</v>
          </cell>
          <cell r="S54">
            <v>8060.8</v>
          </cell>
          <cell r="T54">
            <v>2051.0910384138974</v>
          </cell>
          <cell r="U54">
            <v>0</v>
          </cell>
          <cell r="V54">
            <v>0</v>
          </cell>
          <cell r="W54">
            <v>1198.9609815408423</v>
          </cell>
          <cell r="X54">
            <v>852.13005687305508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2403.7275592709334</v>
          </cell>
          <cell r="AF54">
            <v>7230.6427298889948</v>
          </cell>
          <cell r="AG54">
            <v>9634.3702891599278</v>
          </cell>
          <cell r="AH54">
            <v>1754</v>
          </cell>
          <cell r="AI54">
            <v>5276.2</v>
          </cell>
          <cell r="AJ54">
            <v>7030.2</v>
          </cell>
          <cell r="AK54">
            <v>0.17882911535853374</v>
          </cell>
          <cell r="AL54">
            <v>3.3960000000000004</v>
          </cell>
          <cell r="AM54">
            <v>1996</v>
          </cell>
          <cell r="AN54">
            <v>0.19853496185348796</v>
          </cell>
          <cell r="AO54">
            <v>3.258</v>
          </cell>
          <cell r="AP54">
            <v>2089</v>
          </cell>
          <cell r="AQ54">
            <v>1996</v>
          </cell>
          <cell r="AR54">
            <v>-154.9</v>
          </cell>
          <cell r="AS54" t="str">
            <v xml:space="preserve">- </v>
          </cell>
          <cell r="AT54">
            <v>2883.7</v>
          </cell>
          <cell r="AU54">
            <v>2547.4</v>
          </cell>
          <cell r="AV54" t="str">
            <v xml:space="preserve">- </v>
          </cell>
          <cell r="AW54" t="str">
            <v xml:space="preserve">- </v>
          </cell>
          <cell r="AX54">
            <v>5276.2</v>
          </cell>
          <cell r="AY54">
            <v>-212.27901877483899</v>
          </cell>
          <cell r="AZ54" t="e">
            <v>#VALUE!</v>
          </cell>
          <cell r="BA54">
            <v>3951.8980402905299</v>
          </cell>
          <cell r="BB54">
            <v>3491.0237083733041</v>
          </cell>
          <cell r="BC54" t="e">
            <v>#VALUE!</v>
          </cell>
          <cell r="BD54" t="e">
            <v>#VALUE!</v>
          </cell>
          <cell r="BE54">
            <v>7230.6427298889948</v>
          </cell>
          <cell r="BF54">
            <v>8060.8</v>
          </cell>
        </row>
        <row r="55">
          <cell r="A55" t="str">
            <v>DDG 51</v>
          </cell>
          <cell r="B55" t="b">
            <v>1</v>
          </cell>
          <cell r="C55">
            <v>40878</v>
          </cell>
          <cell r="D55">
            <v>40878</v>
          </cell>
          <cell r="E55">
            <v>67772.100000000006</v>
          </cell>
          <cell r="F55">
            <v>67772.100000000006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 t="str">
            <v/>
          </cell>
          <cell r="M55">
            <v>0</v>
          </cell>
          <cell r="N55">
            <v>0</v>
          </cell>
          <cell r="O55">
            <v>0</v>
          </cell>
          <cell r="P55">
            <v>2167.3000000000002</v>
          </cell>
          <cell r="Q55">
            <v>3600</v>
          </cell>
          <cell r="R55">
            <v>13798.2</v>
          </cell>
          <cell r="S55">
            <v>87337.600000000006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 t="str">
            <v/>
          </cell>
          <cell r="Z55">
            <v>0</v>
          </cell>
          <cell r="AA55">
            <v>0</v>
          </cell>
          <cell r="AB55">
            <v>0</v>
          </cell>
          <cell r="AC55">
            <v>2167.3000000000002</v>
          </cell>
          <cell r="AD55">
            <v>3542.2611433631801</v>
          </cell>
          <cell r="AE55">
            <v>29879.626365879452</v>
          </cell>
          <cell r="AF55">
            <v>74522.911526260141</v>
          </cell>
          <cell r="AG55">
            <v>104402.53789213957</v>
          </cell>
          <cell r="AH55">
            <v>16953.7</v>
          </cell>
          <cell r="AI55">
            <v>42284.3</v>
          </cell>
          <cell r="AJ55">
            <v>59238</v>
          </cell>
          <cell r="AK55">
            <v>8.1177389718314341E-3</v>
          </cell>
          <cell r="AL55">
            <v>0.22399999999999998</v>
          </cell>
          <cell r="AM55">
            <v>1987</v>
          </cell>
          <cell r="AN55">
            <v>8.8674330933466994E-3</v>
          </cell>
          <cell r="AO55">
            <v>0.23600000000000002</v>
          </cell>
          <cell r="AP55">
            <v>20117.5</v>
          </cell>
          <cell r="AQ55">
            <v>1987</v>
          </cell>
          <cell r="AR55">
            <v>31444.9</v>
          </cell>
          <cell r="AS55">
            <v>363.8</v>
          </cell>
          <cell r="AT55">
            <v>3087.3</v>
          </cell>
          <cell r="AU55">
            <v>7388.3</v>
          </cell>
          <cell r="AV55" t="str">
            <v>-</v>
          </cell>
          <cell r="AW55" t="str">
            <v>-</v>
          </cell>
          <cell r="AX55">
            <v>42284.3</v>
          </cell>
          <cell r="AY55">
            <v>55419.280930560453</v>
          </cell>
          <cell r="AZ55">
            <v>641.17025026436374</v>
          </cell>
          <cell r="BA55">
            <v>5441.1350017624254</v>
          </cell>
          <cell r="BB55">
            <v>13021.325343672894</v>
          </cell>
          <cell r="BC55" t="e">
            <v>#VALUE!</v>
          </cell>
          <cell r="BD55" t="e">
            <v>#VALUE!</v>
          </cell>
          <cell r="BE55">
            <v>74522.911526260141</v>
          </cell>
          <cell r="BF55">
            <v>87337.600000000006</v>
          </cell>
        </row>
        <row r="56">
          <cell r="A56" t="str">
            <v>DIMHRS</v>
          </cell>
          <cell r="B56" t="b">
            <v>0</v>
          </cell>
          <cell r="C56">
            <v>39417</v>
          </cell>
          <cell r="D56">
            <v>39417</v>
          </cell>
          <cell r="E56">
            <v>651.29999999999995</v>
          </cell>
          <cell r="F56">
            <v>167.6</v>
          </cell>
          <cell r="G56">
            <v>167.6</v>
          </cell>
          <cell r="H56" t="str">
            <v/>
          </cell>
          <cell r="I56" t="str">
            <v/>
          </cell>
          <cell r="J56" t="str">
            <v/>
          </cell>
          <cell r="K56">
            <v>0</v>
          </cell>
          <cell r="L56">
            <v>104.2</v>
          </cell>
          <cell r="M56">
            <v>63.4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 t="str">
            <v>-</v>
          </cell>
          <cell r="S56">
            <v>818.9</v>
          </cell>
          <cell r="T56">
            <v>174.93599111639878</v>
          </cell>
          <cell r="U56" t="str">
            <v/>
          </cell>
          <cell r="V56" t="str">
            <v/>
          </cell>
          <cell r="W56" t="str">
            <v/>
          </cell>
          <cell r="X56">
            <v>0</v>
          </cell>
          <cell r="Y56">
            <v>109.3045211371027</v>
          </cell>
          <cell r="Z56">
            <v>65.631469979296071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1016.739993561541</v>
          </cell>
          <cell r="AF56">
            <v>-104.41034445755983</v>
          </cell>
          <cell r="AG56">
            <v>912.32964910398118</v>
          </cell>
          <cell r="AH56">
            <v>947.5</v>
          </cell>
          <cell r="AI56">
            <v>-97.3</v>
          </cell>
          <cell r="AJ56">
            <v>850.2</v>
          </cell>
          <cell r="AK56">
            <v>-0.10299999999999998</v>
          </cell>
          <cell r="AL56">
            <v>-0.10300000000000001</v>
          </cell>
          <cell r="AM56">
            <v>2007</v>
          </cell>
          <cell r="AN56">
            <v>-0.11199999999999999</v>
          </cell>
          <cell r="AO56">
            <v>-0.11199999999999999</v>
          </cell>
          <cell r="AP56">
            <v>922.3</v>
          </cell>
          <cell r="AQ56">
            <v>2007</v>
          </cell>
          <cell r="AR56" t="str">
            <v>-</v>
          </cell>
          <cell r="AS56" t="str">
            <v>-</v>
          </cell>
          <cell r="AT56" t="str">
            <v>-</v>
          </cell>
          <cell r="AU56">
            <v>15.6</v>
          </cell>
          <cell r="AV56" t="str">
            <v>-</v>
          </cell>
          <cell r="AW56">
            <v>-112.9</v>
          </cell>
          <cell r="AX56">
            <v>-97.3</v>
          </cell>
          <cell r="AY56" t="e">
            <v>#VALUE!</v>
          </cell>
          <cell r="AZ56" t="e">
            <v>#VALUE!</v>
          </cell>
          <cell r="BA56" t="e">
            <v>#VALUE!</v>
          </cell>
          <cell r="BB56">
            <v>16.739993561540938</v>
          </cell>
          <cell r="BC56" t="e">
            <v>#VALUE!</v>
          </cell>
          <cell r="BD56">
            <v>-121.15033801910077</v>
          </cell>
          <cell r="BE56">
            <v>-104.41034445755983</v>
          </cell>
          <cell r="BF56">
            <v>818.9</v>
          </cell>
        </row>
        <row r="57">
          <cell r="A57" t="str">
            <v>DON-LAIRCM</v>
          </cell>
          <cell r="B57" t="b">
            <v>0</v>
          </cell>
          <cell r="C57" t="str">
            <v/>
          </cell>
          <cell r="D57" t="str">
            <v/>
          </cell>
          <cell r="E57" t="str">
            <v/>
          </cell>
          <cell r="F57" t="e">
            <v>#VALUE!</v>
          </cell>
          <cell r="G57">
            <v>0</v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  <cell r="L57" t="str">
            <v/>
          </cell>
          <cell r="M57" t="str">
            <v/>
          </cell>
          <cell r="N57" t="str">
            <v/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>
            <v>0</v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 t="str">
            <v/>
          </cell>
          <cell r="AD57" t="str">
            <v/>
          </cell>
          <cell r="AE57" t="e">
            <v>#VALUE!</v>
          </cell>
          <cell r="AF57" t="e">
            <v>#VALUE!</v>
          </cell>
          <cell r="AG57" t="e">
            <v>#VALUE!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 t="str">
            <v/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 t="str">
            <v/>
          </cell>
          <cell r="AT57" t="str">
            <v/>
          </cell>
          <cell r="AU57" t="str">
            <v/>
          </cell>
          <cell r="AV57" t="str">
            <v/>
          </cell>
          <cell r="AW57" t="str">
            <v/>
          </cell>
          <cell r="AX57" t="str">
            <v/>
          </cell>
          <cell r="AY57" t="e">
            <v>#VALUE!</v>
          </cell>
          <cell r="AZ57" t="e">
            <v>#VALUE!</v>
          </cell>
          <cell r="BA57" t="e">
            <v>#VALUE!</v>
          </cell>
          <cell r="BB57" t="e">
            <v>#VALUE!</v>
          </cell>
          <cell r="BC57" t="e">
            <v>#VALUE!</v>
          </cell>
          <cell r="BD57" t="e">
            <v>#VALUE!</v>
          </cell>
          <cell r="BE57" t="e">
            <v>#VALUE!</v>
          </cell>
          <cell r="BF57" t="str">
            <v/>
          </cell>
        </row>
        <row r="58">
          <cell r="A58" t="str">
            <v>E-2C REPRODUCTION</v>
          </cell>
          <cell r="B58" t="b">
            <v>0</v>
          </cell>
          <cell r="C58">
            <v>39052</v>
          </cell>
          <cell r="D58">
            <v>39052</v>
          </cell>
          <cell r="E58">
            <v>4345.8</v>
          </cell>
          <cell r="F58">
            <v>4.0999999999999996</v>
          </cell>
          <cell r="G58">
            <v>4.0999999999999996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1.8</v>
          </cell>
          <cell r="M58">
            <v>2.2999999999999998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8.4</v>
          </cell>
          <cell r="S58">
            <v>4358.3</v>
          </cell>
          <cell r="T58">
            <v>4.2691302892708531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1.8881779083184727</v>
          </cell>
          <cell r="Z58">
            <v>2.3809523809523809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3748.5021398002855</v>
          </cell>
          <cell r="AF58">
            <v>1765.7631954350927</v>
          </cell>
          <cell r="AG58">
            <v>5514.2653352353782</v>
          </cell>
          <cell r="AH58">
            <v>2627.7</v>
          </cell>
          <cell r="AI58">
            <v>1237.8</v>
          </cell>
          <cell r="AJ58">
            <v>3865.5</v>
          </cell>
          <cell r="AK58">
            <v>1.6999453014768351E-2</v>
          </cell>
          <cell r="AL58">
            <v>0.245</v>
          </cell>
          <cell r="AM58">
            <v>1994</v>
          </cell>
          <cell r="AN58">
            <v>1.2226679466870394E-2</v>
          </cell>
          <cell r="AO58">
            <v>0.157</v>
          </cell>
          <cell r="AP58">
            <v>3187.9</v>
          </cell>
          <cell r="AQ58">
            <v>1994</v>
          </cell>
          <cell r="AR58">
            <v>477.3</v>
          </cell>
          <cell r="AS58">
            <v>50.4</v>
          </cell>
          <cell r="AT58">
            <v>306.10000000000002</v>
          </cell>
          <cell r="AU58">
            <v>102.1</v>
          </cell>
          <cell r="AV58" t="str">
            <v>-</v>
          </cell>
          <cell r="AW58">
            <v>301.89999999999998</v>
          </cell>
          <cell r="AX58">
            <v>1237.8</v>
          </cell>
          <cell r="AY58">
            <v>680.88445078459347</v>
          </cell>
          <cell r="AZ58">
            <v>71.897289586305277</v>
          </cell>
          <cell r="BA58">
            <v>436.66191155492157</v>
          </cell>
          <cell r="BB58">
            <v>145.64907275320971</v>
          </cell>
          <cell r="BC58" t="e">
            <v>#VALUE!</v>
          </cell>
          <cell r="BD58">
            <v>430.67047075606274</v>
          </cell>
          <cell r="BE58">
            <v>1765.7631954350927</v>
          </cell>
          <cell r="BF58">
            <v>4358.3</v>
          </cell>
        </row>
        <row r="59">
          <cell r="A59" t="str">
            <v>E-2D AHE</v>
          </cell>
          <cell r="B59" t="b">
            <v>1</v>
          </cell>
          <cell r="C59">
            <v>40878</v>
          </cell>
          <cell r="D59">
            <v>40878</v>
          </cell>
          <cell r="E59">
            <v>6391</v>
          </cell>
          <cell r="F59">
            <v>6391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 t="str">
            <v/>
          </cell>
          <cell r="M59">
            <v>0</v>
          </cell>
          <cell r="N59">
            <v>0</v>
          </cell>
          <cell r="O59">
            <v>0</v>
          </cell>
          <cell r="P59">
            <v>1201.2</v>
          </cell>
          <cell r="Q59">
            <v>1159.2</v>
          </cell>
          <cell r="R59">
            <v>11985.8</v>
          </cell>
          <cell r="S59">
            <v>20737.2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 t="str">
            <v/>
          </cell>
          <cell r="Z59">
            <v>0</v>
          </cell>
          <cell r="AA59">
            <v>0</v>
          </cell>
          <cell r="AB59">
            <v>0</v>
          </cell>
          <cell r="AC59">
            <v>1201.2</v>
          </cell>
          <cell r="AD59">
            <v>1140.6080881629441</v>
          </cell>
          <cell r="AE59">
            <v>18083.436853002069</v>
          </cell>
          <cell r="AF59">
            <v>1287.3706004140786</v>
          </cell>
          <cell r="AG59">
            <v>19370.80745341615</v>
          </cell>
          <cell r="AH59">
            <v>17468.599999999999</v>
          </cell>
          <cell r="AI59">
            <v>1243.5999999999999</v>
          </cell>
          <cell r="AJ59">
            <v>18712.2</v>
          </cell>
          <cell r="AK59">
            <v>2.3127654683995136E-2</v>
          </cell>
          <cell r="AL59">
            <v>7.0999999999999994E-2</v>
          </cell>
          <cell r="AM59">
            <v>2009</v>
          </cell>
          <cell r="AN59">
            <v>4.4030650891055068E-2</v>
          </cell>
          <cell r="AO59">
            <v>0.09</v>
          </cell>
          <cell r="AP59">
            <v>19031.400000000001</v>
          </cell>
          <cell r="AQ59">
            <v>2009</v>
          </cell>
          <cell r="AR59" t="str">
            <v>-</v>
          </cell>
          <cell r="AS59">
            <v>519.79999999999995</v>
          </cell>
          <cell r="AT59">
            <v>344.1</v>
          </cell>
          <cell r="AU59">
            <v>89.1</v>
          </cell>
          <cell r="AV59" t="str">
            <v>-</v>
          </cell>
          <cell r="AW59">
            <v>290.60000000000002</v>
          </cell>
          <cell r="AX59">
            <v>1243.5999999999999</v>
          </cell>
          <cell r="AY59" t="e">
            <v>#VALUE!</v>
          </cell>
          <cell r="AZ59">
            <v>538.09523809523807</v>
          </cell>
          <cell r="BA59">
            <v>356.21118012422363</v>
          </cell>
          <cell r="BB59">
            <v>92.23602484472049</v>
          </cell>
          <cell r="BC59" t="e">
            <v>#VALUE!</v>
          </cell>
          <cell r="BD59">
            <v>300.82815734989651</v>
          </cell>
          <cell r="BE59">
            <v>1287.3706004140786</v>
          </cell>
          <cell r="BF59">
            <v>20737.2</v>
          </cell>
        </row>
        <row r="60">
          <cell r="A60" t="str">
            <v>E-8 JSTARS</v>
          </cell>
          <cell r="B60" t="b">
            <v>0</v>
          </cell>
          <cell r="C60">
            <v>37956</v>
          </cell>
          <cell r="D60">
            <v>37956</v>
          </cell>
          <cell r="E60">
            <v>8923.7999999999993</v>
          </cell>
          <cell r="F60">
            <v>247.1</v>
          </cell>
          <cell r="G60">
            <v>247.1</v>
          </cell>
          <cell r="H60">
            <v>104.4</v>
          </cell>
          <cell r="I60">
            <v>142.69999999999999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471.1</v>
          </cell>
          <cell r="S60">
            <v>9642</v>
          </cell>
          <cell r="T60">
            <v>286.38565753700846</v>
          </cell>
          <cell r="U60">
            <v>123.2440089717861</v>
          </cell>
          <cell r="V60">
            <v>163.14164856522234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13199.069767441861</v>
          </cell>
          <cell r="AF60">
            <v>43.056478405315616</v>
          </cell>
          <cell r="AG60">
            <v>13242.126245847177</v>
          </cell>
          <cell r="AH60">
            <v>9932.2999999999993</v>
          </cell>
          <cell r="AI60">
            <v>32.4</v>
          </cell>
          <cell r="AJ60">
            <v>9964.7000000000007</v>
          </cell>
          <cell r="AK60">
            <v>8.4846446694681887E-3</v>
          </cell>
          <cell r="AL60">
            <v>5.2000000000000005E-2</v>
          </cell>
          <cell r="AM60">
            <v>1998</v>
          </cell>
          <cell r="AN60">
            <v>1.0382171221114733E-2</v>
          </cell>
          <cell r="AO60">
            <v>5.2999999999999999E-2</v>
          </cell>
          <cell r="AP60">
            <v>9762.1</v>
          </cell>
          <cell r="AQ60">
            <v>1998</v>
          </cell>
          <cell r="AR60">
            <v>-463.6</v>
          </cell>
          <cell r="AS60">
            <v>-7.9</v>
          </cell>
          <cell r="AT60">
            <v>562.79999999999995</v>
          </cell>
          <cell r="AU60">
            <v>-370.4</v>
          </cell>
          <cell r="AV60" t="str">
            <v>-</v>
          </cell>
          <cell r="AW60">
            <v>311.5</v>
          </cell>
          <cell r="AX60">
            <v>32.4</v>
          </cell>
          <cell r="AY60">
            <v>-616.0797342192692</v>
          </cell>
          <cell r="AZ60">
            <v>-10.498338870431894</v>
          </cell>
          <cell r="BA60">
            <v>747.90697674418607</v>
          </cell>
          <cell r="BB60">
            <v>-492.22591362126246</v>
          </cell>
          <cell r="BC60" t="e">
            <v>#VALUE!</v>
          </cell>
          <cell r="BD60">
            <v>413.95348837209303</v>
          </cell>
          <cell r="BE60">
            <v>43.056478405315616</v>
          </cell>
          <cell r="BF60">
            <v>9642</v>
          </cell>
        </row>
        <row r="61">
          <cell r="A61" t="str">
            <v>EA-18G</v>
          </cell>
          <cell r="B61" t="b">
            <v>1</v>
          </cell>
          <cell r="C61">
            <v>40878</v>
          </cell>
          <cell r="D61">
            <v>40878</v>
          </cell>
          <cell r="E61">
            <v>8852</v>
          </cell>
          <cell r="F61">
            <v>8852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 t="str">
            <v/>
          </cell>
          <cell r="M61">
            <v>0</v>
          </cell>
          <cell r="N61">
            <v>0</v>
          </cell>
          <cell r="O61">
            <v>0</v>
          </cell>
          <cell r="P61">
            <v>1039.9000000000001</v>
          </cell>
          <cell r="Q61">
            <v>1074.5999999999999</v>
          </cell>
          <cell r="R61">
            <v>93.8</v>
          </cell>
          <cell r="S61">
            <v>11060.3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 t="str">
            <v/>
          </cell>
          <cell r="Z61">
            <v>0</v>
          </cell>
          <cell r="AA61">
            <v>0</v>
          </cell>
          <cell r="AB61">
            <v>0</v>
          </cell>
          <cell r="AC61">
            <v>1039.9000000000001</v>
          </cell>
          <cell r="AD61">
            <v>1057.3649512939091</v>
          </cell>
          <cell r="AE61">
            <v>8890.095620351789</v>
          </cell>
          <cell r="AF61">
            <v>2399.5986306221225</v>
          </cell>
          <cell r="AG61">
            <v>11289.694250973911</v>
          </cell>
          <cell r="AH61">
            <v>7530.8</v>
          </cell>
          <cell r="AI61">
            <v>2032.7</v>
          </cell>
          <cell r="AJ61">
            <v>9563.5</v>
          </cell>
          <cell r="AK61">
            <v>3.4578605328483558E-3</v>
          </cell>
          <cell r="AL61">
            <v>2.7999999999999997E-2</v>
          </cell>
          <cell r="AM61">
            <v>2004</v>
          </cell>
          <cell r="AN61">
            <v>3.8132421130576688E-3</v>
          </cell>
          <cell r="AO61">
            <v>2.7000000000000003E-2</v>
          </cell>
          <cell r="AP61">
            <v>8636.4</v>
          </cell>
          <cell r="AQ61">
            <v>2004</v>
          </cell>
          <cell r="AR61">
            <v>1774.7</v>
          </cell>
          <cell r="AS61">
            <v>-1</v>
          </cell>
          <cell r="AT61" t="str">
            <v>-</v>
          </cell>
          <cell r="AU61">
            <v>-94.1</v>
          </cell>
          <cell r="AV61" t="str">
            <v>-</v>
          </cell>
          <cell r="AW61">
            <v>353.1</v>
          </cell>
          <cell r="AX61">
            <v>2032.7</v>
          </cell>
          <cell r="AY61">
            <v>2095.0301027033411</v>
          </cell>
          <cell r="AZ61">
            <v>-1.1804981702278361</v>
          </cell>
          <cell r="BA61" t="e">
            <v>#VALUE!</v>
          </cell>
          <cell r="BB61">
            <v>-111.08487781843938</v>
          </cell>
          <cell r="BC61" t="e">
            <v>#VALUE!</v>
          </cell>
          <cell r="BD61">
            <v>416.83390390744898</v>
          </cell>
          <cell r="BE61">
            <v>2399.5986306221225</v>
          </cell>
          <cell r="BF61">
            <v>11060.3</v>
          </cell>
        </row>
        <row r="62">
          <cell r="A62" t="str">
            <v>EA-6B ICAP III</v>
          </cell>
          <cell r="B62" t="b">
            <v>0</v>
          </cell>
          <cell r="C62">
            <v>40148</v>
          </cell>
          <cell r="D62">
            <v>40148</v>
          </cell>
          <cell r="E62">
            <v>1022.1</v>
          </cell>
          <cell r="F62">
            <v>1035.9000000000001</v>
          </cell>
          <cell r="G62">
            <v>13.8</v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>
            <v>0</v>
          </cell>
          <cell r="N62">
            <v>13.8</v>
          </cell>
          <cell r="O62">
            <v>17.399999999999999</v>
          </cell>
          <cell r="P62">
            <v>0</v>
          </cell>
          <cell r="Q62">
            <v>0</v>
          </cell>
          <cell r="R62">
            <v>12.7</v>
          </cell>
          <cell r="S62">
            <v>1066</v>
          </cell>
          <cell r="T62">
            <v>0</v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>
            <v>0</v>
          </cell>
          <cell r="AA62">
            <v>14.178567759169836</v>
          </cell>
          <cell r="AB62">
            <v>17.641691169015512</v>
          </cell>
          <cell r="AC62">
            <v>0</v>
          </cell>
          <cell r="AD62">
            <v>0</v>
          </cell>
          <cell r="AE62">
            <v>1185.4610301059477</v>
          </cell>
          <cell r="AF62">
            <v>16.783803629497534</v>
          </cell>
          <cell r="AG62">
            <v>1202.2448337354451</v>
          </cell>
          <cell r="AH62">
            <v>1130.0999999999999</v>
          </cell>
          <cell r="AI62">
            <v>16</v>
          </cell>
          <cell r="AJ62">
            <v>1146.0999999999999</v>
          </cell>
          <cell r="AK62">
            <v>1.587400793602356E-2</v>
          </cell>
          <cell r="AL62">
            <v>3.2000000000000001E-2</v>
          </cell>
          <cell r="AM62">
            <v>2008</v>
          </cell>
          <cell r="AN62">
            <v>3.2000000000000028E-2</v>
          </cell>
          <cell r="AO62">
            <v>3.2000000000000001E-2</v>
          </cell>
          <cell r="AP62">
            <v>1053.8</v>
          </cell>
          <cell r="AQ62">
            <v>2008</v>
          </cell>
          <cell r="AR62">
            <v>-20</v>
          </cell>
          <cell r="AS62" t="str">
            <v>-</v>
          </cell>
          <cell r="AT62">
            <v>37.9</v>
          </cell>
          <cell r="AU62">
            <v>27.4</v>
          </cell>
          <cell r="AV62" t="str">
            <v>-</v>
          </cell>
          <cell r="AW62">
            <v>-29.3</v>
          </cell>
          <cell r="AX62">
            <v>16</v>
          </cell>
          <cell r="AY62">
            <v>-20.979754536871919</v>
          </cell>
          <cell r="AZ62" t="e">
            <v>#VALUE!</v>
          </cell>
          <cell r="BA62">
            <v>39.756634847372283</v>
          </cell>
          <cell r="BB62">
            <v>28.742263715514525</v>
          </cell>
          <cell r="BC62" t="e">
            <v>#VALUE!</v>
          </cell>
          <cell r="BD62">
            <v>-30.735340396517362</v>
          </cell>
          <cell r="BE62">
            <v>16.783803629497534</v>
          </cell>
          <cell r="BF62">
            <v>1066</v>
          </cell>
        </row>
        <row r="63">
          <cell r="A63" t="str">
            <v>EELV</v>
          </cell>
          <cell r="B63" t="b">
            <v>0</v>
          </cell>
          <cell r="C63">
            <v>39052</v>
          </cell>
          <cell r="D63">
            <v>39052</v>
          </cell>
          <cell r="E63">
            <v>6620.4</v>
          </cell>
          <cell r="F63">
            <v>3754.4</v>
          </cell>
          <cell r="G63">
            <v>3754.4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1626.1</v>
          </cell>
          <cell r="M63">
            <v>2128.3000000000002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25354.1</v>
          </cell>
          <cell r="S63">
            <v>35728.9</v>
          </cell>
          <cell r="T63">
            <v>3908.9680523512202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1705.7589426203713</v>
          </cell>
          <cell r="Z63">
            <v>2203.2091097308489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18321.832658192485</v>
          </cell>
          <cell r="AF63">
            <v>17521.581226428272</v>
          </cell>
          <cell r="AG63">
            <v>35843.413884620757</v>
          </cell>
          <cell r="AH63">
            <v>13116.6</v>
          </cell>
          <cell r="AI63">
            <v>12543.7</v>
          </cell>
          <cell r="AJ63">
            <v>25660.3</v>
          </cell>
          <cell r="AK63">
            <v>9.2308931550762585E-2</v>
          </cell>
          <cell r="AL63">
            <v>1.885</v>
          </cell>
          <cell r="AM63">
            <v>1995</v>
          </cell>
          <cell r="AN63">
            <v>0.10968716246594634</v>
          </cell>
          <cell r="AO63">
            <v>2.1419999999999999</v>
          </cell>
          <cell r="AP63">
            <v>17347.8</v>
          </cell>
          <cell r="AQ63">
            <v>1995</v>
          </cell>
          <cell r="AR63">
            <v>-4223.7</v>
          </cell>
          <cell r="AS63">
            <v>-155.6</v>
          </cell>
          <cell r="AT63">
            <v>25</v>
          </cell>
          <cell r="AU63">
            <v>16886</v>
          </cell>
          <cell r="AV63">
            <v>12</v>
          </cell>
          <cell r="AW63" t="str">
            <v>-</v>
          </cell>
          <cell r="AX63">
            <v>12543.7</v>
          </cell>
          <cell r="AY63">
            <v>-5899.846347255203</v>
          </cell>
          <cell r="AZ63">
            <v>-217.34879173068865</v>
          </cell>
          <cell r="BA63">
            <v>34.921078362899848</v>
          </cell>
          <cell r="BB63">
            <v>23587.093169437074</v>
          </cell>
          <cell r="BC63">
            <v>16.762117614191926</v>
          </cell>
          <cell r="BD63" t="e">
            <v>#VALUE!</v>
          </cell>
          <cell r="BE63">
            <v>17521.581226428272</v>
          </cell>
          <cell r="BF63">
            <v>35728.9</v>
          </cell>
        </row>
        <row r="64">
          <cell r="A64" t="str">
            <v>EFV</v>
          </cell>
          <cell r="B64" t="b">
            <v>0</v>
          </cell>
          <cell r="C64">
            <v>40513</v>
          </cell>
          <cell r="D64">
            <v>40513</v>
          </cell>
          <cell r="E64">
            <v>3329.6</v>
          </cell>
          <cell r="F64">
            <v>3329.6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 t="str">
            <v/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3329.6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 t="str">
            <v/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9113.8534177486872</v>
          </cell>
          <cell r="AF64">
            <v>-5419.6802231999145</v>
          </cell>
          <cell r="AG64">
            <v>3694.1731945487713</v>
          </cell>
          <cell r="AH64">
            <v>8493.2000000000007</v>
          </cell>
          <cell r="AI64">
            <v>-5050.6000000000004</v>
          </cell>
          <cell r="AJ64">
            <v>3442.6</v>
          </cell>
          <cell r="AK64">
            <v>0.13061049636998479</v>
          </cell>
          <cell r="AL64">
            <v>0.63400000000000001</v>
          </cell>
          <cell r="AM64">
            <v>2007</v>
          </cell>
          <cell r="AN64">
            <v>0.63802160800762286</v>
          </cell>
          <cell r="AO64">
            <v>3.395</v>
          </cell>
          <cell r="AP64">
            <v>8725.2000000000007</v>
          </cell>
          <cell r="AQ64">
            <v>2007</v>
          </cell>
          <cell r="AR64">
            <v>-6386.4</v>
          </cell>
          <cell r="AS64">
            <v>-243.2</v>
          </cell>
          <cell r="AT64">
            <v>164.4</v>
          </cell>
          <cell r="AU64">
            <v>1942.1</v>
          </cell>
          <cell r="AV64" t="str">
            <v>-</v>
          </cell>
          <cell r="AW64">
            <v>-527.5</v>
          </cell>
          <cell r="AX64">
            <v>-5050.6000000000004</v>
          </cell>
          <cell r="AY64">
            <v>-6853.0958257323746</v>
          </cell>
          <cell r="AZ64">
            <v>-260.97220731838178</v>
          </cell>
          <cell r="BA64">
            <v>176.41377830239298</v>
          </cell>
          <cell r="BB64">
            <v>2084.0218907608114</v>
          </cell>
          <cell r="BC64" t="e">
            <v>#VALUE!</v>
          </cell>
          <cell r="BD64">
            <v>-566.04785921236191</v>
          </cell>
          <cell r="BE64">
            <v>-5419.6802231999145</v>
          </cell>
          <cell r="BF64">
            <v>3329.6</v>
          </cell>
        </row>
        <row r="65">
          <cell r="A65" t="str">
            <v>E-IBCT</v>
          </cell>
          <cell r="B65" t="b">
            <v>0</v>
          </cell>
          <cell r="C65">
            <v>40513</v>
          </cell>
          <cell r="D65">
            <v>40513</v>
          </cell>
          <cell r="E65">
            <v>1182.4000000000001</v>
          </cell>
          <cell r="F65">
            <v>1182.4000000000001</v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  <cell r="L65" t="str">
            <v/>
          </cell>
          <cell r="M65" t="str">
            <v/>
          </cell>
          <cell r="N65">
            <v>0</v>
          </cell>
          <cell r="O65">
            <v>0</v>
          </cell>
          <cell r="P65">
            <v>76.7</v>
          </cell>
          <cell r="Q65">
            <v>10.5</v>
          </cell>
          <cell r="R65">
            <v>0</v>
          </cell>
          <cell r="S65">
            <v>1269.5999999999999</v>
          </cell>
          <cell r="T65">
            <v>0</v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  <cell r="Y65" t="str">
            <v/>
          </cell>
          <cell r="Z65" t="str">
            <v/>
          </cell>
          <cell r="AA65">
            <v>0</v>
          </cell>
          <cell r="AB65">
            <v>0</v>
          </cell>
          <cell r="AC65">
            <v>76.7</v>
          </cell>
          <cell r="AD65">
            <v>10.331595001475943</v>
          </cell>
          <cell r="AE65">
            <v>3235.8984896743041</v>
          </cell>
          <cell r="AF65">
            <v>-1958.2862426795439</v>
          </cell>
          <cell r="AG65">
            <v>1277.6122469947602</v>
          </cell>
          <cell r="AH65">
            <v>3149.5</v>
          </cell>
          <cell r="AI65">
            <v>-1906</v>
          </cell>
          <cell r="AJ65">
            <v>1243.5</v>
          </cell>
          <cell r="AK65">
            <v>-0.18300000000000005</v>
          </cell>
          <cell r="AL65">
            <v>-0.183</v>
          </cell>
          <cell r="AM65">
            <v>2010</v>
          </cell>
          <cell r="AN65">
            <v>-0.19500000000000006</v>
          </cell>
          <cell r="AO65">
            <v>-0.19500000000000001</v>
          </cell>
          <cell r="AP65">
            <v>3284</v>
          </cell>
          <cell r="AQ65">
            <v>2010</v>
          </cell>
          <cell r="AR65">
            <v>-786.1</v>
          </cell>
          <cell r="AS65" t="str">
            <v>-</v>
          </cell>
          <cell r="AT65" t="str">
            <v>-</v>
          </cell>
          <cell r="AU65">
            <v>-839.2</v>
          </cell>
          <cell r="AV65" t="str">
            <v>-</v>
          </cell>
          <cell r="AW65">
            <v>-280.7</v>
          </cell>
          <cell r="AX65">
            <v>-1906</v>
          </cell>
          <cell r="AY65">
            <v>-807.66464604952228</v>
          </cell>
          <cell r="AZ65" t="e">
            <v>#VALUE!</v>
          </cell>
          <cell r="BA65" t="e">
            <v>#VALUE!</v>
          </cell>
          <cell r="BB65">
            <v>-862.22130894893667</v>
          </cell>
          <cell r="BC65" t="e">
            <v>#VALUE!</v>
          </cell>
          <cell r="BD65">
            <v>-288.40028768108499</v>
          </cell>
          <cell r="BE65">
            <v>-1958.2862426795439</v>
          </cell>
          <cell r="BF65">
            <v>1269.5999999999999</v>
          </cell>
        </row>
        <row r="66">
          <cell r="A66" t="str">
            <v>ER/MP UAS</v>
          </cell>
          <cell r="B66" t="b">
            <v>0</v>
          </cell>
          <cell r="C66" t="str">
            <v/>
          </cell>
          <cell r="D66" t="str">
            <v/>
          </cell>
          <cell r="E66" t="str">
            <v/>
          </cell>
          <cell r="F66" t="e">
            <v>#VALUE!</v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  <cell r="L66" t="str">
            <v/>
          </cell>
          <cell r="M66" t="str">
            <v/>
          </cell>
          <cell r="N66" t="str">
            <v/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>
            <v>0</v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/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 t="e">
            <v>#VALUE!</v>
          </cell>
          <cell r="AF66" t="e">
            <v>#VALUE!</v>
          </cell>
          <cell r="AG66" t="e">
            <v>#VALUE!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 t="str">
            <v/>
          </cell>
          <cell r="AM66" t="str">
            <v/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 t="str">
            <v/>
          </cell>
          <cell r="AS66" t="str">
            <v/>
          </cell>
          <cell r="AT66" t="str">
            <v/>
          </cell>
          <cell r="AU66" t="str">
            <v/>
          </cell>
          <cell r="AV66" t="str">
            <v/>
          </cell>
          <cell r="AW66" t="str">
            <v/>
          </cell>
          <cell r="AX66" t="str">
            <v/>
          </cell>
          <cell r="AY66" t="e">
            <v>#VALUE!</v>
          </cell>
          <cell r="AZ66" t="e">
            <v>#VALUE!</v>
          </cell>
          <cell r="BA66" t="e">
            <v>#VALUE!</v>
          </cell>
          <cell r="BB66" t="e">
            <v>#VALUE!</v>
          </cell>
          <cell r="BC66" t="e">
            <v>#VALUE!</v>
          </cell>
          <cell r="BD66" t="e">
            <v>#VALUE!</v>
          </cell>
          <cell r="BE66" t="e">
            <v>#VALUE!</v>
          </cell>
          <cell r="BF66" t="str">
            <v/>
          </cell>
        </row>
        <row r="67">
          <cell r="A67" t="str">
            <v>ERM</v>
          </cell>
          <cell r="B67" t="b">
            <v>0</v>
          </cell>
          <cell r="C67">
            <v>39417</v>
          </cell>
          <cell r="D67">
            <v>39417</v>
          </cell>
          <cell r="E67">
            <v>339.6</v>
          </cell>
          <cell r="F67">
            <v>68.599999999999994</v>
          </cell>
          <cell r="G67">
            <v>68.599999999999994</v>
          </cell>
          <cell r="H67" t="str">
            <v/>
          </cell>
          <cell r="I67" t="str">
            <v/>
          </cell>
          <cell r="J67" t="str">
            <v/>
          </cell>
          <cell r="K67">
            <v>0</v>
          </cell>
          <cell r="L67">
            <v>29.8</v>
          </cell>
          <cell r="M67">
            <v>38.799999999999997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1113.2</v>
          </cell>
          <cell r="S67">
            <v>1521.4</v>
          </cell>
          <cell r="T67">
            <v>71.425465729918457</v>
          </cell>
          <cell r="U67" t="str">
            <v/>
          </cell>
          <cell r="V67" t="str">
            <v/>
          </cell>
          <cell r="W67" t="str">
            <v/>
          </cell>
          <cell r="X67">
            <v>0</v>
          </cell>
          <cell r="Y67">
            <v>31.259834259939158</v>
          </cell>
          <cell r="Z67">
            <v>40.165631469979296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1420.7156739453526</v>
          </cell>
          <cell r="AF67">
            <v>51.217560306390759</v>
          </cell>
          <cell r="AG67">
            <v>1471.9332342517434</v>
          </cell>
          <cell r="AH67">
            <v>1242.7</v>
          </cell>
          <cell r="AI67">
            <v>44.8</v>
          </cell>
          <cell r="AJ67">
            <v>1287.5</v>
          </cell>
          <cell r="AK67">
            <v>1.1858812655120232E-2</v>
          </cell>
          <cell r="AL67">
            <v>3.6000000000000004E-2</v>
          </cell>
          <cell r="AM67">
            <v>2005</v>
          </cell>
          <cell r="AN67">
            <v>1.4396372233260735E-2</v>
          </cell>
          <cell r="AO67">
            <v>2.8999999999999998E-2</v>
          </cell>
          <cell r="AP67">
            <v>1478</v>
          </cell>
          <cell r="AQ67">
            <v>2005</v>
          </cell>
          <cell r="AR67" t="str">
            <v>-</v>
          </cell>
          <cell r="AS67" t="str">
            <v>-</v>
          </cell>
          <cell r="AT67" t="str">
            <v>-</v>
          </cell>
          <cell r="AU67">
            <v>44.8</v>
          </cell>
          <cell r="AV67" t="str">
            <v>-</v>
          </cell>
          <cell r="AW67" t="str">
            <v>-</v>
          </cell>
          <cell r="AX67">
            <v>44.8</v>
          </cell>
          <cell r="AY67" t="e">
            <v>#VALUE!</v>
          </cell>
          <cell r="AZ67" t="e">
            <v>#VALUE!</v>
          </cell>
          <cell r="BA67" t="e">
            <v>#VALUE!</v>
          </cell>
          <cell r="BB67">
            <v>51.217560306390759</v>
          </cell>
          <cell r="BC67" t="e">
            <v>#VALUE!</v>
          </cell>
          <cell r="BD67" t="e">
            <v>#VALUE!</v>
          </cell>
          <cell r="BE67">
            <v>51.217560306390759</v>
          </cell>
          <cell r="BF67">
            <v>1521.4</v>
          </cell>
        </row>
        <row r="68">
          <cell r="A68" t="str">
            <v>EXCALIBUR</v>
          </cell>
          <cell r="B68" t="b">
            <v>1</v>
          </cell>
          <cell r="C68">
            <v>40878</v>
          </cell>
          <cell r="D68">
            <v>40878</v>
          </cell>
          <cell r="E68">
            <v>1381.9</v>
          </cell>
          <cell r="F68">
            <v>1381.9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 t="str">
            <v/>
          </cell>
          <cell r="M68">
            <v>0</v>
          </cell>
          <cell r="N68">
            <v>0</v>
          </cell>
          <cell r="O68">
            <v>0</v>
          </cell>
          <cell r="P68">
            <v>97.7</v>
          </cell>
          <cell r="Q68">
            <v>126.9</v>
          </cell>
          <cell r="R68">
            <v>70.2</v>
          </cell>
          <cell r="S68">
            <v>1676.7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 t="str">
            <v/>
          </cell>
          <cell r="Z68">
            <v>0</v>
          </cell>
          <cell r="AA68">
            <v>0</v>
          </cell>
          <cell r="AB68">
            <v>0</v>
          </cell>
          <cell r="AC68">
            <v>97.7</v>
          </cell>
          <cell r="AD68">
            <v>124.86470530355211</v>
          </cell>
          <cell r="AE68">
            <v>1775.5123940336946</v>
          </cell>
          <cell r="AF68">
            <v>-8.6919197338770253</v>
          </cell>
          <cell r="AG68">
            <v>1766.8204742998178</v>
          </cell>
          <cell r="AH68">
            <v>1654.6</v>
          </cell>
          <cell r="AI68">
            <v>-8.1</v>
          </cell>
          <cell r="AJ68">
            <v>1646.5</v>
          </cell>
          <cell r="AK68">
            <v>-3.220678837133395E-3</v>
          </cell>
          <cell r="AL68">
            <v>-1.6E-2</v>
          </cell>
          <cell r="AM68">
            <v>2007</v>
          </cell>
          <cell r="AN68">
            <v>-2.7614170941110405E-3</v>
          </cell>
          <cell r="AO68">
            <v>-1.1000000000000001E-2</v>
          </cell>
          <cell r="AP68">
            <v>1679</v>
          </cell>
          <cell r="AQ68">
            <v>2007</v>
          </cell>
          <cell r="AR68">
            <v>19</v>
          </cell>
          <cell r="AS68">
            <v>-3.3</v>
          </cell>
          <cell r="AT68" t="str">
            <v>-</v>
          </cell>
          <cell r="AU68">
            <v>-23.6</v>
          </cell>
          <cell r="AV68" t="str">
            <v>-</v>
          </cell>
          <cell r="AW68">
            <v>-0.2</v>
          </cell>
          <cell r="AX68">
            <v>-8.1</v>
          </cell>
          <cell r="AY68">
            <v>20.388453696748581</v>
          </cell>
          <cell r="AZ68">
            <v>-3.5411524841721214</v>
          </cell>
          <cell r="BA68" t="e">
            <v>#VALUE!</v>
          </cell>
          <cell r="BB68">
            <v>-25.324605644382448</v>
          </cell>
          <cell r="BC68" t="e">
            <v>#VALUE!</v>
          </cell>
          <cell r="BD68">
            <v>-0.21461530207103768</v>
          </cell>
          <cell r="BE68">
            <v>-8.6919197338770253</v>
          </cell>
          <cell r="BF68">
            <v>1676.7</v>
          </cell>
        </row>
        <row r="69">
          <cell r="A69" t="str">
            <v>F/A-18E/F</v>
          </cell>
          <cell r="B69" t="b">
            <v>1</v>
          </cell>
          <cell r="C69">
            <v>40878</v>
          </cell>
          <cell r="D69">
            <v>40878</v>
          </cell>
          <cell r="E69">
            <v>45404.3</v>
          </cell>
          <cell r="F69">
            <v>45404.3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/>
          </cell>
          <cell r="M69">
            <v>0</v>
          </cell>
          <cell r="N69">
            <v>0</v>
          </cell>
          <cell r="O69">
            <v>0</v>
          </cell>
          <cell r="P69">
            <v>2356.6999999999998</v>
          </cell>
          <cell r="Q69">
            <v>2083.6999999999998</v>
          </cell>
          <cell r="R69">
            <v>1154</v>
          </cell>
          <cell r="S69">
            <v>50998.7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 t="str">
            <v/>
          </cell>
          <cell r="Z69">
            <v>0</v>
          </cell>
          <cell r="AA69">
            <v>0</v>
          </cell>
          <cell r="AB69">
            <v>0</v>
          </cell>
          <cell r="AC69">
            <v>2356.6999999999998</v>
          </cell>
          <cell r="AD69">
            <v>2050.2804290071826</v>
          </cell>
          <cell r="AE69">
            <v>50006.04423868312</v>
          </cell>
          <cell r="AF69">
            <v>9861.3683127572003</v>
          </cell>
          <cell r="AG69">
            <v>59867.412551440328</v>
          </cell>
          <cell r="AH69">
            <v>38884.699999999997</v>
          </cell>
          <cell r="AI69">
            <v>7668.2</v>
          </cell>
          <cell r="AJ69">
            <v>46552.9</v>
          </cell>
          <cell r="AK69">
            <v>4.1537774426925189E-3</v>
          </cell>
          <cell r="AL69">
            <v>5.0999999999999997E-2</v>
          </cell>
          <cell r="AM69">
            <v>2000</v>
          </cell>
          <cell r="AN69">
            <v>4.4453207242518555E-3</v>
          </cell>
          <cell r="AO69">
            <v>0.05</v>
          </cell>
          <cell r="AP69">
            <v>41637.300000000003</v>
          </cell>
          <cell r="AQ69">
            <v>2000</v>
          </cell>
          <cell r="AR69">
            <v>5421.9</v>
          </cell>
          <cell r="AS69">
            <v>998.1</v>
          </cell>
          <cell r="AT69">
            <v>227.2</v>
          </cell>
          <cell r="AU69">
            <v>-947.9</v>
          </cell>
          <cell r="AV69" t="str">
            <v>-</v>
          </cell>
          <cell r="AW69">
            <v>1968.9</v>
          </cell>
          <cell r="AX69">
            <v>7668.2</v>
          </cell>
          <cell r="AY69">
            <v>6972.6080246913571</v>
          </cell>
          <cell r="AZ69">
            <v>1283.5648148148148</v>
          </cell>
          <cell r="BA69">
            <v>292.18106995884767</v>
          </cell>
          <cell r="BB69">
            <v>-1219.0072016460904</v>
          </cell>
          <cell r="BC69" t="e">
            <v>#VALUE!</v>
          </cell>
          <cell r="BD69">
            <v>2532.0216049382716</v>
          </cell>
          <cell r="BE69">
            <v>9861.3683127572003</v>
          </cell>
          <cell r="BF69">
            <v>50998.7</v>
          </cell>
        </row>
        <row r="70">
          <cell r="A70" t="str">
            <v>F-22</v>
          </cell>
          <cell r="B70" t="b">
            <v>0</v>
          </cell>
          <cell r="C70">
            <v>40513</v>
          </cell>
          <cell r="D70">
            <v>40513</v>
          </cell>
          <cell r="E70">
            <v>64257.4</v>
          </cell>
          <cell r="F70">
            <v>64257.4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 t="str">
            <v/>
          </cell>
          <cell r="M70">
            <v>0</v>
          </cell>
          <cell r="N70">
            <v>0</v>
          </cell>
          <cell r="O70">
            <v>0</v>
          </cell>
          <cell r="P70">
            <v>839</v>
          </cell>
          <cell r="Q70">
            <v>700.9</v>
          </cell>
          <cell r="R70">
            <v>1539.7</v>
          </cell>
          <cell r="S70">
            <v>67337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/>
          </cell>
          <cell r="Z70">
            <v>0</v>
          </cell>
          <cell r="AA70">
            <v>0</v>
          </cell>
          <cell r="AB70">
            <v>0</v>
          </cell>
          <cell r="AC70">
            <v>839</v>
          </cell>
          <cell r="AD70">
            <v>689.65856538423691</v>
          </cell>
          <cell r="AE70">
            <v>73489.996570252653</v>
          </cell>
          <cell r="AF70">
            <v>5924.8885332113869</v>
          </cell>
          <cell r="AG70">
            <v>79414.885103464039</v>
          </cell>
          <cell r="AH70">
            <v>64281.7</v>
          </cell>
          <cell r="AI70">
            <v>5182.5</v>
          </cell>
          <cell r="AJ70">
            <v>69464.2</v>
          </cell>
          <cell r="AK70">
            <v>1.1024955209885778E-2</v>
          </cell>
          <cell r="AL70">
            <v>6.8000000000000005E-2</v>
          </cell>
          <cell r="AM70">
            <v>2005</v>
          </cell>
          <cell r="AN70">
            <v>1.6074825513848312E-2</v>
          </cell>
          <cell r="AO70">
            <v>8.3000000000000004E-2</v>
          </cell>
          <cell r="AP70">
            <v>61323.7</v>
          </cell>
          <cell r="AQ70">
            <v>2005</v>
          </cell>
          <cell r="AR70">
            <v>781.8</v>
          </cell>
          <cell r="AS70">
            <v>-0.9</v>
          </cell>
          <cell r="AT70" t="str">
            <v>-</v>
          </cell>
          <cell r="AU70">
            <v>3245.5</v>
          </cell>
          <cell r="AV70" t="str">
            <v>-</v>
          </cell>
          <cell r="AW70">
            <v>1156.0999999999999</v>
          </cell>
          <cell r="AX70">
            <v>5182.5</v>
          </cell>
          <cell r="AY70">
            <v>893.79215731107797</v>
          </cell>
          <cell r="AZ70">
            <v>-1.0289242025837431</v>
          </cell>
          <cell r="BA70" t="e">
            <v>#VALUE!</v>
          </cell>
          <cell r="BB70">
            <v>3710.4149994283753</v>
          </cell>
          <cell r="BC70" t="e">
            <v>#VALUE!</v>
          </cell>
          <cell r="BD70">
            <v>1321.7103006745169</v>
          </cell>
          <cell r="BE70">
            <v>5924.8885332113869</v>
          </cell>
          <cell r="BF70">
            <v>67337</v>
          </cell>
        </row>
        <row r="71">
          <cell r="A71" t="str">
            <v>F-35</v>
          </cell>
          <cell r="B71" t="b">
            <v>0</v>
          </cell>
          <cell r="C71">
            <v>40513</v>
          </cell>
          <cell r="D71">
            <v>40513</v>
          </cell>
          <cell r="E71">
            <v>65990</v>
          </cell>
          <cell r="F71">
            <v>65990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 t="str">
            <v/>
          </cell>
          <cell r="M71">
            <v>0</v>
          </cell>
          <cell r="N71">
            <v>0</v>
          </cell>
          <cell r="O71">
            <v>0</v>
          </cell>
          <cell r="P71">
            <v>9743.2000000000007</v>
          </cell>
          <cell r="Q71">
            <v>10588.8</v>
          </cell>
          <cell r="R71">
            <v>293070.8</v>
          </cell>
          <cell r="S71">
            <v>379392.8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/>
          </cell>
          <cell r="Z71">
            <v>0</v>
          </cell>
          <cell r="AA71">
            <v>0</v>
          </cell>
          <cell r="AB71">
            <v>0</v>
          </cell>
          <cell r="AC71">
            <v>9743.2000000000007</v>
          </cell>
          <cell r="AD71">
            <v>10418.970776345566</v>
          </cell>
          <cell r="AE71">
            <v>218912.23733003708</v>
          </cell>
          <cell r="AF71">
            <v>115574.412855377</v>
          </cell>
          <cell r="AG71">
            <v>334486.65018541407</v>
          </cell>
          <cell r="AH71">
            <v>177100</v>
          </cell>
          <cell r="AI71">
            <v>93499.7</v>
          </cell>
          <cell r="AJ71">
            <v>270599.7</v>
          </cell>
          <cell r="AK71">
            <v>4.8233778704347197E-2</v>
          </cell>
          <cell r="AL71">
            <v>0.52800000000000002</v>
          </cell>
          <cell r="AM71">
            <v>2002</v>
          </cell>
          <cell r="AN71">
            <v>6.2812858410370653E-2</v>
          </cell>
          <cell r="AO71">
            <v>0.628</v>
          </cell>
          <cell r="AP71">
            <v>233000</v>
          </cell>
          <cell r="AQ71">
            <v>2002</v>
          </cell>
          <cell r="AR71">
            <v>-16118.5</v>
          </cell>
          <cell r="AS71">
            <v>8797.1</v>
          </cell>
          <cell r="AT71">
            <v>9686.7000000000007</v>
          </cell>
          <cell r="AU71">
            <v>77983.600000000006</v>
          </cell>
          <cell r="AV71" t="str">
            <v>-</v>
          </cell>
          <cell r="AW71">
            <v>13150.8</v>
          </cell>
          <cell r="AX71">
            <v>93499.7</v>
          </cell>
          <cell r="AY71">
            <v>-19923.98022249691</v>
          </cell>
          <cell r="AZ71">
            <v>10874.042027194066</v>
          </cell>
          <cell r="BA71">
            <v>11973.671199011125</v>
          </cell>
          <cell r="BB71">
            <v>96395.055624227447</v>
          </cell>
          <cell r="BC71" t="e">
            <v>#VALUE!</v>
          </cell>
          <cell r="BD71">
            <v>16255.624227441283</v>
          </cell>
          <cell r="BE71">
            <v>115574.412855377</v>
          </cell>
          <cell r="BF71">
            <v>379392.8</v>
          </cell>
        </row>
        <row r="72">
          <cell r="A72" t="str">
            <v>F-35 Aircraft</v>
          </cell>
          <cell r="B72" t="b">
            <v>1</v>
          </cell>
          <cell r="C72">
            <v>40878</v>
          </cell>
          <cell r="D72">
            <v>40878</v>
          </cell>
          <cell r="E72">
            <v>54366</v>
          </cell>
          <cell r="F72">
            <v>54366</v>
          </cell>
          <cell r="G72">
            <v>0</v>
          </cell>
          <cell r="H72" t="str">
            <v/>
          </cell>
          <cell r="I72" t="str">
            <v/>
          </cell>
          <cell r="J72" t="str">
            <v/>
          </cell>
          <cell r="K72" t="str">
            <v/>
          </cell>
          <cell r="L72" t="str">
            <v/>
          </cell>
          <cell r="M72" t="str">
            <v/>
          </cell>
          <cell r="N72" t="str">
            <v/>
          </cell>
          <cell r="O72">
            <v>0</v>
          </cell>
          <cell r="P72">
            <v>8116</v>
          </cell>
          <cell r="Q72">
            <v>7844.7</v>
          </cell>
          <cell r="R72">
            <v>261528.5</v>
          </cell>
          <cell r="S72">
            <v>331855.2</v>
          </cell>
          <cell r="T72">
            <v>0</v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>
            <v>0</v>
          </cell>
          <cell r="AC72">
            <v>8116</v>
          </cell>
          <cell r="AD72">
            <v>7718.8822198169828</v>
          </cell>
          <cell r="AE72">
            <v>178478.7</v>
          </cell>
          <cell r="AF72">
            <v>98004.3</v>
          </cell>
          <cell r="AG72">
            <v>276483</v>
          </cell>
          <cell r="AH72">
            <v>178478.7</v>
          </cell>
          <cell r="AI72">
            <v>98004.3</v>
          </cell>
          <cell r="AJ72">
            <v>276483</v>
          </cell>
          <cell r="AK72" t="str">
            <v/>
          </cell>
          <cell r="AL72">
            <v>0.70599999999999996</v>
          </cell>
          <cell r="AM72">
            <v>2012</v>
          </cell>
          <cell r="AN72">
            <v>0.91900000000000004</v>
          </cell>
          <cell r="AO72">
            <v>0.91900000000000004</v>
          </cell>
          <cell r="AP72">
            <v>194351.7</v>
          </cell>
          <cell r="AQ72">
            <v>2012</v>
          </cell>
          <cell r="AR72">
            <v>-16455.2</v>
          </cell>
          <cell r="AS72">
            <v>8636.2999999999993</v>
          </cell>
          <cell r="AT72">
            <v>9785.9</v>
          </cell>
          <cell r="AU72">
            <v>89169.4</v>
          </cell>
          <cell r="AV72" t="str">
            <v>-</v>
          </cell>
          <cell r="AW72">
            <v>6867.9</v>
          </cell>
          <cell r="AX72">
            <v>98004.3</v>
          </cell>
          <cell r="AY72">
            <v>-16455.2</v>
          </cell>
          <cell r="AZ72">
            <v>8636.2999999999993</v>
          </cell>
          <cell r="BA72">
            <v>9785.9</v>
          </cell>
          <cell r="BB72">
            <v>89169.4</v>
          </cell>
          <cell r="BC72" t="e">
            <v>#VALUE!</v>
          </cell>
          <cell r="BD72">
            <v>6867.9</v>
          </cell>
          <cell r="BE72">
            <v>98004.3</v>
          </cell>
          <cell r="BF72">
            <v>331855.2</v>
          </cell>
        </row>
        <row r="73">
          <cell r="A73" t="str">
            <v>F-35 Engine</v>
          </cell>
          <cell r="B73" t="b">
            <v>1</v>
          </cell>
          <cell r="C73">
            <v>40878</v>
          </cell>
          <cell r="D73">
            <v>40878</v>
          </cell>
          <cell r="E73">
            <v>11905.3</v>
          </cell>
          <cell r="F73">
            <v>11905.3</v>
          </cell>
          <cell r="G73">
            <v>0</v>
          </cell>
          <cell r="H73" t="str">
            <v/>
          </cell>
          <cell r="I73" t="str">
            <v/>
          </cell>
          <cell r="J73" t="str">
            <v/>
          </cell>
          <cell r="K73" t="str">
            <v/>
          </cell>
          <cell r="L73" t="str">
            <v/>
          </cell>
          <cell r="M73" t="str">
            <v/>
          </cell>
          <cell r="N73" t="str">
            <v/>
          </cell>
          <cell r="O73">
            <v>0</v>
          </cell>
          <cell r="P73">
            <v>1471.9</v>
          </cell>
          <cell r="Q73">
            <v>1567.2</v>
          </cell>
          <cell r="R73">
            <v>48912.2</v>
          </cell>
          <cell r="S73">
            <v>63856.6</v>
          </cell>
          <cell r="T73">
            <v>0</v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>
            <v>0</v>
          </cell>
          <cell r="AC73">
            <v>1471.9</v>
          </cell>
          <cell r="AD73">
            <v>1542.0643510774378</v>
          </cell>
          <cell r="AE73">
            <v>35229.5</v>
          </cell>
          <cell r="AF73">
            <v>18798.599999999999</v>
          </cell>
          <cell r="AG73">
            <v>54028.1</v>
          </cell>
          <cell r="AH73">
            <v>35229.5</v>
          </cell>
          <cell r="AI73">
            <v>18798.599999999999</v>
          </cell>
          <cell r="AJ73">
            <v>54028.1</v>
          </cell>
          <cell r="AK73" t="str">
            <v/>
          </cell>
          <cell r="AL73">
            <v>0.67599999999999993</v>
          </cell>
          <cell r="AM73">
            <v>2012</v>
          </cell>
          <cell r="AN73">
            <v>0.83700000000000019</v>
          </cell>
          <cell r="AO73">
            <v>0.83700000000000008</v>
          </cell>
          <cell r="AP73">
            <v>38648.300000000003</v>
          </cell>
          <cell r="AQ73">
            <v>2012</v>
          </cell>
          <cell r="AR73">
            <v>-2995.2</v>
          </cell>
          <cell r="AS73">
            <v>1979.3</v>
          </cell>
          <cell r="AT73">
            <v>1903.2</v>
          </cell>
          <cell r="AU73">
            <v>14333.9</v>
          </cell>
          <cell r="AV73" t="str">
            <v>-</v>
          </cell>
          <cell r="AW73">
            <v>3577.4</v>
          </cell>
          <cell r="AX73">
            <v>18798.599999999999</v>
          </cell>
          <cell r="AY73">
            <v>-2995.2</v>
          </cell>
          <cell r="AZ73">
            <v>1979.3</v>
          </cell>
          <cell r="BA73">
            <v>1903.2</v>
          </cell>
          <cell r="BB73">
            <v>14333.9</v>
          </cell>
          <cell r="BC73" t="e">
            <v>#VALUE!</v>
          </cell>
          <cell r="BD73">
            <v>3577.4</v>
          </cell>
          <cell r="BE73">
            <v>18798.599999999999</v>
          </cell>
          <cell r="BF73">
            <v>63856.6</v>
          </cell>
        </row>
        <row r="74">
          <cell r="A74" t="str">
            <v>FAB-T</v>
          </cell>
          <cell r="B74" t="b">
            <v>1</v>
          </cell>
          <cell r="C74">
            <v>40878</v>
          </cell>
          <cell r="D74">
            <v>40878</v>
          </cell>
          <cell r="E74">
            <v>1682.8</v>
          </cell>
          <cell r="F74">
            <v>1682.8</v>
          </cell>
          <cell r="G74">
            <v>0</v>
          </cell>
          <cell r="H74" t="str">
            <v/>
          </cell>
          <cell r="I74" t="str">
            <v/>
          </cell>
          <cell r="J74" t="str">
            <v/>
          </cell>
          <cell r="K74">
            <v>0</v>
          </cell>
          <cell r="L74" t="str">
            <v/>
          </cell>
          <cell r="M74">
            <v>0</v>
          </cell>
          <cell r="N74">
            <v>0</v>
          </cell>
          <cell r="O74">
            <v>0</v>
          </cell>
          <cell r="P74">
            <v>231.2</v>
          </cell>
          <cell r="Q74">
            <v>107.5</v>
          </cell>
          <cell r="R74">
            <v>2681.2</v>
          </cell>
          <cell r="S74">
            <v>4702.7</v>
          </cell>
          <cell r="T74">
            <v>0</v>
          </cell>
          <cell r="U74" t="str">
            <v/>
          </cell>
          <cell r="V74" t="str">
            <v/>
          </cell>
          <cell r="W74" t="str">
            <v/>
          </cell>
          <cell r="X74">
            <v>0</v>
          </cell>
          <cell r="Y74" t="str">
            <v/>
          </cell>
          <cell r="Z74">
            <v>0</v>
          </cell>
          <cell r="AA74">
            <v>0</v>
          </cell>
          <cell r="AB74">
            <v>0</v>
          </cell>
          <cell r="AC74">
            <v>231.2</v>
          </cell>
          <cell r="AD74">
            <v>105.77585358653941</v>
          </cell>
          <cell r="AE74">
            <v>3266.1310259579727</v>
          </cell>
          <cell r="AF74">
            <v>1295.550061804697</v>
          </cell>
          <cell r="AG74">
            <v>4561.6810877626694</v>
          </cell>
          <cell r="AH74">
            <v>2642.3</v>
          </cell>
          <cell r="AI74">
            <v>1048.0999999999999</v>
          </cell>
          <cell r="AJ74">
            <v>3690.4</v>
          </cell>
          <cell r="AK74">
            <v>2.8385594380325507E-2</v>
          </cell>
          <cell r="AL74">
            <v>0.32299999999999995</v>
          </cell>
          <cell r="AM74">
            <v>2002</v>
          </cell>
          <cell r="AN74">
            <v>3.8011029730121937E-2</v>
          </cell>
          <cell r="AO74">
            <v>0.39899999999999997</v>
          </cell>
          <cell r="AP74">
            <v>3167.4</v>
          </cell>
          <cell r="AQ74">
            <v>2002</v>
          </cell>
          <cell r="AR74">
            <v>147.19999999999999</v>
          </cell>
          <cell r="AS74">
            <v>0.6</v>
          </cell>
          <cell r="AT74">
            <v>145.80000000000001</v>
          </cell>
          <cell r="AU74">
            <v>540.70000000000005</v>
          </cell>
          <cell r="AV74" t="str">
            <v>-</v>
          </cell>
          <cell r="AW74">
            <v>213.8</v>
          </cell>
          <cell r="AX74">
            <v>1048.0999999999999</v>
          </cell>
          <cell r="AY74">
            <v>181.95302843016066</v>
          </cell>
          <cell r="AZ74">
            <v>0.74165636588380712</v>
          </cell>
          <cell r="BA74">
            <v>180.22249690976514</v>
          </cell>
          <cell r="BB74">
            <v>668.35599505562425</v>
          </cell>
          <cell r="BC74" t="e">
            <v>#VALUE!</v>
          </cell>
          <cell r="BD74">
            <v>264.27688504326329</v>
          </cell>
          <cell r="BE74">
            <v>1295.550061804697</v>
          </cell>
          <cell r="BF74">
            <v>4702.7</v>
          </cell>
        </row>
        <row r="75">
          <cell r="A75" t="str">
            <v>FBCB2</v>
          </cell>
          <cell r="B75" t="b">
            <v>0</v>
          </cell>
          <cell r="C75">
            <v>40513</v>
          </cell>
          <cell r="D75">
            <v>40513</v>
          </cell>
          <cell r="E75">
            <v>3817.6</v>
          </cell>
          <cell r="F75">
            <v>3817.6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 t="str">
            <v/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3817.6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 t="str">
            <v/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1806.2192751800617</v>
          </cell>
          <cell r="AF75">
            <v>2354.7502000685945</v>
          </cell>
          <cell r="AG75">
            <v>4160.9694752486566</v>
          </cell>
          <cell r="AH75">
            <v>1579.9</v>
          </cell>
          <cell r="AI75">
            <v>2059.6999999999998</v>
          </cell>
          <cell r="AJ75">
            <v>3639.6</v>
          </cell>
          <cell r="AK75">
            <v>3.2137879125313296E-2</v>
          </cell>
          <cell r="AL75">
            <v>0.20899999999999999</v>
          </cell>
          <cell r="AM75">
            <v>2005</v>
          </cell>
          <cell r="AN75">
            <v>3.8688349045245207E-2</v>
          </cell>
          <cell r="AO75">
            <v>0.20899999999999999</v>
          </cell>
          <cell r="AP75">
            <v>1556.7</v>
          </cell>
          <cell r="AQ75">
            <v>2005</v>
          </cell>
          <cell r="AR75">
            <v>1431.3</v>
          </cell>
          <cell r="AS75">
            <v>-44.7</v>
          </cell>
          <cell r="AT75">
            <v>185.4</v>
          </cell>
          <cell r="AU75">
            <v>186.9</v>
          </cell>
          <cell r="AV75" t="str">
            <v>-</v>
          </cell>
          <cell r="AW75">
            <v>300.8</v>
          </cell>
          <cell r="AX75">
            <v>2059.6999999999998</v>
          </cell>
          <cell r="AY75">
            <v>1636.3324568423459</v>
          </cell>
          <cell r="AZ75">
            <v>-51.103235394992574</v>
          </cell>
          <cell r="BA75">
            <v>211.95838573225106</v>
          </cell>
          <cell r="BB75">
            <v>213.67325940322397</v>
          </cell>
          <cell r="BC75" t="e">
            <v>#VALUE!</v>
          </cell>
          <cell r="BD75">
            <v>343.88933348576654</v>
          </cell>
          <cell r="BE75">
            <v>2354.7502000685945</v>
          </cell>
          <cell r="BF75">
            <v>3817.6</v>
          </cell>
        </row>
        <row r="76">
          <cell r="A76" t="str">
            <v>FCS</v>
          </cell>
          <cell r="B76" t="b">
            <v>0</v>
          </cell>
          <cell r="C76">
            <v>39692</v>
          </cell>
          <cell r="D76">
            <v>39692</v>
          </cell>
          <cell r="E76">
            <v>11391.6</v>
          </cell>
          <cell r="F76">
            <v>6690.7999999999993</v>
          </cell>
          <cell r="G76">
            <v>6690.7999999999993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3374.6</v>
          </cell>
          <cell r="M76">
            <v>3316.2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141237.79999999999</v>
          </cell>
          <cell r="S76">
            <v>159320.20000000001</v>
          </cell>
          <cell r="T76">
            <v>6972.8332376647832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3539.9139830063987</v>
          </cell>
          <cell r="Z76">
            <v>3432.9192546583849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94200.266376074578</v>
          </cell>
          <cell r="AF76">
            <v>41923.356338539772</v>
          </cell>
          <cell r="AG76">
            <v>136123.62271461435</v>
          </cell>
          <cell r="AH76">
            <v>77800</v>
          </cell>
          <cell r="AI76">
            <v>34624.5</v>
          </cell>
          <cell r="AJ76">
            <v>112424.5</v>
          </cell>
          <cell r="AK76">
            <v>6.3272645810104944E-2</v>
          </cell>
          <cell r="AL76">
            <v>0.44500000000000001</v>
          </cell>
          <cell r="AM76">
            <v>2003</v>
          </cell>
          <cell r="AN76">
            <v>0.11560062172982755</v>
          </cell>
          <cell r="AO76">
            <v>0.72799999999999998</v>
          </cell>
          <cell r="AP76">
            <v>92200</v>
          </cell>
          <cell r="AQ76">
            <v>2003</v>
          </cell>
          <cell r="AR76" t="str">
            <v>-</v>
          </cell>
          <cell r="AS76">
            <v>7739.7</v>
          </cell>
          <cell r="AT76">
            <v>17079.5</v>
          </cell>
          <cell r="AU76">
            <v>4410.2</v>
          </cell>
          <cell r="AV76" t="str">
            <v>-</v>
          </cell>
          <cell r="AW76">
            <v>5395.1</v>
          </cell>
          <cell r="AX76">
            <v>34624.5</v>
          </cell>
          <cell r="AY76" t="e">
            <v>#VALUE!</v>
          </cell>
          <cell r="AZ76">
            <v>9371.231383944787</v>
          </cell>
          <cell r="BA76">
            <v>20679.864390362029</v>
          </cell>
          <cell r="BB76">
            <v>5339.8716551640628</v>
          </cell>
          <cell r="BC76" t="e">
            <v>#VALUE!</v>
          </cell>
          <cell r="BD76">
            <v>6532.3889090688945</v>
          </cell>
          <cell r="BE76">
            <v>41923.356338539772</v>
          </cell>
          <cell r="BF76">
            <v>159320.20000000001</v>
          </cell>
        </row>
        <row r="77">
          <cell r="A77" t="str">
            <v>FMTV</v>
          </cell>
          <cell r="B77" t="b">
            <v>1</v>
          </cell>
          <cell r="C77">
            <v>40878</v>
          </cell>
          <cell r="D77">
            <v>40878</v>
          </cell>
          <cell r="E77">
            <v>15648.1</v>
          </cell>
          <cell r="F77">
            <v>15648.1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 t="str">
            <v/>
          </cell>
          <cell r="M77">
            <v>0</v>
          </cell>
          <cell r="N77">
            <v>0</v>
          </cell>
          <cell r="O77">
            <v>0</v>
          </cell>
          <cell r="P77">
            <v>438</v>
          </cell>
          <cell r="Q77">
            <v>377.4</v>
          </cell>
          <cell r="R77">
            <v>302.2</v>
          </cell>
          <cell r="S77">
            <v>16765.7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 t="str">
            <v/>
          </cell>
          <cell r="Z77">
            <v>0</v>
          </cell>
          <cell r="AA77">
            <v>0</v>
          </cell>
          <cell r="AB77">
            <v>0</v>
          </cell>
          <cell r="AC77">
            <v>438</v>
          </cell>
          <cell r="AD77">
            <v>371.34704319590668</v>
          </cell>
          <cell r="AE77">
            <v>15888.995477593533</v>
          </cell>
          <cell r="AF77">
            <v>3261.340276826093</v>
          </cell>
          <cell r="AG77">
            <v>19150.335754419622</v>
          </cell>
          <cell r="AH77">
            <v>11594.2</v>
          </cell>
          <cell r="AI77">
            <v>2379.8000000000002</v>
          </cell>
          <cell r="AJ77">
            <v>13974</v>
          </cell>
          <cell r="AK77">
            <v>1.4145506128465213E-2</v>
          </cell>
          <cell r="AL77">
            <v>0.252</v>
          </cell>
          <cell r="AM77">
            <v>1996</v>
          </cell>
          <cell r="AN77">
            <v>-4.1165306774333388E-3</v>
          </cell>
          <cell r="AO77">
            <v>-0.06</v>
          </cell>
          <cell r="AP77">
            <v>18921.3</v>
          </cell>
          <cell r="AQ77">
            <v>1996</v>
          </cell>
          <cell r="AR77">
            <v>-434.9</v>
          </cell>
          <cell r="AS77">
            <v>87</v>
          </cell>
          <cell r="AT77">
            <v>2109</v>
          </cell>
          <cell r="AU77">
            <v>817.1</v>
          </cell>
          <cell r="AV77" t="str">
            <v>-</v>
          </cell>
          <cell r="AW77">
            <v>-198.4</v>
          </cell>
          <cell r="AX77">
            <v>2379.8000000000002</v>
          </cell>
          <cell r="AY77">
            <v>-595.99835548855685</v>
          </cell>
          <cell r="AZ77">
            <v>119.22707962176237</v>
          </cell>
          <cell r="BA77">
            <v>2890.2288611758258</v>
          </cell>
          <cell r="BB77">
            <v>1119.7752501027819</v>
          </cell>
          <cell r="BC77" t="e">
            <v>#VALUE!</v>
          </cell>
          <cell r="BD77">
            <v>-271.89255858572017</v>
          </cell>
          <cell r="BE77">
            <v>3261.340276826093</v>
          </cell>
          <cell r="BF77">
            <v>16765.7</v>
          </cell>
        </row>
        <row r="78">
          <cell r="A78" t="str">
            <v>GBS</v>
          </cell>
          <cell r="B78" t="b">
            <v>1</v>
          </cell>
          <cell r="C78">
            <v>40878</v>
          </cell>
          <cell r="D78">
            <v>40878</v>
          </cell>
          <cell r="E78">
            <v>833.8</v>
          </cell>
          <cell r="F78">
            <v>833.8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 t="str">
            <v/>
          </cell>
          <cell r="M78">
            <v>0</v>
          </cell>
          <cell r="N78">
            <v>0</v>
          </cell>
          <cell r="O78">
            <v>0</v>
          </cell>
          <cell r="P78">
            <v>97.3</v>
          </cell>
          <cell r="Q78">
            <v>50.8</v>
          </cell>
          <cell r="R78">
            <v>88.4</v>
          </cell>
          <cell r="S78">
            <v>1070.3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 t="str">
            <v/>
          </cell>
          <cell r="Z78">
            <v>0</v>
          </cell>
          <cell r="AA78">
            <v>0</v>
          </cell>
          <cell r="AB78">
            <v>0</v>
          </cell>
          <cell r="AC78">
            <v>97.3</v>
          </cell>
          <cell r="AD78">
            <v>49.985240578569318</v>
          </cell>
          <cell r="AE78">
            <v>607.45525501278428</v>
          </cell>
          <cell r="AF78">
            <v>637.46467501009283</v>
          </cell>
          <cell r="AG78">
            <v>1244.9199300228772</v>
          </cell>
          <cell r="AH78">
            <v>451.4</v>
          </cell>
          <cell r="AI78">
            <v>473.7</v>
          </cell>
          <cell r="AJ78">
            <v>925.1</v>
          </cell>
          <cell r="AK78">
            <v>1.2285152958482648E-2</v>
          </cell>
          <cell r="AL78">
            <v>0.20100000000000001</v>
          </cell>
          <cell r="AM78">
            <v>1997</v>
          </cell>
          <cell r="AN78">
            <v>1.4186122070818596E-2</v>
          </cell>
          <cell r="AO78">
            <v>0.218</v>
          </cell>
          <cell r="AP78">
            <v>497.1</v>
          </cell>
          <cell r="AQ78">
            <v>1997</v>
          </cell>
          <cell r="AR78">
            <v>318.89999999999998</v>
          </cell>
          <cell r="AS78">
            <v>94.6</v>
          </cell>
          <cell r="AT78">
            <v>153.4</v>
          </cell>
          <cell r="AU78">
            <v>-114.1</v>
          </cell>
          <cell r="AV78" t="str">
            <v>-</v>
          </cell>
          <cell r="AW78">
            <v>20.9</v>
          </cell>
          <cell r="AX78">
            <v>473.7</v>
          </cell>
          <cell r="AY78">
            <v>429.14816310052481</v>
          </cell>
          <cell r="AZ78">
            <v>127.30453505584713</v>
          </cell>
          <cell r="BA78">
            <v>206.43251244785361</v>
          </cell>
          <cell r="BB78">
            <v>-153.54595612972682</v>
          </cell>
          <cell r="BC78" t="e">
            <v>#VALUE!</v>
          </cell>
          <cell r="BD78">
            <v>28.125420535594131</v>
          </cell>
          <cell r="BE78">
            <v>637.46467501009283</v>
          </cell>
          <cell r="BF78">
            <v>1070.3</v>
          </cell>
        </row>
        <row r="79">
          <cell r="A79" t="str">
            <v>GCSS Army</v>
          </cell>
          <cell r="B79" t="b">
            <v>0</v>
          </cell>
          <cell r="C79" t="str">
            <v/>
          </cell>
          <cell r="D79" t="str">
            <v/>
          </cell>
          <cell r="E79" t="str">
            <v/>
          </cell>
          <cell r="F79" t="e">
            <v>#VALUE!</v>
          </cell>
          <cell r="G79">
            <v>0</v>
          </cell>
          <cell r="H79" t="str">
            <v/>
          </cell>
          <cell r="I79" t="str">
            <v/>
          </cell>
          <cell r="J79" t="str">
            <v/>
          </cell>
          <cell r="K79" t="str">
            <v/>
          </cell>
          <cell r="L79" t="str">
            <v/>
          </cell>
          <cell r="M79" t="str">
            <v/>
          </cell>
          <cell r="N79" t="str">
            <v/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>
            <v>0</v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e">
            <v>#VALUE!</v>
          </cell>
          <cell r="AF79" t="e">
            <v>#VALUE!</v>
          </cell>
          <cell r="AG79" t="e">
            <v>#VALUE!</v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 t="str">
            <v/>
          </cell>
          <cell r="AT79" t="str">
            <v/>
          </cell>
          <cell r="AU79" t="str">
            <v/>
          </cell>
          <cell r="AV79" t="str">
            <v/>
          </cell>
          <cell r="AW79" t="str">
            <v/>
          </cell>
          <cell r="AX79" t="str">
            <v/>
          </cell>
          <cell r="AY79" t="e">
            <v>#VALUE!</v>
          </cell>
          <cell r="AZ79" t="e">
            <v>#VALUE!</v>
          </cell>
          <cell r="BA79" t="e">
            <v>#VALUE!</v>
          </cell>
          <cell r="BB79" t="e">
            <v>#VALUE!</v>
          </cell>
          <cell r="BC79" t="e">
            <v>#VALUE!</v>
          </cell>
          <cell r="BD79" t="e">
            <v>#VALUE!</v>
          </cell>
          <cell r="BE79" t="e">
            <v>#VALUE!</v>
          </cell>
          <cell r="BF79" t="str">
            <v/>
          </cell>
        </row>
        <row r="80">
          <cell r="A80" t="str">
            <v>GMLRS</v>
          </cell>
          <cell r="B80" t="b">
            <v>1</v>
          </cell>
          <cell r="C80">
            <v>40878</v>
          </cell>
          <cell r="D80">
            <v>40878</v>
          </cell>
          <cell r="E80">
            <v>2355.3000000000002</v>
          </cell>
          <cell r="F80">
            <v>2355.3000000000002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 t="str">
            <v/>
          </cell>
          <cell r="M80" t="str">
            <v/>
          </cell>
          <cell r="N80">
            <v>0</v>
          </cell>
          <cell r="O80">
            <v>0</v>
          </cell>
          <cell r="P80">
            <v>377.8</v>
          </cell>
          <cell r="Q80">
            <v>306.5</v>
          </cell>
          <cell r="R80">
            <v>3371.9</v>
          </cell>
          <cell r="S80">
            <v>6411.5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 t="str">
            <v/>
          </cell>
          <cell r="Z80" t="str">
            <v/>
          </cell>
          <cell r="AA80">
            <v>0</v>
          </cell>
          <cell r="AB80">
            <v>0</v>
          </cell>
          <cell r="AC80">
            <v>377.8</v>
          </cell>
          <cell r="AD80">
            <v>301.58417790022634</v>
          </cell>
          <cell r="AE80">
            <v>11841.869475723453</v>
          </cell>
          <cell r="AF80">
            <v>-5733.7450054486008</v>
          </cell>
          <cell r="AG80">
            <v>6108.1244702748509</v>
          </cell>
          <cell r="AH80">
            <v>9780.2000000000007</v>
          </cell>
          <cell r="AI80">
            <v>-4735.5</v>
          </cell>
          <cell r="AJ80">
            <v>5044.7</v>
          </cell>
          <cell r="AK80">
            <v>2.5830545874739208E-2</v>
          </cell>
          <cell r="AL80">
            <v>0.25800000000000001</v>
          </cell>
          <cell r="AM80">
            <v>2003</v>
          </cell>
          <cell r="AN80">
            <v>9.4145440489572962E-2</v>
          </cell>
          <cell r="AO80">
            <v>1.054</v>
          </cell>
          <cell r="AP80">
            <v>11848.9</v>
          </cell>
          <cell r="AQ80">
            <v>2003</v>
          </cell>
          <cell r="AR80">
            <v>-5770.7</v>
          </cell>
          <cell r="AS80">
            <v>249.9</v>
          </cell>
          <cell r="AT80">
            <v>8.5</v>
          </cell>
          <cell r="AU80">
            <v>767.2</v>
          </cell>
          <cell r="AV80" t="str">
            <v>-</v>
          </cell>
          <cell r="AW80">
            <v>9.6</v>
          </cell>
          <cell r="AX80">
            <v>-4735.5</v>
          </cell>
          <cell r="AY80">
            <v>-6987.1655164063441</v>
          </cell>
          <cell r="AZ80">
            <v>302.57900472212128</v>
          </cell>
          <cell r="BA80">
            <v>10.291802881704806</v>
          </cell>
          <cell r="BB80">
            <v>928.92602009928555</v>
          </cell>
          <cell r="BC80" t="e">
            <v>#VALUE!</v>
          </cell>
          <cell r="BD80">
            <v>11.62368325463131</v>
          </cell>
          <cell r="BE80">
            <v>-5733.7450054486008</v>
          </cell>
          <cell r="BF80">
            <v>6411.5</v>
          </cell>
        </row>
        <row r="81">
          <cell r="A81" t="str">
            <v>GPS IIIA</v>
          </cell>
          <cell r="B81" t="b">
            <v>1</v>
          </cell>
          <cell r="C81">
            <v>40878</v>
          </cell>
          <cell r="D81">
            <v>40878</v>
          </cell>
          <cell r="E81">
            <v>1777</v>
          </cell>
          <cell r="F81">
            <v>1777</v>
          </cell>
          <cell r="G81">
            <v>0</v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>
            <v>0</v>
          </cell>
          <cell r="N81">
            <v>0</v>
          </cell>
          <cell r="O81">
            <v>0</v>
          </cell>
          <cell r="P81">
            <v>965.4</v>
          </cell>
          <cell r="Q81">
            <v>761.2</v>
          </cell>
          <cell r="R81">
            <v>665.7</v>
          </cell>
          <cell r="S81">
            <v>4169.3</v>
          </cell>
          <cell r="T81">
            <v>0</v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>
            <v>0</v>
          </cell>
          <cell r="AA81">
            <v>0</v>
          </cell>
          <cell r="AB81">
            <v>0</v>
          </cell>
          <cell r="AC81">
            <v>965.4</v>
          </cell>
          <cell r="AD81">
            <v>748.99143953557029</v>
          </cell>
          <cell r="AE81">
            <v>4256.5498818452688</v>
          </cell>
          <cell r="AF81">
            <v>-136.75125860474674</v>
          </cell>
          <cell r="AG81">
            <v>4119.7986232405219</v>
          </cell>
          <cell r="AH81">
            <v>4142.8999999999996</v>
          </cell>
          <cell r="AI81">
            <v>-133.1</v>
          </cell>
          <cell r="AJ81">
            <v>4009.8</v>
          </cell>
          <cell r="AK81">
            <v>-1.613008990009257E-2</v>
          </cell>
          <cell r="AL81">
            <v>-3.2000000000000001E-2</v>
          </cell>
          <cell r="AM81">
            <v>2010</v>
          </cell>
          <cell r="AN81">
            <v>-2.4000000000000021E-2</v>
          </cell>
          <cell r="AO81">
            <v>-2.4E-2</v>
          </cell>
          <cell r="AP81">
            <v>4269.8</v>
          </cell>
          <cell r="AQ81">
            <v>2010</v>
          </cell>
          <cell r="AR81" t="str">
            <v>-</v>
          </cell>
          <cell r="AS81" t="str">
            <v>-</v>
          </cell>
          <cell r="AT81" t="str">
            <v>-</v>
          </cell>
          <cell r="AU81">
            <v>-133.1</v>
          </cell>
          <cell r="AV81" t="str">
            <v>-</v>
          </cell>
          <cell r="AW81" t="str">
            <v>-</v>
          </cell>
          <cell r="AX81">
            <v>-133.1</v>
          </cell>
          <cell r="AY81" t="e">
            <v>#VALUE!</v>
          </cell>
          <cell r="AZ81" t="e">
            <v>#VALUE!</v>
          </cell>
          <cell r="BA81" t="e">
            <v>#VALUE!</v>
          </cell>
          <cell r="BB81">
            <v>-136.75125860474674</v>
          </cell>
          <cell r="BC81" t="e">
            <v>#VALUE!</v>
          </cell>
          <cell r="BD81" t="e">
            <v>#VALUE!</v>
          </cell>
          <cell r="BE81">
            <v>-136.75125860474674</v>
          </cell>
          <cell r="BF81">
            <v>4169.3</v>
          </cell>
        </row>
        <row r="82">
          <cell r="A82" t="str">
            <v>H-1 Upgrades</v>
          </cell>
          <cell r="B82" t="b">
            <v>1</v>
          </cell>
          <cell r="C82">
            <v>40878</v>
          </cell>
          <cell r="D82">
            <v>40878</v>
          </cell>
          <cell r="E82">
            <v>5691</v>
          </cell>
          <cell r="F82">
            <v>5691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 t="str">
            <v/>
          </cell>
          <cell r="M82">
            <v>0</v>
          </cell>
          <cell r="N82">
            <v>0</v>
          </cell>
          <cell r="O82">
            <v>0</v>
          </cell>
          <cell r="P82">
            <v>822.3</v>
          </cell>
          <cell r="Q82">
            <v>855.2</v>
          </cell>
          <cell r="R82">
            <v>5476.8</v>
          </cell>
          <cell r="S82">
            <v>12845.3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 t="str">
            <v/>
          </cell>
          <cell r="Z82">
            <v>0</v>
          </cell>
          <cell r="AA82">
            <v>0</v>
          </cell>
          <cell r="AB82">
            <v>0</v>
          </cell>
          <cell r="AC82">
            <v>822.3</v>
          </cell>
          <cell r="AD82">
            <v>841.48381383449771</v>
          </cell>
          <cell r="AE82">
            <v>11752.229098919543</v>
          </cell>
          <cell r="AF82">
            <v>760.62100073429144</v>
          </cell>
          <cell r="AG82">
            <v>12512.850099653833</v>
          </cell>
          <cell r="AH82">
            <v>11203.4</v>
          </cell>
          <cell r="AI82">
            <v>725.1</v>
          </cell>
          <cell r="AJ82">
            <v>11928.5</v>
          </cell>
          <cell r="AK82">
            <v>1.586828478278357E-2</v>
          </cell>
          <cell r="AL82">
            <v>6.5000000000000002E-2</v>
          </cell>
          <cell r="AM82">
            <v>2008</v>
          </cell>
          <cell r="AN82">
            <v>1.7685383379191677E-2</v>
          </cell>
          <cell r="AO82">
            <v>5.4000000000000006E-2</v>
          </cell>
          <cell r="AP82">
            <v>12186.8</v>
          </cell>
          <cell r="AQ82">
            <v>2008</v>
          </cell>
          <cell r="AR82" t="str">
            <v>-</v>
          </cell>
          <cell r="AS82">
            <v>-138.9</v>
          </cell>
          <cell r="AT82">
            <v>83.6</v>
          </cell>
          <cell r="AU82">
            <v>687.7</v>
          </cell>
          <cell r="AV82" t="str">
            <v>-</v>
          </cell>
          <cell r="AW82">
            <v>92.7</v>
          </cell>
          <cell r="AX82">
            <v>725.1</v>
          </cell>
          <cell r="AY82" t="e">
            <v>#VALUE!</v>
          </cell>
          <cell r="AZ82">
            <v>-145.70439525857549</v>
          </cell>
          <cell r="BA82">
            <v>87.695373964124613</v>
          </cell>
          <cell r="BB82">
            <v>721.38885975034088</v>
          </cell>
          <cell r="BC82" t="e">
            <v>#VALUE!</v>
          </cell>
          <cell r="BD82">
            <v>97.241162278401347</v>
          </cell>
          <cell r="BE82">
            <v>760.62100073429144</v>
          </cell>
          <cell r="BF82">
            <v>12845.3</v>
          </cell>
        </row>
        <row r="83">
          <cell r="A83" t="str">
            <v>HC/MC-130 RECAP</v>
          </cell>
          <cell r="B83" t="b">
            <v>1</v>
          </cell>
          <cell r="C83">
            <v>40878</v>
          </cell>
          <cell r="D83">
            <v>40878</v>
          </cell>
          <cell r="E83">
            <v>3046.9</v>
          </cell>
          <cell r="F83">
            <v>3046.9</v>
          </cell>
          <cell r="G83">
            <v>0</v>
          </cell>
          <cell r="H83" t="str">
            <v/>
          </cell>
          <cell r="I83" t="str">
            <v/>
          </cell>
          <cell r="J83" t="str">
            <v/>
          </cell>
          <cell r="K83" t="str">
            <v/>
          </cell>
          <cell r="L83" t="str">
            <v/>
          </cell>
          <cell r="M83" t="str">
            <v/>
          </cell>
          <cell r="N83">
            <v>0</v>
          </cell>
          <cell r="O83">
            <v>0</v>
          </cell>
          <cell r="P83">
            <v>1222.0999999999999</v>
          </cell>
          <cell r="Q83">
            <v>740</v>
          </cell>
          <cell r="R83">
            <v>8997.7999999999993</v>
          </cell>
          <cell r="S83">
            <v>14006.8</v>
          </cell>
          <cell r="T83">
            <v>0</v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>
            <v>0</v>
          </cell>
          <cell r="AB83">
            <v>0</v>
          </cell>
          <cell r="AC83">
            <v>1222.0999999999999</v>
          </cell>
          <cell r="AD83">
            <v>728.13145724687593</v>
          </cell>
          <cell r="AE83">
            <v>8362.4223602484471</v>
          </cell>
          <cell r="AF83">
            <v>4379.9171842650103</v>
          </cell>
          <cell r="AG83">
            <v>12742.339544513457</v>
          </cell>
          <cell r="AH83">
            <v>8078.1</v>
          </cell>
          <cell r="AI83">
            <v>4231</v>
          </cell>
          <cell r="AJ83">
            <v>12309.1</v>
          </cell>
          <cell r="AK83">
            <v>-5.699084529884324E-3</v>
          </cell>
          <cell r="AL83">
            <v>-1.7000000000000001E-2</v>
          </cell>
          <cell r="AM83">
            <v>2009</v>
          </cell>
          <cell r="AN83">
            <v>9.9950049937591601E-4</v>
          </cell>
          <cell r="AO83">
            <v>2E-3</v>
          </cell>
          <cell r="AP83">
            <v>8745.2999999999993</v>
          </cell>
          <cell r="AQ83">
            <v>2009</v>
          </cell>
          <cell r="AR83">
            <v>4443.7</v>
          </cell>
          <cell r="AS83">
            <v>-104.5</v>
          </cell>
          <cell r="AT83" t="str">
            <v>-</v>
          </cell>
          <cell r="AU83">
            <v>-548.5</v>
          </cell>
          <cell r="AV83" t="str">
            <v>-</v>
          </cell>
          <cell r="AW83">
            <v>440.3</v>
          </cell>
          <cell r="AX83">
            <v>4231</v>
          </cell>
          <cell r="AY83">
            <v>4600.1035196687371</v>
          </cell>
          <cell r="AZ83">
            <v>-108.17805383022775</v>
          </cell>
          <cell r="BA83" t="e">
            <v>#VALUE!</v>
          </cell>
          <cell r="BB83">
            <v>-567.80538302277432</v>
          </cell>
          <cell r="BC83" t="e">
            <v>#VALUE!</v>
          </cell>
          <cell r="BD83">
            <v>455.79710144927537</v>
          </cell>
          <cell r="BE83">
            <v>4379.9171842650103</v>
          </cell>
          <cell r="BF83">
            <v>14006.8</v>
          </cell>
        </row>
        <row r="84">
          <cell r="A84" t="str">
            <v>HIMARS</v>
          </cell>
          <cell r="B84" t="b">
            <v>1</v>
          </cell>
          <cell r="C84">
            <v>40878</v>
          </cell>
          <cell r="D84">
            <v>40878</v>
          </cell>
          <cell r="E84">
            <v>1940</v>
          </cell>
          <cell r="F84">
            <v>1940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 t="str">
            <v/>
          </cell>
          <cell r="M84">
            <v>0</v>
          </cell>
          <cell r="N84">
            <v>0</v>
          </cell>
          <cell r="O84">
            <v>0</v>
          </cell>
          <cell r="P84">
            <v>38.700000000000003</v>
          </cell>
          <cell r="Q84">
            <v>12.1</v>
          </cell>
          <cell r="R84" t="str">
            <v>-</v>
          </cell>
          <cell r="S84">
            <v>1990.8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/>
          </cell>
          <cell r="Z84">
            <v>0</v>
          </cell>
          <cell r="AA84">
            <v>0</v>
          </cell>
          <cell r="AB84">
            <v>0</v>
          </cell>
          <cell r="AC84">
            <v>38.700000000000003</v>
          </cell>
          <cell r="AD84">
            <v>11.905933287415133</v>
          </cell>
          <cell r="AE84">
            <v>4494.0065383218298</v>
          </cell>
          <cell r="AF84">
            <v>-2364.3298220123502</v>
          </cell>
          <cell r="AG84">
            <v>2129.6767163094805</v>
          </cell>
          <cell r="AH84">
            <v>3711.6</v>
          </cell>
          <cell r="AI84">
            <v>-1952.7</v>
          </cell>
          <cell r="AJ84">
            <v>1758.9</v>
          </cell>
          <cell r="AK84">
            <v>-1.53544625547688E-2</v>
          </cell>
          <cell r="AL84">
            <v>-0.13</v>
          </cell>
          <cell r="AM84">
            <v>2003</v>
          </cell>
          <cell r="AN84">
            <v>-4.0571464159168125E-3</v>
          </cell>
          <cell r="AO84">
            <v>-3.2000000000000001E-2</v>
          </cell>
          <cell r="AP84">
            <v>4388.3999999999996</v>
          </cell>
          <cell r="AQ84">
            <v>2003</v>
          </cell>
          <cell r="AR84">
            <v>-1689.8</v>
          </cell>
          <cell r="AS84">
            <v>-16.600000000000001</v>
          </cell>
          <cell r="AT84">
            <v>35.5</v>
          </cell>
          <cell r="AU84">
            <v>-173.5</v>
          </cell>
          <cell r="AV84" t="str">
            <v>-</v>
          </cell>
          <cell r="AW84">
            <v>-108.3</v>
          </cell>
          <cell r="AX84">
            <v>-1952.7</v>
          </cell>
          <cell r="AY84">
            <v>-2046.0104128829153</v>
          </cell>
          <cell r="AZ84">
            <v>-20.099285627799976</v>
          </cell>
          <cell r="BA84">
            <v>42.983412035355364</v>
          </cell>
          <cell r="BB84">
            <v>-210.07385882068044</v>
          </cell>
          <cell r="BC84" t="e">
            <v>#VALUE!</v>
          </cell>
          <cell r="BD84">
            <v>-131.12967671630946</v>
          </cell>
          <cell r="BE84">
            <v>-2364.3298220123502</v>
          </cell>
          <cell r="BF84">
            <v>1990.8</v>
          </cell>
        </row>
        <row r="85">
          <cell r="A85" t="str">
            <v>HLR</v>
          </cell>
          <cell r="B85" t="b">
            <v>0</v>
          </cell>
          <cell r="C85" t="str">
            <v/>
          </cell>
          <cell r="D85" t="str">
            <v/>
          </cell>
          <cell r="E85" t="str">
            <v/>
          </cell>
          <cell r="F85" t="e">
            <v>#VALUE!</v>
          </cell>
          <cell r="G85">
            <v>0</v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  <cell r="L85" t="str">
            <v/>
          </cell>
          <cell r="M85" t="str">
            <v/>
          </cell>
          <cell r="N85" t="str">
            <v/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>
            <v>0</v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e">
            <v>#VALUE!</v>
          </cell>
          <cell r="AF85" t="e">
            <v>#VALUE!</v>
          </cell>
          <cell r="AG85" t="e">
            <v>#VALUE!</v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 t="str">
            <v/>
          </cell>
          <cell r="AT85" t="str">
            <v/>
          </cell>
          <cell r="AU85" t="str">
            <v/>
          </cell>
          <cell r="AV85" t="str">
            <v/>
          </cell>
          <cell r="AW85" t="str">
            <v/>
          </cell>
          <cell r="AX85" t="str">
            <v/>
          </cell>
          <cell r="AY85" t="e">
            <v>#VALUE!</v>
          </cell>
          <cell r="AZ85" t="e">
            <v>#VALUE!</v>
          </cell>
          <cell r="BA85" t="e">
            <v>#VALUE!</v>
          </cell>
          <cell r="BB85" t="e">
            <v>#VALUE!</v>
          </cell>
          <cell r="BC85" t="e">
            <v>#VALUE!</v>
          </cell>
          <cell r="BD85" t="e">
            <v>#VALUE!</v>
          </cell>
          <cell r="BE85" t="e">
            <v>#VALUE!</v>
          </cell>
          <cell r="BF85" t="str">
            <v/>
          </cell>
        </row>
        <row r="86">
          <cell r="A86" t="str">
            <v>HPCM</v>
          </cell>
          <cell r="B86" t="b">
            <v>0</v>
          </cell>
          <cell r="C86" t="str">
            <v/>
          </cell>
          <cell r="D86" t="str">
            <v/>
          </cell>
          <cell r="E86" t="str">
            <v/>
          </cell>
          <cell r="F86" t="e">
            <v>#VALUE!</v>
          </cell>
          <cell r="G86">
            <v>0</v>
          </cell>
          <cell r="H86" t="str">
            <v/>
          </cell>
          <cell r="I86" t="str">
            <v/>
          </cell>
          <cell r="J86" t="str">
            <v/>
          </cell>
          <cell r="K86" t="str">
            <v/>
          </cell>
          <cell r="L86" t="str">
            <v/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>
            <v>0</v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 t="e">
            <v>#VALUE!</v>
          </cell>
          <cell r="AF86" t="e">
            <v>#VALUE!</v>
          </cell>
          <cell r="AG86" t="e">
            <v>#VALUE!</v>
          </cell>
          <cell r="AH86" t="str">
            <v/>
          </cell>
          <cell r="AI86" t="str">
            <v/>
          </cell>
          <cell r="AJ86" t="str">
            <v/>
          </cell>
          <cell r="AK86" t="str">
            <v/>
          </cell>
          <cell r="AL86" t="str">
            <v/>
          </cell>
          <cell r="AM86" t="str">
            <v/>
          </cell>
          <cell r="AN86" t="str">
            <v/>
          </cell>
          <cell r="AO86" t="str">
            <v/>
          </cell>
          <cell r="AP86" t="str">
            <v/>
          </cell>
          <cell r="AQ86" t="str">
            <v/>
          </cell>
          <cell r="AR86" t="str">
            <v/>
          </cell>
          <cell r="AS86" t="str">
            <v/>
          </cell>
          <cell r="AT86" t="str">
            <v/>
          </cell>
          <cell r="AU86" t="str">
            <v/>
          </cell>
          <cell r="AV86" t="str">
            <v/>
          </cell>
          <cell r="AW86" t="str">
            <v/>
          </cell>
          <cell r="AX86" t="str">
            <v/>
          </cell>
          <cell r="AY86" t="e">
            <v>#VALUE!</v>
          </cell>
          <cell r="AZ86" t="e">
            <v>#VALUE!</v>
          </cell>
          <cell r="BA86" t="e">
            <v>#VALUE!</v>
          </cell>
          <cell r="BB86" t="e">
            <v>#VALUE!</v>
          </cell>
          <cell r="BC86" t="e">
            <v>#VALUE!</v>
          </cell>
          <cell r="BD86" t="e">
            <v>#VALUE!</v>
          </cell>
          <cell r="BE86" t="e">
            <v>#VALUE!</v>
          </cell>
          <cell r="BF86" t="str">
            <v/>
          </cell>
        </row>
        <row r="87">
          <cell r="A87" t="str">
            <v>IAMD</v>
          </cell>
          <cell r="B87" t="b">
            <v>1</v>
          </cell>
          <cell r="C87">
            <v>40878</v>
          </cell>
          <cell r="D87">
            <v>40878</v>
          </cell>
          <cell r="E87">
            <v>634.1</v>
          </cell>
          <cell r="F87">
            <v>634.1</v>
          </cell>
          <cell r="G87">
            <v>0</v>
          </cell>
          <cell r="H87" t="str">
            <v/>
          </cell>
          <cell r="I87" t="str">
            <v/>
          </cell>
          <cell r="J87" t="str">
            <v/>
          </cell>
          <cell r="K87" t="str">
            <v/>
          </cell>
          <cell r="L87" t="str">
            <v/>
          </cell>
          <cell r="M87" t="str">
            <v/>
          </cell>
          <cell r="N87">
            <v>0</v>
          </cell>
          <cell r="O87">
            <v>0</v>
          </cell>
          <cell r="P87">
            <v>270.2</v>
          </cell>
          <cell r="Q87">
            <v>277.39999999999998</v>
          </cell>
          <cell r="R87">
            <v>5512.7</v>
          </cell>
          <cell r="S87">
            <v>6694.4</v>
          </cell>
          <cell r="T87">
            <v>0</v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>
            <v>0</v>
          </cell>
          <cell r="AB87">
            <v>0</v>
          </cell>
          <cell r="AC87">
            <v>270.2</v>
          </cell>
          <cell r="AD87">
            <v>272.95090032470728</v>
          </cell>
          <cell r="AE87">
            <v>5027.5362318840589</v>
          </cell>
          <cell r="AF87">
            <v>731.15942028985501</v>
          </cell>
          <cell r="AG87">
            <v>5758.695652173913</v>
          </cell>
          <cell r="AH87">
            <v>4856.6000000000004</v>
          </cell>
          <cell r="AI87">
            <v>706.3</v>
          </cell>
          <cell r="AJ87">
            <v>5562.9</v>
          </cell>
          <cell r="AK87">
            <v>-4.2442551967853404E-2</v>
          </cell>
          <cell r="AL87">
            <v>-0.122</v>
          </cell>
          <cell r="AM87">
            <v>2009</v>
          </cell>
          <cell r="AN87">
            <v>-7.6961539262853873E-2</v>
          </cell>
          <cell r="AO87">
            <v>-0.14800000000000002</v>
          </cell>
          <cell r="AP87">
            <v>5791.6</v>
          </cell>
          <cell r="AQ87">
            <v>2009</v>
          </cell>
          <cell r="AR87">
            <v>1478.9</v>
          </cell>
          <cell r="AS87" t="str">
            <v>-</v>
          </cell>
          <cell r="AT87">
            <v>148.69999999999999</v>
          </cell>
          <cell r="AU87">
            <v>-203.8</v>
          </cell>
          <cell r="AV87" t="str">
            <v>-</v>
          </cell>
          <cell r="AW87">
            <v>-717.5</v>
          </cell>
          <cell r="AX87">
            <v>706.3</v>
          </cell>
          <cell r="AY87">
            <v>1530.9523809523812</v>
          </cell>
          <cell r="AZ87" t="e">
            <v>#VALUE!</v>
          </cell>
          <cell r="BA87">
            <v>153.93374741200827</v>
          </cell>
          <cell r="BB87">
            <v>-210.97308488612839</v>
          </cell>
          <cell r="BC87" t="e">
            <v>#VALUE!</v>
          </cell>
          <cell r="BD87">
            <v>-742.75362318840587</v>
          </cell>
          <cell r="BE87">
            <v>731.15942028985501</v>
          </cell>
          <cell r="BF87">
            <v>6694.4</v>
          </cell>
        </row>
        <row r="88">
          <cell r="A88" t="str">
            <v>IDECM</v>
          </cell>
          <cell r="B88" t="b">
            <v>0</v>
          </cell>
          <cell r="C88" t="str">
            <v/>
          </cell>
          <cell r="D88" t="str">
            <v/>
          </cell>
          <cell r="E88" t="str">
            <v/>
          </cell>
          <cell r="F88" t="e">
            <v>#VALUE!</v>
          </cell>
          <cell r="G88">
            <v>0</v>
          </cell>
          <cell r="H88" t="str">
            <v/>
          </cell>
          <cell r="I88" t="str">
            <v/>
          </cell>
          <cell r="J88" t="str">
            <v/>
          </cell>
          <cell r="K88" t="str">
            <v/>
          </cell>
          <cell r="L88" t="str">
            <v/>
          </cell>
          <cell r="M88" t="str">
            <v/>
          </cell>
          <cell r="N88" t="str">
            <v/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>
            <v>0</v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 t="str">
            <v/>
          </cell>
          <cell r="AD88" t="str">
            <v/>
          </cell>
          <cell r="AE88" t="e">
            <v>#VALUE!</v>
          </cell>
          <cell r="AF88" t="e">
            <v>#VALUE!</v>
          </cell>
          <cell r="AG88" t="e">
            <v>#VALUE!</v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 t="str">
            <v/>
          </cell>
          <cell r="AQ88" t="str">
            <v/>
          </cell>
          <cell r="AR88" t="str">
            <v/>
          </cell>
          <cell r="AS88" t="str">
            <v/>
          </cell>
          <cell r="AT88" t="str">
            <v/>
          </cell>
          <cell r="AU88" t="str">
            <v/>
          </cell>
          <cell r="AV88" t="str">
            <v/>
          </cell>
          <cell r="AW88" t="str">
            <v/>
          </cell>
          <cell r="AX88" t="str">
            <v/>
          </cell>
          <cell r="AY88" t="e">
            <v>#VALUE!</v>
          </cell>
          <cell r="AZ88" t="e">
            <v>#VALUE!</v>
          </cell>
          <cell r="BA88" t="e">
            <v>#VALUE!</v>
          </cell>
          <cell r="BB88" t="e">
            <v>#VALUE!</v>
          </cell>
          <cell r="BC88" t="e">
            <v>#VALUE!</v>
          </cell>
          <cell r="BD88" t="e">
            <v>#VALUE!</v>
          </cell>
          <cell r="BE88" t="e">
            <v>#VALUE!</v>
          </cell>
          <cell r="BF88" t="str">
            <v/>
          </cell>
        </row>
        <row r="89">
          <cell r="A89" t="str">
            <v>IDECM Split</v>
          </cell>
          <cell r="B89" t="b">
            <v>1</v>
          </cell>
          <cell r="C89">
            <v>40878</v>
          </cell>
          <cell r="D89">
            <v>40878</v>
          </cell>
          <cell r="E89">
            <v>126.7</v>
          </cell>
          <cell r="F89">
            <v>126.7</v>
          </cell>
          <cell r="G89">
            <v>0</v>
          </cell>
          <cell r="H89" t="str">
            <v/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>
            <v>0</v>
          </cell>
          <cell r="O89">
            <v>0</v>
          </cell>
          <cell r="P89">
            <v>106.2</v>
          </cell>
          <cell r="Q89">
            <v>93.1</v>
          </cell>
          <cell r="R89">
            <v>580.1</v>
          </cell>
          <cell r="S89">
            <v>906.1</v>
          </cell>
          <cell r="T89">
            <v>0</v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>
            <v>0</v>
          </cell>
          <cell r="AB89">
            <v>0</v>
          </cell>
          <cell r="AC89">
            <v>106.2</v>
          </cell>
          <cell r="AD89">
            <v>91.606809013086689</v>
          </cell>
          <cell r="AE89">
            <v>1480.0167838036296</v>
          </cell>
          <cell r="AF89">
            <v>67.345012063358865</v>
          </cell>
          <cell r="AG89">
            <v>1547.3617958669881</v>
          </cell>
          <cell r="AH89">
            <v>1410.9</v>
          </cell>
          <cell r="AI89">
            <v>64.2</v>
          </cell>
          <cell r="AJ89">
            <v>1475.1</v>
          </cell>
          <cell r="AK89">
            <v>1.2994512615554177E-2</v>
          </cell>
          <cell r="AL89">
            <v>5.2999999999999999E-2</v>
          </cell>
          <cell r="AM89">
            <v>2008</v>
          </cell>
          <cell r="AN89">
            <v>2.9457092841969956E-2</v>
          </cell>
          <cell r="AO89">
            <v>9.0999999999999998E-2</v>
          </cell>
          <cell r="AP89">
            <v>1535.2</v>
          </cell>
          <cell r="AQ89">
            <v>2008</v>
          </cell>
          <cell r="AR89">
            <v>-10.5</v>
          </cell>
          <cell r="AS89">
            <v>77.3</v>
          </cell>
          <cell r="AT89" t="str">
            <v>-</v>
          </cell>
          <cell r="AU89">
            <v>-41.4</v>
          </cell>
          <cell r="AV89" t="str">
            <v>-</v>
          </cell>
          <cell r="AW89">
            <v>38.799999999999997</v>
          </cell>
          <cell r="AX89">
            <v>64.2</v>
          </cell>
          <cell r="AY89">
            <v>-11.014371131857757</v>
          </cell>
          <cell r="AZ89">
            <v>81.086751285009953</v>
          </cell>
          <cell r="BA89" t="e">
            <v>#VALUE!</v>
          </cell>
          <cell r="BB89">
            <v>-43.428091891324868</v>
          </cell>
          <cell r="BC89" t="e">
            <v>#VALUE!</v>
          </cell>
          <cell r="BD89">
            <v>40.700723801531517</v>
          </cell>
          <cell r="BE89">
            <v>67.345012063358865</v>
          </cell>
          <cell r="BF89">
            <v>1663.2</v>
          </cell>
        </row>
        <row r="90">
          <cell r="A90" t="str">
            <v>IDECM Split</v>
          </cell>
          <cell r="B90" t="b">
            <v>1</v>
          </cell>
          <cell r="C90">
            <v>40878</v>
          </cell>
          <cell r="D90">
            <v>40878</v>
          </cell>
          <cell r="E90">
            <v>126.7</v>
          </cell>
          <cell r="F90">
            <v>126.7</v>
          </cell>
          <cell r="G90">
            <v>0</v>
          </cell>
          <cell r="H90" t="str">
            <v/>
          </cell>
          <cell r="I90" t="str">
            <v/>
          </cell>
          <cell r="J90" t="str">
            <v/>
          </cell>
          <cell r="K90" t="str">
            <v/>
          </cell>
          <cell r="L90" t="str">
            <v/>
          </cell>
          <cell r="M90" t="str">
            <v/>
          </cell>
          <cell r="N90">
            <v>0</v>
          </cell>
          <cell r="O90">
            <v>0</v>
          </cell>
          <cell r="P90">
            <v>106.2</v>
          </cell>
          <cell r="Q90">
            <v>93.1</v>
          </cell>
          <cell r="R90">
            <v>580.1</v>
          </cell>
          <cell r="S90">
            <v>906.1</v>
          </cell>
          <cell r="T90">
            <v>0</v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>
            <v>0</v>
          </cell>
          <cell r="AB90">
            <v>0</v>
          </cell>
          <cell r="AC90">
            <v>106.2</v>
          </cell>
          <cell r="AD90">
            <v>91.606809013086689</v>
          </cell>
          <cell r="AE90">
            <v>1480.0167838036296</v>
          </cell>
          <cell r="AF90">
            <v>67.345012063358865</v>
          </cell>
          <cell r="AG90">
            <v>1547.3617958669881</v>
          </cell>
          <cell r="AH90">
            <v>1410.9</v>
          </cell>
          <cell r="AI90">
            <v>64.2</v>
          </cell>
          <cell r="AJ90">
            <v>1475.1</v>
          </cell>
          <cell r="AK90">
            <v>1.2994512615554177E-2</v>
          </cell>
          <cell r="AL90">
            <v>5.2999999999999999E-2</v>
          </cell>
          <cell r="AM90">
            <v>2008</v>
          </cell>
          <cell r="AN90">
            <v>2.9457092841969956E-2</v>
          </cell>
          <cell r="AO90">
            <v>9.0999999999999998E-2</v>
          </cell>
          <cell r="AP90">
            <v>1535.2</v>
          </cell>
          <cell r="AQ90">
            <v>2008</v>
          </cell>
          <cell r="AR90">
            <v>-10.5</v>
          </cell>
          <cell r="AS90">
            <v>77.3</v>
          </cell>
          <cell r="AT90" t="str">
            <v>-</v>
          </cell>
          <cell r="AU90">
            <v>-41.4</v>
          </cell>
          <cell r="AV90" t="str">
            <v>-</v>
          </cell>
          <cell r="AW90">
            <v>38.799999999999997</v>
          </cell>
          <cell r="AX90">
            <v>64.2</v>
          </cell>
          <cell r="AY90">
            <v>-11.014371131857757</v>
          </cell>
          <cell r="AZ90">
            <v>81.086751285009953</v>
          </cell>
          <cell r="BA90" t="e">
            <v>#VALUE!</v>
          </cell>
          <cell r="BB90">
            <v>-43.428091891324868</v>
          </cell>
          <cell r="BC90" t="e">
            <v>#VALUE!</v>
          </cell>
          <cell r="BD90">
            <v>40.700723801531517</v>
          </cell>
          <cell r="BE90">
            <v>67.345012063358865</v>
          </cell>
          <cell r="BF90">
            <v>1663.2</v>
          </cell>
        </row>
        <row r="91">
          <cell r="A91" t="str">
            <v>JASSM</v>
          </cell>
          <cell r="B91" t="b">
            <v>0</v>
          </cell>
          <cell r="C91">
            <v>40148</v>
          </cell>
          <cell r="D91">
            <v>40148</v>
          </cell>
          <cell r="E91">
            <v>2030.9</v>
          </cell>
          <cell r="F91">
            <v>2112.9</v>
          </cell>
          <cell r="G91">
            <v>82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 t="str">
            <v/>
          </cell>
          <cell r="M91">
            <v>0</v>
          </cell>
          <cell r="N91">
            <v>82</v>
          </cell>
          <cell r="O91">
            <v>235.8</v>
          </cell>
          <cell r="P91">
            <v>0</v>
          </cell>
          <cell r="Q91">
            <v>0</v>
          </cell>
          <cell r="R91">
            <v>5362.6</v>
          </cell>
          <cell r="S91">
            <v>7711.3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 t="str">
            <v/>
          </cell>
          <cell r="Z91">
            <v>0</v>
          </cell>
          <cell r="AA91">
            <v>84.249460597965694</v>
          </cell>
          <cell r="AB91">
            <v>239.0753320490723</v>
          </cell>
          <cell r="AC91">
            <v>0</v>
          </cell>
          <cell r="AD91">
            <v>0</v>
          </cell>
          <cell r="AE91">
            <v>5610.2807654700382</v>
          </cell>
          <cell r="AF91">
            <v>2099.3155468640875</v>
          </cell>
          <cell r="AG91">
            <v>7709.5963123341253</v>
          </cell>
          <cell r="AH91">
            <v>4016.4</v>
          </cell>
          <cell r="AI91">
            <v>1502.9</v>
          </cell>
          <cell r="AJ91">
            <v>5519.3</v>
          </cell>
          <cell r="AK91">
            <v>2.4891487961109071E-2</v>
          </cell>
          <cell r="AL91">
            <v>0.44600000000000001</v>
          </cell>
          <cell r="AM91">
            <v>1995</v>
          </cell>
          <cell r="AN91">
            <v>3.5967161400899617E-2</v>
          </cell>
          <cell r="AO91">
            <v>0.64</v>
          </cell>
          <cell r="AP91">
            <v>4981.1000000000004</v>
          </cell>
          <cell r="AQ91">
            <v>1995</v>
          </cell>
          <cell r="AR91">
            <v>-198.3</v>
          </cell>
          <cell r="AS91">
            <v>-20.8</v>
          </cell>
          <cell r="AT91">
            <v>315.2</v>
          </cell>
          <cell r="AU91">
            <v>1386.9</v>
          </cell>
          <cell r="AV91" t="str">
            <v>-</v>
          </cell>
          <cell r="AW91">
            <v>19.899999999999999</v>
          </cell>
          <cell r="AX91">
            <v>1502.9</v>
          </cell>
          <cell r="AY91">
            <v>-276.9939935745216</v>
          </cell>
          <cell r="AZ91">
            <v>-29.054337197932675</v>
          </cell>
          <cell r="BA91">
            <v>440.28495599944125</v>
          </cell>
          <cell r="BB91">
            <v>1937.2817432602321</v>
          </cell>
          <cell r="BC91" t="e">
            <v>#VALUE!</v>
          </cell>
          <cell r="BD91">
            <v>27.797178376868278</v>
          </cell>
          <cell r="BE91">
            <v>2099.3155468640875</v>
          </cell>
          <cell r="BF91">
            <v>7711.3</v>
          </cell>
        </row>
        <row r="92">
          <cell r="A92" t="str">
            <v>JASSM Split</v>
          </cell>
          <cell r="B92" t="b">
            <v>1</v>
          </cell>
          <cell r="C92">
            <v>40878</v>
          </cell>
          <cell r="D92">
            <v>40878</v>
          </cell>
          <cell r="E92">
            <v>2093.9</v>
          </cell>
          <cell r="F92">
            <v>2093.9</v>
          </cell>
          <cell r="G92">
            <v>0</v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>
            <v>0</v>
          </cell>
          <cell r="O92">
            <v>0</v>
          </cell>
          <cell r="P92">
            <v>167.2</v>
          </cell>
          <cell r="Q92">
            <v>159.1</v>
          </cell>
          <cell r="R92">
            <v>1135.4000000000001</v>
          </cell>
          <cell r="S92">
            <v>3555.6</v>
          </cell>
          <cell r="T92">
            <v>0</v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>
            <v>0</v>
          </cell>
          <cell r="AB92">
            <v>0</v>
          </cell>
          <cell r="AC92">
            <v>167.2</v>
          </cell>
          <cell r="AD92">
            <v>156.54826330807833</v>
          </cell>
          <cell r="AE92">
            <v>2969.7934860782907</v>
          </cell>
          <cell r="AF92">
            <v>718.07253673071</v>
          </cell>
          <cell r="AG92">
            <v>3687.8660228090007</v>
          </cell>
          <cell r="AH92">
            <v>2890.5</v>
          </cell>
          <cell r="AI92">
            <v>698.9</v>
          </cell>
          <cell r="AJ92">
            <v>3589.4</v>
          </cell>
          <cell r="AK92">
            <v>0.16576155366352685</v>
          </cell>
          <cell r="AL92">
            <v>0.35899999999999999</v>
          </cell>
          <cell r="AM92">
            <v>2010</v>
          </cell>
          <cell r="AN92">
            <v>0.52300000000000013</v>
          </cell>
          <cell r="AO92">
            <v>0.52300000000000002</v>
          </cell>
          <cell r="AP92">
            <v>2679.7</v>
          </cell>
          <cell r="AQ92">
            <v>2010</v>
          </cell>
          <cell r="AR92">
            <v>-248.7</v>
          </cell>
          <cell r="AS92" t="str">
            <v>-</v>
          </cell>
          <cell r="AT92">
            <v>121.8</v>
          </cell>
          <cell r="AU92">
            <v>331.4</v>
          </cell>
          <cell r="AV92" t="str">
            <v>-</v>
          </cell>
          <cell r="AW92">
            <v>494.4</v>
          </cell>
          <cell r="AX92">
            <v>698.9</v>
          </cell>
          <cell r="AY92">
            <v>-255.52244939895203</v>
          </cell>
          <cell r="AZ92" t="e">
            <v>#VALUE!</v>
          </cell>
          <cell r="BA92">
            <v>125.14127196136855</v>
          </cell>
          <cell r="BB92">
            <v>340.49111270933935</v>
          </cell>
          <cell r="BC92" t="e">
            <v>#VALUE!</v>
          </cell>
          <cell r="BD92">
            <v>507.96260145895405</v>
          </cell>
          <cell r="BE92">
            <v>718.07253673071</v>
          </cell>
          <cell r="BF92">
            <v>3555.6</v>
          </cell>
        </row>
        <row r="93">
          <cell r="A93" t="str">
            <v>JASSM Split</v>
          </cell>
          <cell r="B93" t="b">
            <v>1</v>
          </cell>
          <cell r="C93">
            <v>40878</v>
          </cell>
          <cell r="D93">
            <v>40878</v>
          </cell>
          <cell r="E93">
            <v>2093.9</v>
          </cell>
          <cell r="F93">
            <v>2093.9</v>
          </cell>
          <cell r="G93">
            <v>0</v>
          </cell>
          <cell r="H93" t="str">
            <v/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>
            <v>0</v>
          </cell>
          <cell r="O93">
            <v>0</v>
          </cell>
          <cell r="P93">
            <v>167.2</v>
          </cell>
          <cell r="Q93">
            <v>159.1</v>
          </cell>
          <cell r="R93">
            <v>1135.4000000000001</v>
          </cell>
          <cell r="S93">
            <v>3555.6</v>
          </cell>
          <cell r="T93">
            <v>0</v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>
            <v>0</v>
          </cell>
          <cell r="AB93">
            <v>0</v>
          </cell>
          <cell r="AC93">
            <v>167.2</v>
          </cell>
          <cell r="AD93">
            <v>156.54826330807833</v>
          </cell>
          <cell r="AE93">
            <v>2969.7934860782907</v>
          </cell>
          <cell r="AF93">
            <v>718.07253673071</v>
          </cell>
          <cell r="AG93">
            <v>3687.8660228090007</v>
          </cell>
          <cell r="AH93">
            <v>2890.5</v>
          </cell>
          <cell r="AI93">
            <v>698.9</v>
          </cell>
          <cell r="AJ93">
            <v>3589.4</v>
          </cell>
          <cell r="AK93">
            <v>0.16576155366352685</v>
          </cell>
          <cell r="AL93">
            <v>0.35899999999999999</v>
          </cell>
          <cell r="AM93">
            <v>2010</v>
          </cell>
          <cell r="AN93">
            <v>0.52300000000000013</v>
          </cell>
          <cell r="AO93">
            <v>0.52300000000000002</v>
          </cell>
          <cell r="AP93">
            <v>2679.7</v>
          </cell>
          <cell r="AQ93">
            <v>2010</v>
          </cell>
          <cell r="AR93">
            <v>-248.7</v>
          </cell>
          <cell r="AS93" t="str">
            <v>-</v>
          </cell>
          <cell r="AT93">
            <v>121.8</v>
          </cell>
          <cell r="AU93">
            <v>331.4</v>
          </cell>
          <cell r="AV93" t="str">
            <v>-</v>
          </cell>
          <cell r="AW93">
            <v>494.4</v>
          </cell>
          <cell r="AX93">
            <v>698.9</v>
          </cell>
          <cell r="AY93">
            <v>-255.52244939895203</v>
          </cell>
          <cell r="AZ93" t="e">
            <v>#VALUE!</v>
          </cell>
          <cell r="BA93">
            <v>125.14127196136855</v>
          </cell>
          <cell r="BB93">
            <v>340.49111270933935</v>
          </cell>
          <cell r="BC93" t="e">
            <v>#VALUE!</v>
          </cell>
          <cell r="BD93">
            <v>507.96260145895405</v>
          </cell>
          <cell r="BE93">
            <v>718.07253673071</v>
          </cell>
          <cell r="BF93">
            <v>3555.6</v>
          </cell>
        </row>
        <row r="94">
          <cell r="A94" t="str">
            <v>JAVELIN</v>
          </cell>
          <cell r="B94" t="b">
            <v>0</v>
          </cell>
          <cell r="C94">
            <v>39417</v>
          </cell>
          <cell r="D94">
            <v>39417</v>
          </cell>
          <cell r="E94">
            <v>4356.8999999999996</v>
          </cell>
          <cell r="F94">
            <v>426.1</v>
          </cell>
          <cell r="G94">
            <v>426.1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166.8</v>
          </cell>
          <cell r="M94">
            <v>259.3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141</v>
          </cell>
          <cell r="S94">
            <v>4924</v>
          </cell>
          <cell r="T94">
            <v>443.39765387270847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174.9711528375118</v>
          </cell>
          <cell r="Z94">
            <v>268.42650103519668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5101.7359709325801</v>
          </cell>
          <cell r="AF94">
            <v>1215.4487955860584</v>
          </cell>
          <cell r="AG94">
            <v>6317.1847665186388</v>
          </cell>
          <cell r="AH94">
            <v>3791.1</v>
          </cell>
          <cell r="AI94">
            <v>903.2</v>
          </cell>
          <cell r="AJ94">
            <v>4694.3</v>
          </cell>
          <cell r="AK94">
            <v>8.8687977714645427E-3</v>
          </cell>
          <cell r="AL94">
            <v>0.10199999999999999</v>
          </cell>
          <cell r="AM94">
            <v>1997</v>
          </cell>
          <cell r="AN94">
            <v>1.0125913899430738E-2</v>
          </cell>
          <cell r="AO94">
            <v>0.106</v>
          </cell>
          <cell r="AP94">
            <v>3926</v>
          </cell>
          <cell r="AQ94">
            <v>1997</v>
          </cell>
          <cell r="AR94">
            <v>469</v>
          </cell>
          <cell r="AS94">
            <v>-4.5</v>
          </cell>
          <cell r="AT94">
            <v>7.3</v>
          </cell>
          <cell r="AU94">
            <v>406.6</v>
          </cell>
          <cell r="AV94" t="str">
            <v>-</v>
          </cell>
          <cell r="AW94">
            <v>24.8</v>
          </cell>
          <cell r="AX94">
            <v>903.2</v>
          </cell>
          <cell r="AY94">
            <v>631.13981967433722</v>
          </cell>
          <cell r="AZ94">
            <v>-6.0557125555106985</v>
          </cell>
          <cell r="BA94">
            <v>9.8237114789395772</v>
          </cell>
          <cell r="BB94">
            <v>547.16727223792225</v>
          </cell>
          <cell r="BC94" t="e">
            <v>#VALUE!</v>
          </cell>
          <cell r="BD94">
            <v>33.373704750370074</v>
          </cell>
          <cell r="BE94">
            <v>1215.4487955860584</v>
          </cell>
          <cell r="BF94">
            <v>4924</v>
          </cell>
        </row>
        <row r="95">
          <cell r="A95" t="str">
            <v>JCA</v>
          </cell>
          <cell r="B95" t="b">
            <v>0</v>
          </cell>
          <cell r="C95">
            <v>40513</v>
          </cell>
          <cell r="D95">
            <v>40513</v>
          </cell>
          <cell r="E95">
            <v>1253.9000000000001</v>
          </cell>
          <cell r="F95">
            <v>1253.9000000000001</v>
          </cell>
          <cell r="G95">
            <v>0</v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>
            <v>0</v>
          </cell>
          <cell r="N95">
            <v>0</v>
          </cell>
          <cell r="O95">
            <v>0</v>
          </cell>
          <cell r="P95">
            <v>603.5</v>
          </cell>
          <cell r="Q95">
            <v>211.7</v>
          </cell>
          <cell r="R95">
            <v>220.3</v>
          </cell>
          <cell r="S95">
            <v>2289.4</v>
          </cell>
          <cell r="T95">
            <v>0</v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>
            <v>0</v>
          </cell>
          <cell r="AA95">
            <v>0</v>
          </cell>
          <cell r="AB95">
            <v>0</v>
          </cell>
          <cell r="AC95">
            <v>603.5</v>
          </cell>
          <cell r="AD95">
            <v>208.30463445832922</v>
          </cell>
          <cell r="AE95">
            <v>3900.8477304431808</v>
          </cell>
          <cell r="AF95">
            <v>-1647.3870586972853</v>
          </cell>
          <cell r="AG95">
            <v>2253.4606717458955</v>
          </cell>
          <cell r="AH95">
            <v>3635.2</v>
          </cell>
          <cell r="AI95">
            <v>-1535.2</v>
          </cell>
          <cell r="AJ95">
            <v>2100</v>
          </cell>
          <cell r="AK95">
            <v>-3.145307188309876E-2</v>
          </cell>
          <cell r="AL95">
            <v>-0.12</v>
          </cell>
          <cell r="AM95">
            <v>2007</v>
          </cell>
          <cell r="AN95">
            <v>-5.5712957155178322E-2</v>
          </cell>
          <cell r="AO95">
            <v>-0.158</v>
          </cell>
          <cell r="AP95">
            <v>4087.8</v>
          </cell>
          <cell r="AQ95">
            <v>2007</v>
          </cell>
          <cell r="AR95">
            <v>-1248.2</v>
          </cell>
          <cell r="AS95" t="str">
            <v>-</v>
          </cell>
          <cell r="AT95">
            <v>5.5</v>
          </cell>
          <cell r="AU95">
            <v>-329</v>
          </cell>
          <cell r="AV95" t="str">
            <v>-</v>
          </cell>
          <cell r="AW95">
            <v>36.5</v>
          </cell>
          <cell r="AX95">
            <v>-1535.2</v>
          </cell>
          <cell r="AY95">
            <v>-1339.4141002253461</v>
          </cell>
          <cell r="AZ95" t="e">
            <v>#VALUE!</v>
          </cell>
          <cell r="BA95">
            <v>5.9019208069535365</v>
          </cell>
          <cell r="BB95">
            <v>-353.04217190685699</v>
          </cell>
          <cell r="BC95" t="e">
            <v>#VALUE!</v>
          </cell>
          <cell r="BD95">
            <v>39.167292627964379</v>
          </cell>
          <cell r="BE95">
            <v>-1647.3870586972853</v>
          </cell>
          <cell r="BF95">
            <v>2289.4</v>
          </cell>
        </row>
        <row r="96">
          <cell r="A96" t="str">
            <v>JCM</v>
          </cell>
          <cell r="B96" t="b">
            <v>0</v>
          </cell>
          <cell r="C96">
            <v>38322</v>
          </cell>
          <cell r="D96">
            <v>38322</v>
          </cell>
          <cell r="E96">
            <v>293.3</v>
          </cell>
          <cell r="F96">
            <v>293.3</v>
          </cell>
          <cell r="G96">
            <v>0</v>
          </cell>
          <cell r="H96">
            <v>0</v>
          </cell>
          <cell r="I96">
            <v>0</v>
          </cell>
          <cell r="J96" t="str">
            <v>-</v>
          </cell>
          <cell r="K96" t="str">
            <v>-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 t="str">
            <v>-</v>
          </cell>
          <cell r="S96">
            <v>293.3</v>
          </cell>
          <cell r="T96">
            <v>0</v>
          </cell>
          <cell r="U96">
            <v>0</v>
          </cell>
          <cell r="V96">
            <v>0</v>
          </cell>
          <cell r="W96" t="str">
            <v/>
          </cell>
          <cell r="X96" t="str">
            <v/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7993.1531106126786</v>
          </cell>
          <cell r="AF96">
            <v>-7656.4750324636998</v>
          </cell>
          <cell r="AG96">
            <v>336.6780781489789</v>
          </cell>
          <cell r="AH96">
            <v>6771</v>
          </cell>
          <cell r="AI96">
            <v>-6485.8</v>
          </cell>
          <cell r="AJ96">
            <v>285.2</v>
          </cell>
          <cell r="AK96">
            <v>-0.70599999999999996</v>
          </cell>
          <cell r="AL96">
            <v>-0.70599999999999996</v>
          </cell>
          <cell r="AM96">
            <v>2004</v>
          </cell>
          <cell r="AN96">
            <v>-0.71099999999999997</v>
          </cell>
          <cell r="AO96">
            <v>-0.71099999999999997</v>
          </cell>
          <cell r="AP96">
            <v>8141.3</v>
          </cell>
          <cell r="AQ96">
            <v>2004</v>
          </cell>
          <cell r="AR96">
            <v>-5801.4</v>
          </cell>
          <cell r="AS96" t="str">
            <v xml:space="preserve">- </v>
          </cell>
          <cell r="AT96" t="str">
            <v xml:space="preserve">- </v>
          </cell>
          <cell r="AU96" t="str">
            <v xml:space="preserve">- </v>
          </cell>
          <cell r="AV96">
            <v>-684.4</v>
          </cell>
          <cell r="AW96" t="str">
            <v xml:space="preserve">- </v>
          </cell>
          <cell r="AX96">
            <v>-6485.8</v>
          </cell>
          <cell r="AY96">
            <v>-6848.5420847597688</v>
          </cell>
          <cell r="AZ96" t="e">
            <v>#VALUE!</v>
          </cell>
          <cell r="BA96" t="e">
            <v>#VALUE!</v>
          </cell>
          <cell r="BB96" t="e">
            <v>#VALUE!</v>
          </cell>
          <cell r="BC96">
            <v>-807.93294770393106</v>
          </cell>
          <cell r="BD96" t="e">
            <v>#VALUE!</v>
          </cell>
          <cell r="BE96">
            <v>-7656.4750324636998</v>
          </cell>
          <cell r="BF96">
            <v>293.3</v>
          </cell>
        </row>
        <row r="97">
          <cell r="A97" t="str">
            <v>JDAM</v>
          </cell>
          <cell r="B97" t="b">
            <v>1</v>
          </cell>
          <cell r="C97">
            <v>40878</v>
          </cell>
          <cell r="D97">
            <v>40878</v>
          </cell>
          <cell r="E97">
            <v>5446.6</v>
          </cell>
          <cell r="F97">
            <v>5446.6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 t="str">
            <v/>
          </cell>
          <cell r="M97">
            <v>0</v>
          </cell>
          <cell r="N97">
            <v>0</v>
          </cell>
          <cell r="O97">
            <v>0</v>
          </cell>
          <cell r="P97">
            <v>127.2</v>
          </cell>
          <cell r="Q97">
            <v>155.80000000000001</v>
          </cell>
          <cell r="R97">
            <v>474.4</v>
          </cell>
          <cell r="S97">
            <v>6204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/>
          </cell>
          <cell r="Z97">
            <v>0</v>
          </cell>
          <cell r="AA97">
            <v>0</v>
          </cell>
          <cell r="AB97">
            <v>0</v>
          </cell>
          <cell r="AC97">
            <v>127.2</v>
          </cell>
          <cell r="AD97">
            <v>153.30119059332876</v>
          </cell>
          <cell r="AE97">
            <v>3213.1582623271411</v>
          </cell>
          <cell r="AF97">
            <v>4044.5592959910605</v>
          </cell>
          <cell r="AG97">
            <v>7257.7175583182016</v>
          </cell>
          <cell r="AH97">
            <v>2300.3000000000002</v>
          </cell>
          <cell r="AI97">
            <v>2895.5</v>
          </cell>
          <cell r="AJ97">
            <v>5195.8</v>
          </cell>
          <cell r="AK97">
            <v>1.4252999329189553E-2</v>
          </cell>
          <cell r="AL97">
            <v>0.27200000000000002</v>
          </cell>
          <cell r="AM97">
            <v>1995</v>
          </cell>
          <cell r="AN97">
            <v>1.5548392604333605E-2</v>
          </cell>
          <cell r="AO97">
            <v>0.28000000000000003</v>
          </cell>
          <cell r="AP97">
            <v>2606.6999999999998</v>
          </cell>
          <cell r="AQ97">
            <v>1995</v>
          </cell>
          <cell r="AR97">
            <v>1785.5</v>
          </cell>
          <cell r="AS97">
            <v>-1.4</v>
          </cell>
          <cell r="AT97">
            <v>12.5</v>
          </cell>
          <cell r="AU97">
            <v>862.9</v>
          </cell>
          <cell r="AV97" t="str">
            <v>-</v>
          </cell>
          <cell r="AW97">
            <v>242.2</v>
          </cell>
          <cell r="AX97">
            <v>2901.7</v>
          </cell>
          <cell r="AY97">
            <v>2494.063416678307</v>
          </cell>
          <cell r="AZ97">
            <v>-1.9555803883223912</v>
          </cell>
          <cell r="BA97">
            <v>17.460539181449924</v>
          </cell>
          <cell r="BB97">
            <v>1205.335940773851</v>
          </cell>
          <cell r="BC97" t="e">
            <v>#VALUE!</v>
          </cell>
          <cell r="BD97">
            <v>338.31540717977373</v>
          </cell>
          <cell r="BE97">
            <v>4053.2197234250593</v>
          </cell>
          <cell r="BF97">
            <v>6204</v>
          </cell>
        </row>
        <row r="98">
          <cell r="A98" t="str">
            <v>JDAM JPATS</v>
          </cell>
          <cell r="B98" t="b">
            <v>0</v>
          </cell>
          <cell r="C98" t="str">
            <v/>
          </cell>
          <cell r="D98" t="str">
            <v/>
          </cell>
          <cell r="E98" t="str">
            <v/>
          </cell>
          <cell r="F98" t="e">
            <v>#VALUE!</v>
          </cell>
          <cell r="G98">
            <v>0</v>
          </cell>
          <cell r="H98" t="str">
            <v/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 t="str">
            <v/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>
            <v>0</v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e">
            <v>#VALUE!</v>
          </cell>
          <cell r="AF98" t="e">
            <v>#VALUE!</v>
          </cell>
          <cell r="AG98" t="e">
            <v>#VALUE!</v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 t="str">
            <v/>
          </cell>
          <cell r="AN98" t="str">
            <v/>
          </cell>
          <cell r="AO98" t="str">
            <v/>
          </cell>
          <cell r="AP98" t="str">
            <v/>
          </cell>
          <cell r="AQ98" t="str">
            <v/>
          </cell>
          <cell r="AR98" t="str">
            <v/>
          </cell>
          <cell r="AS98" t="str">
            <v/>
          </cell>
          <cell r="AT98" t="str">
            <v/>
          </cell>
          <cell r="AU98" t="str">
            <v/>
          </cell>
          <cell r="AV98" t="str">
            <v/>
          </cell>
          <cell r="AW98" t="str">
            <v/>
          </cell>
          <cell r="AX98" t="str">
            <v/>
          </cell>
          <cell r="AY98" t="e">
            <v>#VALUE!</v>
          </cell>
          <cell r="AZ98" t="e">
            <v>#VALUE!</v>
          </cell>
          <cell r="BA98" t="e">
            <v>#VALUE!</v>
          </cell>
          <cell r="BB98" t="e">
            <v>#VALUE!</v>
          </cell>
          <cell r="BC98" t="e">
            <v>#VALUE!</v>
          </cell>
          <cell r="BD98" t="e">
            <v>#VALUE!</v>
          </cell>
          <cell r="BE98" t="e">
            <v>#VALUE!</v>
          </cell>
          <cell r="BF98" t="str">
            <v/>
          </cell>
        </row>
        <row r="99">
          <cell r="A99" t="str">
            <v>JHSV</v>
          </cell>
          <cell r="B99" t="b">
            <v>1</v>
          </cell>
          <cell r="C99">
            <v>40878</v>
          </cell>
          <cell r="D99">
            <v>40878</v>
          </cell>
          <cell r="E99">
            <v>1450</v>
          </cell>
          <cell r="F99">
            <v>1450</v>
          </cell>
          <cell r="G99">
            <v>0</v>
          </cell>
          <cell r="H99" t="str">
            <v/>
          </cell>
          <cell r="I99" t="str">
            <v/>
          </cell>
          <cell r="J99" t="str">
            <v/>
          </cell>
          <cell r="K99" t="str">
            <v/>
          </cell>
          <cell r="L99" t="str">
            <v/>
          </cell>
          <cell r="M99" t="str">
            <v/>
          </cell>
          <cell r="N99">
            <v>0</v>
          </cell>
          <cell r="O99">
            <v>0</v>
          </cell>
          <cell r="P99">
            <v>385.3</v>
          </cell>
          <cell r="Q99">
            <v>221.6</v>
          </cell>
          <cell r="R99">
            <v>126.5</v>
          </cell>
          <cell r="S99">
            <v>2183.4</v>
          </cell>
          <cell r="T99">
            <v>0</v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>
            <v>0</v>
          </cell>
          <cell r="AB99">
            <v>0</v>
          </cell>
          <cell r="AC99">
            <v>385.3</v>
          </cell>
          <cell r="AD99">
            <v>218.04585260257798</v>
          </cell>
          <cell r="AE99">
            <v>3629.4975348788416</v>
          </cell>
          <cell r="AF99">
            <v>-1552.6067345012061</v>
          </cell>
          <cell r="AG99">
            <v>2076.8908003776355</v>
          </cell>
          <cell r="AH99">
            <v>3460</v>
          </cell>
          <cell r="AI99">
            <v>-1480.1</v>
          </cell>
          <cell r="AJ99">
            <v>1979.9</v>
          </cell>
          <cell r="AK99">
            <v>-1.9301675802610885E-2</v>
          </cell>
          <cell r="AL99">
            <v>-7.4999999999999997E-2</v>
          </cell>
          <cell r="AM99">
            <v>2008</v>
          </cell>
          <cell r="AN99">
            <v>-1.4887195445530299E-2</v>
          </cell>
          <cell r="AO99">
            <v>-4.4000000000000004E-2</v>
          </cell>
          <cell r="AP99">
            <v>3892.3</v>
          </cell>
          <cell r="AQ99">
            <v>2008</v>
          </cell>
          <cell r="AR99">
            <v>-1320</v>
          </cell>
          <cell r="AS99">
            <v>-10.9</v>
          </cell>
          <cell r="AT99" t="str">
            <v>-</v>
          </cell>
          <cell r="AU99">
            <v>-38.9</v>
          </cell>
          <cell r="AV99" t="str">
            <v>-</v>
          </cell>
          <cell r="AW99">
            <v>-110.3</v>
          </cell>
          <cell r="AX99">
            <v>-1480.1</v>
          </cell>
          <cell r="AY99">
            <v>-1384.6637994335465</v>
          </cell>
          <cell r="AZ99">
            <v>-11.433966222595195</v>
          </cell>
          <cell r="BA99" t="e">
            <v>#VALUE!</v>
          </cell>
          <cell r="BB99">
            <v>-40.805622574215882</v>
          </cell>
          <cell r="BC99" t="e">
            <v>#VALUE!</v>
          </cell>
          <cell r="BD99">
            <v>-115.70334627084863</v>
          </cell>
          <cell r="BE99">
            <v>-1552.6067345012061</v>
          </cell>
          <cell r="BF99">
            <v>2183.4</v>
          </cell>
        </row>
        <row r="100">
          <cell r="A100" t="str">
            <v>JLENS</v>
          </cell>
          <cell r="B100" t="b">
            <v>1</v>
          </cell>
          <cell r="C100">
            <v>40878</v>
          </cell>
          <cell r="D100">
            <v>40878</v>
          </cell>
          <cell r="E100">
            <v>1884.1</v>
          </cell>
          <cell r="F100">
            <v>1884.1</v>
          </cell>
          <cell r="G100">
            <v>0</v>
          </cell>
          <cell r="H100" t="str">
            <v/>
          </cell>
          <cell r="I100">
            <v>0</v>
          </cell>
          <cell r="J100">
            <v>0</v>
          </cell>
          <cell r="K100">
            <v>0</v>
          </cell>
          <cell r="L100" t="str">
            <v/>
          </cell>
          <cell r="M100">
            <v>0</v>
          </cell>
          <cell r="N100">
            <v>0</v>
          </cell>
          <cell r="O100">
            <v>0</v>
          </cell>
          <cell r="P100">
            <v>369.3</v>
          </cell>
          <cell r="Q100">
            <v>190.4</v>
          </cell>
          <cell r="R100">
            <v>176.7</v>
          </cell>
          <cell r="S100">
            <v>2620.5</v>
          </cell>
          <cell r="T100">
            <v>0</v>
          </cell>
          <cell r="U100" t="str">
            <v/>
          </cell>
          <cell r="V100">
            <v>0</v>
          </cell>
          <cell r="W100">
            <v>0</v>
          </cell>
          <cell r="X100">
            <v>0</v>
          </cell>
          <cell r="Y100" t="str">
            <v/>
          </cell>
          <cell r="Z100">
            <v>0</v>
          </cell>
          <cell r="AA100">
            <v>0</v>
          </cell>
          <cell r="AB100">
            <v>0</v>
          </cell>
          <cell r="AC100">
            <v>369.3</v>
          </cell>
          <cell r="AD100">
            <v>187.34625602676377</v>
          </cell>
          <cell r="AE100">
            <v>6688.0073167943292</v>
          </cell>
          <cell r="AF100">
            <v>-4048.5880873442325</v>
          </cell>
          <cell r="AG100">
            <v>2639.4192294500967</v>
          </cell>
          <cell r="AH100">
            <v>5850</v>
          </cell>
          <cell r="AI100">
            <v>-3541.3</v>
          </cell>
          <cell r="AJ100">
            <v>2308.6999999999998</v>
          </cell>
          <cell r="AK100">
            <v>-3.5225854052385874E-2</v>
          </cell>
          <cell r="AL100">
            <v>-0.222</v>
          </cell>
          <cell r="AM100">
            <v>2005</v>
          </cell>
          <cell r="AN100">
            <v>-4.1180547361940323E-2</v>
          </cell>
          <cell r="AO100">
            <v>-0.223</v>
          </cell>
          <cell r="AP100">
            <v>7151</v>
          </cell>
          <cell r="AQ100">
            <v>2005</v>
          </cell>
          <cell r="AR100">
            <v>-2881.6</v>
          </cell>
          <cell r="AS100">
            <v>-51.7</v>
          </cell>
          <cell r="AT100" t="str">
            <v>-</v>
          </cell>
          <cell r="AU100">
            <v>-16</v>
          </cell>
          <cell r="AV100" t="str">
            <v>-</v>
          </cell>
          <cell r="AW100">
            <v>-592</v>
          </cell>
          <cell r="AX100">
            <v>-3541.3</v>
          </cell>
          <cell r="AY100">
            <v>-3294.3866468503484</v>
          </cell>
          <cell r="AZ100">
            <v>-59.10597919286613</v>
          </cell>
          <cell r="BA100" t="e">
            <v>#VALUE!</v>
          </cell>
          <cell r="BB100">
            <v>-18.291985823710984</v>
          </cell>
          <cell r="BC100" t="e">
            <v>#VALUE!</v>
          </cell>
          <cell r="BD100">
            <v>-676.80347547730651</v>
          </cell>
          <cell r="BE100">
            <v>-4048.5880873442325</v>
          </cell>
          <cell r="BF100">
            <v>2620.5</v>
          </cell>
        </row>
        <row r="101">
          <cell r="A101" t="str">
            <v>Joint MRAP</v>
          </cell>
          <cell r="B101" t="b">
            <v>0</v>
          </cell>
          <cell r="C101">
            <v>40513</v>
          </cell>
          <cell r="D101">
            <v>40513</v>
          </cell>
          <cell r="E101">
            <v>35532.699999999997</v>
          </cell>
          <cell r="F101">
            <v>35532.699999999997</v>
          </cell>
          <cell r="G101">
            <v>0</v>
          </cell>
          <cell r="H101" t="str">
            <v/>
          </cell>
          <cell r="I101" t="str">
            <v/>
          </cell>
          <cell r="J101" t="str">
            <v/>
          </cell>
          <cell r="K101" t="str">
            <v/>
          </cell>
          <cell r="L101" t="str">
            <v/>
          </cell>
          <cell r="M101">
            <v>0</v>
          </cell>
          <cell r="N101">
            <v>0</v>
          </cell>
          <cell r="O101">
            <v>0</v>
          </cell>
          <cell r="P101">
            <v>932.1</v>
          </cell>
          <cell r="Q101">
            <v>943.4</v>
          </cell>
          <cell r="R101">
            <v>3498.3</v>
          </cell>
          <cell r="S101">
            <v>40906.5</v>
          </cell>
          <cell r="T101">
            <v>0</v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>
            <v>0</v>
          </cell>
          <cell r="AA101">
            <v>0</v>
          </cell>
          <cell r="AB101">
            <v>0</v>
          </cell>
          <cell r="AC101">
            <v>932.1</v>
          </cell>
          <cell r="AD101">
            <v>928.26921184689559</v>
          </cell>
          <cell r="AE101">
            <v>23091.8913248715</v>
          </cell>
          <cell r="AF101">
            <v>18414.559949648588</v>
          </cell>
          <cell r="AG101">
            <v>41506.451274520085</v>
          </cell>
          <cell r="AH101">
            <v>22013.5</v>
          </cell>
          <cell r="AI101">
            <v>17554.599999999999</v>
          </cell>
          <cell r="AJ101">
            <v>39568.1</v>
          </cell>
          <cell r="AK101">
            <v>8.0367958754792523E-2</v>
          </cell>
          <cell r="AL101">
            <v>0.26100000000000001</v>
          </cell>
          <cell r="AM101">
            <v>2008</v>
          </cell>
          <cell r="AN101">
            <v>0.12871608476179697</v>
          </cell>
          <cell r="AO101">
            <v>0.27399999999999997</v>
          </cell>
          <cell r="AP101">
            <v>22415</v>
          </cell>
          <cell r="AQ101">
            <v>2008</v>
          </cell>
          <cell r="AR101">
            <v>9372.2999999999993</v>
          </cell>
          <cell r="AS101" t="str">
            <v>-</v>
          </cell>
          <cell r="AT101" t="str">
            <v>-</v>
          </cell>
          <cell r="AU101">
            <v>-517.9</v>
          </cell>
          <cell r="AV101" t="str">
            <v>-</v>
          </cell>
          <cell r="AW101">
            <v>8700.2000000000007</v>
          </cell>
          <cell r="AX101">
            <v>17554.599999999999</v>
          </cell>
          <cell r="AY101">
            <v>9831.4276722962331</v>
          </cell>
          <cell r="AZ101" t="e">
            <v>#VALUE!</v>
          </cell>
          <cell r="BA101" t="e">
            <v>#VALUE!</v>
          </cell>
          <cell r="BB101">
            <v>-543.27074373229834</v>
          </cell>
          <cell r="BC101" t="e">
            <v>#VALUE!</v>
          </cell>
          <cell r="BD101">
            <v>9126.403021084654</v>
          </cell>
          <cell r="BE101">
            <v>18414.559949648588</v>
          </cell>
          <cell r="BF101">
            <v>40906.5</v>
          </cell>
        </row>
        <row r="102">
          <cell r="A102" t="str">
            <v>JPALS</v>
          </cell>
          <cell r="B102" t="b">
            <v>1</v>
          </cell>
          <cell r="C102">
            <v>40878</v>
          </cell>
          <cell r="D102">
            <v>40878</v>
          </cell>
          <cell r="E102">
            <v>549.5</v>
          </cell>
          <cell r="F102">
            <v>549.5</v>
          </cell>
          <cell r="G102">
            <v>0</v>
          </cell>
          <cell r="H102" t="str">
            <v/>
          </cell>
          <cell r="I102" t="str">
            <v/>
          </cell>
          <cell r="J102" t="str">
            <v/>
          </cell>
          <cell r="K102" t="str">
            <v/>
          </cell>
          <cell r="L102" t="str">
            <v/>
          </cell>
          <cell r="M102" t="str">
            <v/>
          </cell>
          <cell r="N102">
            <v>0</v>
          </cell>
          <cell r="O102">
            <v>0</v>
          </cell>
          <cell r="P102">
            <v>72.5</v>
          </cell>
          <cell r="Q102">
            <v>78.400000000000006</v>
          </cell>
          <cell r="R102">
            <v>295.60000000000002</v>
          </cell>
          <cell r="S102">
            <v>996</v>
          </cell>
          <cell r="T102">
            <v>0</v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>
            <v>0</v>
          </cell>
          <cell r="AB102">
            <v>0</v>
          </cell>
          <cell r="AC102">
            <v>72.5</v>
          </cell>
          <cell r="AD102">
            <v>77.142576011020381</v>
          </cell>
          <cell r="AE102">
            <v>1010.3849784957516</v>
          </cell>
          <cell r="AF102">
            <v>-25.805098080352462</v>
          </cell>
          <cell r="AG102">
            <v>984.57988041539909</v>
          </cell>
          <cell r="AH102">
            <v>963.2</v>
          </cell>
          <cell r="AI102">
            <v>-24.6</v>
          </cell>
          <cell r="AJ102">
            <v>938.6</v>
          </cell>
          <cell r="AK102">
            <v>-6.5643537108072136E-3</v>
          </cell>
          <cell r="AL102">
            <v>-2.6000000000000002E-2</v>
          </cell>
          <cell r="AM102">
            <v>2008</v>
          </cell>
          <cell r="AN102">
            <v>-1.2146950997396599E-2</v>
          </cell>
          <cell r="AO102">
            <v>-3.6000000000000004E-2</v>
          </cell>
          <cell r="AP102">
            <v>1031.9000000000001</v>
          </cell>
          <cell r="AQ102">
            <v>2008</v>
          </cell>
          <cell r="AR102">
            <v>0.9</v>
          </cell>
          <cell r="AS102" t="str">
            <v>-</v>
          </cell>
          <cell r="AT102" t="str">
            <v>-</v>
          </cell>
          <cell r="AU102">
            <v>-60</v>
          </cell>
          <cell r="AV102" t="str">
            <v>-</v>
          </cell>
          <cell r="AW102">
            <v>34.5</v>
          </cell>
          <cell r="AX102">
            <v>-24.6</v>
          </cell>
          <cell r="AY102">
            <v>0.94408895415923633</v>
          </cell>
          <cell r="AZ102" t="e">
            <v>#VALUE!</v>
          </cell>
          <cell r="BA102" t="e">
            <v>#VALUE!</v>
          </cell>
          <cell r="BB102">
            <v>-62.939263610615754</v>
          </cell>
          <cell r="BC102" t="e">
            <v>#VALUE!</v>
          </cell>
          <cell r="BD102">
            <v>36.190076576104062</v>
          </cell>
          <cell r="BE102">
            <v>-25.805098080352462</v>
          </cell>
          <cell r="BF102">
            <v>996</v>
          </cell>
        </row>
        <row r="103">
          <cell r="A103" t="str">
            <v>JPATS</v>
          </cell>
          <cell r="B103" t="b">
            <v>1</v>
          </cell>
          <cell r="C103">
            <v>40878</v>
          </cell>
          <cell r="D103">
            <v>40878</v>
          </cell>
          <cell r="E103">
            <v>4373.3</v>
          </cell>
          <cell r="F103">
            <v>4373.3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 t="str">
            <v/>
          </cell>
          <cell r="M103">
            <v>0</v>
          </cell>
          <cell r="N103">
            <v>0</v>
          </cell>
          <cell r="O103">
            <v>0</v>
          </cell>
          <cell r="P103">
            <v>286.39999999999998</v>
          </cell>
          <cell r="Q103">
            <v>305.60000000000002</v>
          </cell>
          <cell r="R103">
            <v>370.6</v>
          </cell>
          <cell r="S103">
            <v>5335.9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 t="str">
            <v/>
          </cell>
          <cell r="Z103">
            <v>0</v>
          </cell>
          <cell r="AA103">
            <v>0</v>
          </cell>
          <cell r="AB103">
            <v>0</v>
          </cell>
          <cell r="AC103">
            <v>286.39999999999998</v>
          </cell>
          <cell r="AD103">
            <v>300.69861261438552</v>
          </cell>
          <cell r="AE103">
            <v>5598.2694684796043</v>
          </cell>
          <cell r="AF103">
            <v>294.06674907292955</v>
          </cell>
          <cell r="AG103">
            <v>5892.3362175525335</v>
          </cell>
          <cell r="AH103">
            <v>4529</v>
          </cell>
          <cell r="AI103">
            <v>237.9</v>
          </cell>
          <cell r="AJ103">
            <v>4766.8999999999996</v>
          </cell>
          <cell r="AK103">
            <v>8.0053697842330518E-3</v>
          </cell>
          <cell r="AL103">
            <v>8.3000000000000004E-2</v>
          </cell>
          <cell r="AM103">
            <v>2002</v>
          </cell>
          <cell r="AN103">
            <v>1.0032289803308725E-2</v>
          </cell>
          <cell r="AO103">
            <v>9.4E-2</v>
          </cell>
          <cell r="AP103">
            <v>5041.1000000000004</v>
          </cell>
          <cell r="AQ103">
            <v>2002</v>
          </cell>
          <cell r="AR103">
            <v>-127.3</v>
          </cell>
          <cell r="AS103">
            <v>8.6999999999999993</v>
          </cell>
          <cell r="AT103">
            <v>332.5</v>
          </cell>
          <cell r="AU103">
            <v>20</v>
          </cell>
          <cell r="AV103">
            <v>41.1</v>
          </cell>
          <cell r="AW103">
            <v>-37.1</v>
          </cell>
          <cell r="AX103">
            <v>237.9</v>
          </cell>
          <cell r="AY103">
            <v>-157.35475896168109</v>
          </cell>
          <cell r="AZ103">
            <v>10.754017305315202</v>
          </cell>
          <cell r="BA103">
            <v>411.00123609394313</v>
          </cell>
          <cell r="BB103">
            <v>24.72187886279357</v>
          </cell>
          <cell r="BC103">
            <v>50.803461063040793</v>
          </cell>
          <cell r="BD103">
            <v>-45.859085290482078</v>
          </cell>
          <cell r="BE103">
            <v>294.06674907292955</v>
          </cell>
          <cell r="BF103">
            <v>5335.9</v>
          </cell>
        </row>
        <row r="104">
          <cell r="A104" t="str">
            <v>JSIMS</v>
          </cell>
          <cell r="B104" t="b">
            <v>0</v>
          </cell>
          <cell r="C104">
            <v>37591</v>
          </cell>
          <cell r="D104">
            <v>37591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1610.2525442894835</v>
          </cell>
          <cell r="AF104">
            <v>-441.13582108305064</v>
          </cell>
          <cell r="AG104">
            <v>1169.1167232064329</v>
          </cell>
          <cell r="AH104">
            <v>1281.5999999999999</v>
          </cell>
          <cell r="AI104">
            <v>-351.1</v>
          </cell>
          <cell r="AJ104">
            <v>930.5</v>
          </cell>
          <cell r="AK104">
            <v>-0.1479436638343683</v>
          </cell>
          <cell r="AL104">
            <v>-0.27399999999999997</v>
          </cell>
          <cell r="AM104">
            <v>2001</v>
          </cell>
          <cell r="AN104">
            <v>-0.29299999999999993</v>
          </cell>
          <cell r="AO104">
            <v>-0.29299999999999998</v>
          </cell>
          <cell r="AP104">
            <v>1316.7</v>
          </cell>
          <cell r="AQ104">
            <v>2001</v>
          </cell>
          <cell r="AR104" t="str">
            <v>-</v>
          </cell>
          <cell r="AS104" t="str">
            <v>-</v>
          </cell>
          <cell r="AT104" t="str">
            <v>-</v>
          </cell>
          <cell r="AU104">
            <v>-351.1</v>
          </cell>
          <cell r="AV104" t="str">
            <v>-</v>
          </cell>
          <cell r="AW104" t="str">
            <v>-</v>
          </cell>
          <cell r="AX104">
            <v>-351.1</v>
          </cell>
          <cell r="AY104" t="e">
            <v>#VALUE!</v>
          </cell>
          <cell r="AZ104" t="e">
            <v>#VALUE!</v>
          </cell>
          <cell r="BA104" t="e">
            <v>#VALUE!</v>
          </cell>
          <cell r="BB104">
            <v>-441.13582108305064</v>
          </cell>
          <cell r="BC104" t="e">
            <v>#VALUE!</v>
          </cell>
          <cell r="BD104" t="e">
            <v>#VALUE!</v>
          </cell>
          <cell r="BE104">
            <v>-441.13582108305064</v>
          </cell>
          <cell r="BF104">
            <v>931.2</v>
          </cell>
        </row>
        <row r="105">
          <cell r="A105" t="str">
            <v>JSOW</v>
          </cell>
          <cell r="B105" t="b">
            <v>0</v>
          </cell>
          <cell r="C105">
            <v>39052</v>
          </cell>
          <cell r="D105">
            <v>39052</v>
          </cell>
          <cell r="E105">
            <v>2450.9</v>
          </cell>
          <cell r="F105">
            <v>313.70000000000005</v>
          </cell>
          <cell r="G105">
            <v>313.70000000000005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156.4</v>
          </cell>
          <cell r="M105">
            <v>157.30000000000001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1847.3</v>
          </cell>
          <cell r="S105">
            <v>4611.8999999999996</v>
          </cell>
          <cell r="T105">
            <v>326.89811940173388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164.06168047833842</v>
          </cell>
          <cell r="Z105">
            <v>162.83643892339546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8790.3916283494527</v>
          </cell>
          <cell r="AF105">
            <v>-3632.471856667195</v>
          </cell>
          <cell r="AG105">
            <v>5157.9197716822573</v>
          </cell>
          <cell r="AH105">
            <v>5544.1</v>
          </cell>
          <cell r="AI105">
            <v>-2291</v>
          </cell>
          <cell r="AJ105">
            <v>3253.1</v>
          </cell>
          <cell r="AK105">
            <v>-4.0083474407349717E-3</v>
          </cell>
          <cell r="AL105">
            <v>-6.6000000000000003E-2</v>
          </cell>
          <cell r="AM105">
            <v>1990</v>
          </cell>
          <cell r="AN105">
            <v>-7.5425173618992591E-4</v>
          </cell>
          <cell r="AO105">
            <v>-1.2E-2</v>
          </cell>
          <cell r="AP105">
            <v>7873.5</v>
          </cell>
          <cell r="AQ105">
            <v>1990</v>
          </cell>
          <cell r="AR105">
            <v>-2059.3000000000002</v>
          </cell>
          <cell r="AS105">
            <v>8.3000000000000007</v>
          </cell>
          <cell r="AT105">
            <v>109.8</v>
          </cell>
          <cell r="AU105">
            <v>-333.7</v>
          </cell>
          <cell r="AV105" t="str">
            <v>-</v>
          </cell>
          <cell r="AW105">
            <v>-16.100000000000001</v>
          </cell>
          <cell r="AX105">
            <v>-2291</v>
          </cell>
          <cell r="AY105">
            <v>-3265.1022673220232</v>
          </cell>
          <cell r="AZ105">
            <v>13.159980973521485</v>
          </cell>
          <cell r="BA105">
            <v>174.09227842080227</v>
          </cell>
          <cell r="BB105">
            <v>-529.09465673061675</v>
          </cell>
          <cell r="BC105" t="e">
            <v>#VALUE!</v>
          </cell>
          <cell r="BD105">
            <v>-25.527192008879023</v>
          </cell>
          <cell r="BE105">
            <v>-3632.471856667195</v>
          </cell>
          <cell r="BF105">
            <v>4611.8999999999996</v>
          </cell>
        </row>
        <row r="106">
          <cell r="A106" t="str">
            <v>JSOW Split</v>
          </cell>
          <cell r="B106" t="b">
            <v>1</v>
          </cell>
          <cell r="C106">
            <v>40878</v>
          </cell>
          <cell r="D106">
            <v>40878</v>
          </cell>
          <cell r="E106">
            <v>1659.9</v>
          </cell>
          <cell r="F106">
            <v>1659.9</v>
          </cell>
          <cell r="G106">
            <v>0</v>
          </cell>
          <cell r="H106" t="str">
            <v/>
          </cell>
          <cell r="I106" t="str">
            <v/>
          </cell>
          <cell r="J106" t="str">
            <v/>
          </cell>
          <cell r="K106">
            <v>0</v>
          </cell>
          <cell r="L106" t="str">
            <v/>
          </cell>
          <cell r="M106" t="str">
            <v/>
          </cell>
          <cell r="N106">
            <v>0</v>
          </cell>
          <cell r="O106">
            <v>0</v>
          </cell>
          <cell r="P106" t="str">
            <v>-</v>
          </cell>
          <cell r="Q106" t="str">
            <v>-</v>
          </cell>
          <cell r="R106">
            <v>213.4</v>
          </cell>
          <cell r="S106">
            <v>1873.3</v>
          </cell>
          <cell r="T106">
            <v>0</v>
          </cell>
          <cell r="U106" t="str">
            <v/>
          </cell>
          <cell r="V106" t="str">
            <v/>
          </cell>
          <cell r="W106" t="str">
            <v/>
          </cell>
          <cell r="X106">
            <v>0</v>
          </cell>
          <cell r="Y106" t="str">
            <v/>
          </cell>
          <cell r="Z106" t="str">
            <v/>
          </cell>
          <cell r="AA106">
            <v>0</v>
          </cell>
          <cell r="AB106">
            <v>0</v>
          </cell>
          <cell r="AC106" t="str">
            <v/>
          </cell>
          <cell r="AD106" t="str">
            <v/>
          </cell>
          <cell r="AE106">
            <v>5654.5108609481531</v>
          </cell>
          <cell r="AF106">
            <v>-3306.9605200570791</v>
          </cell>
          <cell r="AG106">
            <v>2347.5503408910731</v>
          </cell>
          <cell r="AH106">
            <v>3566.3</v>
          </cell>
          <cell r="AI106">
            <v>-2085.6999999999998</v>
          </cell>
          <cell r="AJ106">
            <v>1480.6</v>
          </cell>
          <cell r="AK106">
            <v>-8.2529428571320729E-4</v>
          </cell>
          <cell r="AL106">
            <v>-1.8000000000000002E-2</v>
          </cell>
          <cell r="AM106">
            <v>1990</v>
          </cell>
          <cell r="AN106">
            <v>4.8091414120932097E-3</v>
          </cell>
          <cell r="AO106">
            <v>0.106</v>
          </cell>
          <cell r="AP106">
            <v>4898.7</v>
          </cell>
          <cell r="AQ106">
            <v>1990</v>
          </cell>
          <cell r="AR106">
            <v>-2059.3000000000002</v>
          </cell>
          <cell r="AS106">
            <v>5.9</v>
          </cell>
          <cell r="AT106">
            <v>76.599999999999994</v>
          </cell>
          <cell r="AU106">
            <v>-95.4</v>
          </cell>
          <cell r="AV106" t="str">
            <v>-</v>
          </cell>
          <cell r="AW106">
            <v>-13.5</v>
          </cell>
          <cell r="AX106">
            <v>-2085.6999999999998</v>
          </cell>
          <cell r="AY106">
            <v>-3265.1022673220232</v>
          </cell>
          <cell r="AZ106">
            <v>9.3546852703345493</v>
          </cell>
          <cell r="BA106">
            <v>121.45235452671633</v>
          </cell>
          <cell r="BB106">
            <v>-151.26050420168067</v>
          </cell>
          <cell r="BC106" t="e">
            <v>#VALUE!</v>
          </cell>
          <cell r="BD106">
            <v>-21.404788330426509</v>
          </cell>
          <cell r="BE106">
            <v>-3306.9605200570791</v>
          </cell>
          <cell r="BF106">
            <v>1873.3</v>
          </cell>
        </row>
        <row r="107">
          <cell r="A107" t="str">
            <v>JSOW Split</v>
          </cell>
          <cell r="B107" t="b">
            <v>1</v>
          </cell>
          <cell r="C107">
            <v>40878</v>
          </cell>
          <cell r="D107">
            <v>40878</v>
          </cell>
          <cell r="E107">
            <v>1659.9</v>
          </cell>
          <cell r="F107">
            <v>1659.9</v>
          </cell>
          <cell r="G107">
            <v>0</v>
          </cell>
          <cell r="H107" t="str">
            <v/>
          </cell>
          <cell r="I107" t="str">
            <v/>
          </cell>
          <cell r="J107" t="str">
            <v/>
          </cell>
          <cell r="K107">
            <v>0</v>
          </cell>
          <cell r="L107" t="str">
            <v/>
          </cell>
          <cell r="M107" t="str">
            <v/>
          </cell>
          <cell r="N107">
            <v>0</v>
          </cell>
          <cell r="O107">
            <v>0</v>
          </cell>
          <cell r="P107" t="str">
            <v>-</v>
          </cell>
          <cell r="Q107" t="str">
            <v>-</v>
          </cell>
          <cell r="R107">
            <v>213.4</v>
          </cell>
          <cell r="S107">
            <v>1873.3</v>
          </cell>
          <cell r="T107">
            <v>0</v>
          </cell>
          <cell r="U107" t="str">
            <v/>
          </cell>
          <cell r="V107" t="str">
            <v/>
          </cell>
          <cell r="W107" t="str">
            <v/>
          </cell>
          <cell r="X107">
            <v>0</v>
          </cell>
          <cell r="Y107" t="str">
            <v/>
          </cell>
          <cell r="Z107" t="str">
            <v/>
          </cell>
          <cell r="AA107">
            <v>0</v>
          </cell>
          <cell r="AB107">
            <v>0</v>
          </cell>
          <cell r="AC107" t="str">
            <v/>
          </cell>
          <cell r="AD107" t="str">
            <v/>
          </cell>
          <cell r="AE107">
            <v>5654.5108609481531</v>
          </cell>
          <cell r="AF107">
            <v>-3306.9605200570791</v>
          </cell>
          <cell r="AG107">
            <v>2347.5503408910731</v>
          </cell>
          <cell r="AH107">
            <v>3566.3</v>
          </cell>
          <cell r="AI107">
            <v>-2085.6999999999998</v>
          </cell>
          <cell r="AJ107">
            <v>1480.6</v>
          </cell>
          <cell r="AK107">
            <v>-8.2529428571320729E-4</v>
          </cell>
          <cell r="AL107">
            <v>-1.8000000000000002E-2</v>
          </cell>
          <cell r="AM107">
            <v>1990</v>
          </cell>
          <cell r="AN107">
            <v>4.8091414120932097E-3</v>
          </cell>
          <cell r="AO107">
            <v>0.106</v>
          </cell>
          <cell r="AP107">
            <v>4898.7</v>
          </cell>
          <cell r="AQ107">
            <v>1990</v>
          </cell>
          <cell r="AR107">
            <v>-2059.3000000000002</v>
          </cell>
          <cell r="AS107">
            <v>5.9</v>
          </cell>
          <cell r="AT107">
            <v>76.599999999999994</v>
          </cell>
          <cell r="AU107">
            <v>-95.4</v>
          </cell>
          <cell r="AV107" t="str">
            <v>-</v>
          </cell>
          <cell r="AW107">
            <v>-13.5</v>
          </cell>
          <cell r="AX107">
            <v>-2085.6999999999998</v>
          </cell>
          <cell r="AY107">
            <v>-3265.1022673220232</v>
          </cell>
          <cell r="AZ107">
            <v>9.3546852703345493</v>
          </cell>
          <cell r="BA107">
            <v>121.45235452671633</v>
          </cell>
          <cell r="BB107">
            <v>-151.26050420168067</v>
          </cell>
          <cell r="BC107" t="e">
            <v>#VALUE!</v>
          </cell>
          <cell r="BD107">
            <v>-21.404788330426509</v>
          </cell>
          <cell r="BE107">
            <v>-3306.9605200570791</v>
          </cell>
          <cell r="BF107">
            <v>1873.3</v>
          </cell>
        </row>
        <row r="108">
          <cell r="A108" t="str">
            <v>JTRS GMR</v>
          </cell>
          <cell r="B108" t="b">
            <v>1</v>
          </cell>
          <cell r="C108">
            <v>40878</v>
          </cell>
          <cell r="D108">
            <v>40878</v>
          </cell>
          <cell r="E108">
            <v>1582.7</v>
          </cell>
          <cell r="F108">
            <v>1582.7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 t="str">
            <v/>
          </cell>
          <cell r="M108">
            <v>0</v>
          </cell>
          <cell r="N108">
            <v>0</v>
          </cell>
          <cell r="O108">
            <v>0</v>
          </cell>
          <cell r="P108">
            <v>69.7</v>
          </cell>
          <cell r="Q108" t="str">
            <v>-</v>
          </cell>
          <cell r="R108" t="str">
            <v>-</v>
          </cell>
          <cell r="S108">
            <v>1652.4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 t="str">
            <v/>
          </cell>
          <cell r="Z108">
            <v>0</v>
          </cell>
          <cell r="AA108">
            <v>0</v>
          </cell>
          <cell r="AB108">
            <v>0</v>
          </cell>
          <cell r="AC108">
            <v>69.7</v>
          </cell>
          <cell r="AD108" t="str">
            <v/>
          </cell>
          <cell r="AE108">
            <v>17845.735475896166</v>
          </cell>
          <cell r="AF108">
            <v>-16047.836835599506</v>
          </cell>
          <cell r="AG108">
            <v>1797.8986402966625</v>
          </cell>
          <cell r="AH108">
            <v>14437.2</v>
          </cell>
          <cell r="AI108">
            <v>-12982.7</v>
          </cell>
          <cell r="AJ108">
            <v>1454.5</v>
          </cell>
          <cell r="AK108">
            <v>-7.4714443101084882E-2</v>
          </cell>
          <cell r="AL108">
            <v>-0.54</v>
          </cell>
          <cell r="AM108">
            <v>2002</v>
          </cell>
          <cell r="AN108">
            <v>-3.1746520288525204E-2</v>
          </cell>
          <cell r="AO108">
            <v>-0.252</v>
          </cell>
          <cell r="AP108">
            <v>19112.900000000001</v>
          </cell>
          <cell r="AQ108">
            <v>2002</v>
          </cell>
          <cell r="AR108">
            <v>-11274.5</v>
          </cell>
          <cell r="AS108">
            <v>-418.1</v>
          </cell>
          <cell r="AT108">
            <v>-126.9</v>
          </cell>
          <cell r="AU108">
            <v>573.5</v>
          </cell>
          <cell r="AV108" t="str">
            <v>-</v>
          </cell>
          <cell r="AW108">
            <v>-1736.7</v>
          </cell>
          <cell r="AX108">
            <v>-12982.7</v>
          </cell>
          <cell r="AY108">
            <v>-13936.341161928305</v>
          </cell>
          <cell r="AZ108">
            <v>-516.81087762669961</v>
          </cell>
          <cell r="BA108">
            <v>-156.86032138442522</v>
          </cell>
          <cell r="BB108">
            <v>708.89987639060564</v>
          </cell>
          <cell r="BC108" t="e">
            <v>#VALUE!</v>
          </cell>
          <cell r="BD108">
            <v>-2146.7243510506796</v>
          </cell>
          <cell r="BE108">
            <v>-16047.836835599506</v>
          </cell>
          <cell r="BF108">
            <v>1652.4</v>
          </cell>
        </row>
        <row r="109">
          <cell r="A109" t="str">
            <v>JTRS HMS</v>
          </cell>
          <cell r="B109" t="b">
            <v>1</v>
          </cell>
          <cell r="C109">
            <v>40878</v>
          </cell>
          <cell r="D109">
            <v>40878</v>
          </cell>
          <cell r="E109">
            <v>951</v>
          </cell>
          <cell r="F109">
            <v>951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 t="str">
            <v/>
          </cell>
          <cell r="M109">
            <v>0</v>
          </cell>
          <cell r="N109">
            <v>0</v>
          </cell>
          <cell r="O109">
            <v>0</v>
          </cell>
          <cell r="P109">
            <v>586.6</v>
          </cell>
          <cell r="Q109">
            <v>687.6</v>
          </cell>
          <cell r="R109">
            <v>7079.5</v>
          </cell>
          <cell r="S109">
            <v>9304.7000000000007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 t="str">
            <v/>
          </cell>
          <cell r="Z109">
            <v>0</v>
          </cell>
          <cell r="AA109">
            <v>0</v>
          </cell>
          <cell r="AB109">
            <v>0</v>
          </cell>
          <cell r="AC109">
            <v>586.6</v>
          </cell>
          <cell r="AD109">
            <v>676.57187838236746</v>
          </cell>
          <cell r="AE109">
            <v>10026.563925783232</v>
          </cell>
          <cell r="AF109">
            <v>-1650.6134036297274</v>
          </cell>
          <cell r="AG109">
            <v>8375.9505221535037</v>
          </cell>
          <cell r="AH109">
            <v>9889.2000000000007</v>
          </cell>
          <cell r="AI109">
            <v>-1628</v>
          </cell>
          <cell r="AJ109">
            <v>8261.2000000000007</v>
          </cell>
          <cell r="AK109">
            <v>-0.27600000000000002</v>
          </cell>
          <cell r="AL109">
            <v>-0.27600000000000002</v>
          </cell>
          <cell r="AM109">
            <v>2011</v>
          </cell>
          <cell r="AN109">
            <v>-0.25800000000000001</v>
          </cell>
          <cell r="AO109">
            <v>-0.25800000000000001</v>
          </cell>
          <cell r="AP109">
            <v>10717</v>
          </cell>
          <cell r="AQ109">
            <v>2011</v>
          </cell>
          <cell r="AR109">
            <v>1523.7</v>
          </cell>
          <cell r="AS109">
            <v>377.8</v>
          </cell>
          <cell r="AT109" t="str">
            <v>-</v>
          </cell>
          <cell r="AU109">
            <v>-4151.7</v>
          </cell>
          <cell r="AV109" t="str">
            <v>-</v>
          </cell>
          <cell r="AW109">
            <v>622.20000000000005</v>
          </cell>
          <cell r="AX109">
            <v>-1628</v>
          </cell>
          <cell r="AY109">
            <v>1544.8646456453414</v>
          </cell>
          <cell r="AZ109">
            <v>383.04775423299202</v>
          </cell>
          <cell r="BA109" t="e">
            <v>#VALUE!</v>
          </cell>
          <cell r="BB109">
            <v>-4209.3683463449252</v>
          </cell>
          <cell r="BC109" t="e">
            <v>#VALUE!</v>
          </cell>
          <cell r="BD109">
            <v>630.84254283686516</v>
          </cell>
          <cell r="BE109">
            <v>-1650.6134036297274</v>
          </cell>
          <cell r="BF109">
            <v>9304.7000000000007</v>
          </cell>
        </row>
        <row r="110">
          <cell r="A110" t="str">
            <v>JTRS NED</v>
          </cell>
          <cell r="B110" t="b">
            <v>1</v>
          </cell>
          <cell r="C110">
            <v>40878</v>
          </cell>
          <cell r="D110">
            <v>40878</v>
          </cell>
          <cell r="E110">
            <v>1618.7</v>
          </cell>
          <cell r="F110">
            <v>1618.7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 t="str">
            <v/>
          </cell>
          <cell r="M110">
            <v>0</v>
          </cell>
          <cell r="N110">
            <v>0</v>
          </cell>
          <cell r="O110">
            <v>0</v>
          </cell>
          <cell r="P110">
            <v>94</v>
          </cell>
          <cell r="Q110">
            <v>59.1</v>
          </cell>
          <cell r="R110">
            <v>220.8</v>
          </cell>
          <cell r="S110">
            <v>1992.6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/>
          </cell>
          <cell r="Z110">
            <v>0</v>
          </cell>
          <cell r="AA110">
            <v>0</v>
          </cell>
          <cell r="AB110">
            <v>0</v>
          </cell>
          <cell r="AC110">
            <v>94</v>
          </cell>
          <cell r="AD110">
            <v>58.152120436878874</v>
          </cell>
          <cell r="AE110">
            <v>1004.8207663782447</v>
          </cell>
          <cell r="AF110">
            <v>1114.4622991347342</v>
          </cell>
          <cell r="AG110">
            <v>2119.2830655129787</v>
          </cell>
          <cell r="AH110">
            <v>812.9</v>
          </cell>
          <cell r="AI110">
            <v>901.6</v>
          </cell>
          <cell r="AJ110">
            <v>1714.5</v>
          </cell>
          <cell r="AK110">
            <v>7.7476130572713853E-2</v>
          </cell>
          <cell r="AL110">
            <v>1.109</v>
          </cell>
          <cell r="AM110">
            <v>2002</v>
          </cell>
          <cell r="AN110">
            <v>9.0395716355150535E-2</v>
          </cell>
          <cell r="AO110">
            <v>1.179</v>
          </cell>
          <cell r="AP110">
            <v>914.4</v>
          </cell>
          <cell r="AQ110">
            <v>2002</v>
          </cell>
          <cell r="AR110" t="str">
            <v>-</v>
          </cell>
          <cell r="AS110" t="str">
            <v>-</v>
          </cell>
          <cell r="AT110">
            <v>648.1</v>
          </cell>
          <cell r="AU110">
            <v>253.5</v>
          </cell>
          <cell r="AV110" t="str">
            <v>-</v>
          </cell>
          <cell r="AW110" t="str">
            <v>-</v>
          </cell>
          <cell r="AX110">
            <v>901.6</v>
          </cell>
          <cell r="AY110" t="e">
            <v>#VALUE!</v>
          </cell>
          <cell r="AZ110" t="e">
            <v>#VALUE!</v>
          </cell>
          <cell r="BA110">
            <v>801.11248454882571</v>
          </cell>
          <cell r="BB110">
            <v>313.34981458590852</v>
          </cell>
          <cell r="BC110" t="e">
            <v>#VALUE!</v>
          </cell>
          <cell r="BD110" t="e">
            <v>#VALUE!</v>
          </cell>
          <cell r="BE110">
            <v>1114.4622991347342</v>
          </cell>
          <cell r="BF110">
            <v>1992.6</v>
          </cell>
        </row>
        <row r="111">
          <cell r="A111" t="str">
            <v>KC-130J</v>
          </cell>
          <cell r="B111" t="b">
            <v>1</v>
          </cell>
          <cell r="C111">
            <v>40878</v>
          </cell>
          <cell r="D111">
            <v>40878</v>
          </cell>
          <cell r="E111">
            <v>3565.3</v>
          </cell>
          <cell r="F111">
            <v>3565.3</v>
          </cell>
          <cell r="G111">
            <v>0</v>
          </cell>
          <cell r="H111" t="str">
            <v/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 t="str">
            <v/>
          </cell>
          <cell r="O111">
            <v>0</v>
          </cell>
          <cell r="P111">
            <v>87.3</v>
          </cell>
          <cell r="Q111">
            <v>26</v>
          </cell>
          <cell r="R111">
            <v>6850.3</v>
          </cell>
          <cell r="S111">
            <v>10528.9</v>
          </cell>
          <cell r="T111">
            <v>0</v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>
            <v>0</v>
          </cell>
          <cell r="AC111">
            <v>87.3</v>
          </cell>
          <cell r="AD111">
            <v>25.582997146511858</v>
          </cell>
          <cell r="AE111">
            <v>9487.2084660433575</v>
          </cell>
          <cell r="AF111">
            <v>87.63998767081064</v>
          </cell>
          <cell r="AG111">
            <v>9574.8484537141703</v>
          </cell>
          <cell r="AH111">
            <v>9233.9</v>
          </cell>
          <cell r="AI111">
            <v>85.3</v>
          </cell>
          <cell r="AJ111">
            <v>9319.2000000000007</v>
          </cell>
          <cell r="AK111">
            <v>4.4899203078145877E-3</v>
          </cell>
          <cell r="AL111">
            <v>9.0000000000000011E-3</v>
          </cell>
          <cell r="AM111">
            <v>2010</v>
          </cell>
          <cell r="AN111">
            <v>6.4999999999999947E-2</v>
          </cell>
          <cell r="AO111">
            <v>6.5000000000000002E-2</v>
          </cell>
          <cell r="AP111">
            <v>9881.7999999999993</v>
          </cell>
          <cell r="AQ111">
            <v>2010</v>
          </cell>
          <cell r="AR111" t="str">
            <v>-</v>
          </cell>
          <cell r="AS111">
            <v>288.10000000000002</v>
          </cell>
          <cell r="AT111" t="str">
            <v>-</v>
          </cell>
          <cell r="AU111">
            <v>-400.8</v>
          </cell>
          <cell r="AV111" t="str">
            <v>-</v>
          </cell>
          <cell r="AW111">
            <v>198</v>
          </cell>
          <cell r="AX111">
            <v>85.3</v>
          </cell>
          <cell r="AY111" t="e">
            <v>#VALUE!</v>
          </cell>
          <cell r="AZ111">
            <v>296.00328778382823</v>
          </cell>
          <cell r="BA111" t="e">
            <v>#VALUE!</v>
          </cell>
          <cell r="BB111">
            <v>-411.79492448371525</v>
          </cell>
          <cell r="BC111" t="e">
            <v>#VALUE!</v>
          </cell>
          <cell r="BD111">
            <v>203.43162437069765</v>
          </cell>
          <cell r="BE111">
            <v>87.63998767081064</v>
          </cell>
          <cell r="BF111">
            <v>10528.9</v>
          </cell>
        </row>
        <row r="112">
          <cell r="A112" t="str">
            <v>KC-45A</v>
          </cell>
          <cell r="B112" t="b">
            <v>0</v>
          </cell>
          <cell r="C112" t="str">
            <v/>
          </cell>
          <cell r="D112" t="str">
            <v/>
          </cell>
          <cell r="E112" t="str">
            <v/>
          </cell>
          <cell r="F112" t="e">
            <v>#VALUE!</v>
          </cell>
          <cell r="G112">
            <v>0</v>
          </cell>
          <cell r="H112" t="str">
            <v/>
          </cell>
          <cell r="I112" t="str">
            <v/>
          </cell>
          <cell r="J112" t="str">
            <v/>
          </cell>
          <cell r="K112" t="str">
            <v/>
          </cell>
          <cell r="L112" t="str">
            <v/>
          </cell>
          <cell r="M112" t="str">
            <v/>
          </cell>
          <cell r="N112" t="str">
            <v/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>
            <v>0</v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e">
            <v>#VALUE!</v>
          </cell>
          <cell r="AF112" t="e">
            <v>#VALUE!</v>
          </cell>
          <cell r="AG112" t="e">
            <v>#VALUE!</v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e">
            <v>#VALUE!</v>
          </cell>
          <cell r="AZ112" t="e">
            <v>#VALUE!</v>
          </cell>
          <cell r="BA112" t="e">
            <v>#VALUE!</v>
          </cell>
          <cell r="BB112" t="e">
            <v>#VALUE!</v>
          </cell>
          <cell r="BC112" t="e">
            <v>#VALUE!</v>
          </cell>
          <cell r="BD112" t="e">
            <v>#VALUE!</v>
          </cell>
          <cell r="BE112" t="e">
            <v>#VALUE!</v>
          </cell>
          <cell r="BF112" t="str">
            <v/>
          </cell>
        </row>
        <row r="113">
          <cell r="A113" t="str">
            <v>KC-46A</v>
          </cell>
          <cell r="B113" t="b">
            <v>1</v>
          </cell>
          <cell r="C113">
            <v>40878</v>
          </cell>
          <cell r="D113">
            <v>40878</v>
          </cell>
          <cell r="E113">
            <v>967.9</v>
          </cell>
          <cell r="F113">
            <v>967.9</v>
          </cell>
          <cell r="G113">
            <v>0</v>
          </cell>
          <cell r="H113" t="str">
            <v/>
          </cell>
          <cell r="I113" t="str">
            <v/>
          </cell>
          <cell r="J113" t="str">
            <v/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>
            <v>0</v>
          </cell>
          <cell r="P113">
            <v>877.1</v>
          </cell>
          <cell r="Q113">
            <v>1815.6</v>
          </cell>
          <cell r="R113">
            <v>48316.4</v>
          </cell>
          <cell r="S113">
            <v>51977</v>
          </cell>
          <cell r="T113">
            <v>0</v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>
            <v>0</v>
          </cell>
          <cell r="AC113">
            <v>877.1</v>
          </cell>
          <cell r="AD113">
            <v>1786.4803699694971</v>
          </cell>
          <cell r="AE113">
            <v>44122.680725945451</v>
          </cell>
          <cell r="AF113">
            <v>-310.85876508161823</v>
          </cell>
          <cell r="AG113">
            <v>43811.821960863832</v>
          </cell>
          <cell r="AH113">
            <v>43518.2</v>
          </cell>
          <cell r="AI113">
            <v>-306.60000000000002</v>
          </cell>
          <cell r="AJ113">
            <v>43211.6</v>
          </cell>
          <cell r="AK113">
            <v>-7.0000000000000062E-3</v>
          </cell>
          <cell r="AL113">
            <v>-6.9999999999999993E-3</v>
          </cell>
          <cell r="AM113">
            <v>2011</v>
          </cell>
          <cell r="AN113">
            <v>4.9999999999998934E-3</v>
          </cell>
          <cell r="AO113">
            <v>5.0000000000000001E-3</v>
          </cell>
          <cell r="AP113">
            <v>51700.2</v>
          </cell>
          <cell r="AQ113">
            <v>2011</v>
          </cell>
          <cell r="AR113" t="str">
            <v>-</v>
          </cell>
          <cell r="AS113">
            <v>-53.1</v>
          </cell>
          <cell r="AT113" t="str">
            <v>-</v>
          </cell>
          <cell r="AU113">
            <v>-140.9</v>
          </cell>
          <cell r="AV113" t="str">
            <v>-</v>
          </cell>
          <cell r="AW113">
            <v>-112.6</v>
          </cell>
          <cell r="AX113">
            <v>-306.60000000000002</v>
          </cell>
          <cell r="AY113" t="e">
            <v>#VALUE!</v>
          </cell>
          <cell r="AZ113">
            <v>-53.837574774409411</v>
          </cell>
          <cell r="BA113" t="e">
            <v>#VALUE!</v>
          </cell>
          <cell r="BB113">
            <v>-142.85714285714286</v>
          </cell>
          <cell r="BC113" t="e">
            <v>#VALUE!</v>
          </cell>
          <cell r="BD113">
            <v>-114.16404745006591</v>
          </cell>
          <cell r="BE113">
            <v>-310.85876508161823</v>
          </cell>
          <cell r="BF113">
            <v>51977</v>
          </cell>
        </row>
        <row r="114">
          <cell r="A114" t="str">
            <v>LAIRCM</v>
          </cell>
          <cell r="B114" t="b">
            <v>0</v>
          </cell>
          <cell r="C114">
            <v>40513</v>
          </cell>
          <cell r="D114">
            <v>40513</v>
          </cell>
          <cell r="E114">
            <v>405.7</v>
          </cell>
          <cell r="F114">
            <v>405.7</v>
          </cell>
          <cell r="G114">
            <v>0</v>
          </cell>
          <cell r="H114" t="str">
            <v/>
          </cell>
          <cell r="I114" t="str">
            <v/>
          </cell>
          <cell r="J114" t="str">
            <v/>
          </cell>
          <cell r="K114" t="str">
            <v/>
          </cell>
          <cell r="L114" t="str">
            <v/>
          </cell>
          <cell r="M114">
            <v>0</v>
          </cell>
          <cell r="N114">
            <v>0</v>
          </cell>
          <cell r="O114">
            <v>0</v>
          </cell>
          <cell r="P114">
            <v>7.5</v>
          </cell>
          <cell r="Q114">
            <v>0</v>
          </cell>
          <cell r="R114">
            <v>0</v>
          </cell>
          <cell r="S114">
            <v>413.2</v>
          </cell>
          <cell r="T114">
            <v>0</v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>
            <v>0</v>
          </cell>
          <cell r="AA114">
            <v>0</v>
          </cell>
          <cell r="AB114">
            <v>0</v>
          </cell>
          <cell r="AC114">
            <v>7.5</v>
          </cell>
          <cell r="AD114">
            <v>0</v>
          </cell>
          <cell r="AE114">
            <v>402.39169201720341</v>
          </cell>
          <cell r="AF114">
            <v>55.70124829539494</v>
          </cell>
          <cell r="AG114">
            <v>458.09294031259833</v>
          </cell>
          <cell r="AH114">
            <v>383.6</v>
          </cell>
          <cell r="AI114">
            <v>53.1</v>
          </cell>
          <cell r="AJ114">
            <v>436.7</v>
          </cell>
          <cell r="AK114">
            <v>4.4032666339381299E-2</v>
          </cell>
          <cell r="AL114">
            <v>0.13800000000000001</v>
          </cell>
          <cell r="AM114">
            <v>2008</v>
          </cell>
          <cell r="AN114">
            <v>6.254411673115956E-2</v>
          </cell>
          <cell r="AO114">
            <v>0.129</v>
          </cell>
          <cell r="AP114">
            <v>366</v>
          </cell>
          <cell r="AQ114">
            <v>2008</v>
          </cell>
          <cell r="AR114" t="str">
            <v>-</v>
          </cell>
          <cell r="AS114" t="str">
            <v>-</v>
          </cell>
          <cell r="AT114" t="str">
            <v>-</v>
          </cell>
          <cell r="AU114">
            <v>53.1</v>
          </cell>
          <cell r="AV114" t="str">
            <v>-</v>
          </cell>
          <cell r="AW114" t="str">
            <v>-</v>
          </cell>
          <cell r="AX114">
            <v>53.1</v>
          </cell>
          <cell r="AY114" t="e">
            <v>#VALUE!</v>
          </cell>
          <cell r="AZ114" t="e">
            <v>#VALUE!</v>
          </cell>
          <cell r="BA114" t="e">
            <v>#VALUE!</v>
          </cell>
          <cell r="BB114">
            <v>55.70124829539494</v>
          </cell>
          <cell r="BC114" t="e">
            <v>#VALUE!</v>
          </cell>
          <cell r="BD114" t="e">
            <v>#VALUE!</v>
          </cell>
          <cell r="BE114">
            <v>55.70124829539494</v>
          </cell>
          <cell r="BF114">
            <v>413.2</v>
          </cell>
        </row>
        <row r="115">
          <cell r="A115" t="str">
            <v>LAND WARRIOR</v>
          </cell>
          <cell r="B115" t="b">
            <v>0</v>
          </cell>
          <cell r="C115">
            <v>39052</v>
          </cell>
          <cell r="D115">
            <v>39052</v>
          </cell>
          <cell r="E115">
            <v>671.4</v>
          </cell>
          <cell r="F115">
            <v>671.4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 t="str">
            <v>-</v>
          </cell>
          <cell r="M115" t="str">
            <v>-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 t="str">
            <v>-</v>
          </cell>
          <cell r="S115">
            <v>671.4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/>
          </cell>
          <cell r="Z115" t="str">
            <v/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2968.2770311175686</v>
          </cell>
          <cell r="AF115">
            <v>-2170.1174476328852</v>
          </cell>
          <cell r="AG115">
            <v>798.15958348468337</v>
          </cell>
          <cell r="AH115">
            <v>2451.5</v>
          </cell>
          <cell r="AI115">
            <v>-1792.3</v>
          </cell>
          <cell r="AJ115">
            <v>659.2</v>
          </cell>
          <cell r="AK115">
            <v>-0.44336846325725188</v>
          </cell>
          <cell r="AL115">
            <v>-0.90400000000000003</v>
          </cell>
          <cell r="AM115">
            <v>2003</v>
          </cell>
          <cell r="AN115">
            <v>-0.58591822505771474</v>
          </cell>
          <cell r="AO115">
            <v>-0.92900000000000005</v>
          </cell>
          <cell r="AP115">
            <v>2844.4</v>
          </cell>
          <cell r="AQ115">
            <v>2003</v>
          </cell>
          <cell r="AR115">
            <v>4399.1000000000004</v>
          </cell>
          <cell r="AS115">
            <v>9.9</v>
          </cell>
          <cell r="AT115" t="str">
            <v>-</v>
          </cell>
          <cell r="AU115">
            <v>-3817</v>
          </cell>
          <cell r="AV115">
            <v>-2528.9</v>
          </cell>
          <cell r="AW115">
            <v>144.6</v>
          </cell>
          <cell r="AX115">
            <v>-1792.3</v>
          </cell>
          <cell r="AY115">
            <v>5326.4317714008957</v>
          </cell>
          <cell r="AZ115">
            <v>11.986923356338538</v>
          </cell>
          <cell r="BA115" t="e">
            <v>#VALUE!</v>
          </cell>
          <cell r="BB115">
            <v>-4621.6248940549694</v>
          </cell>
          <cell r="BC115">
            <v>-3061.9929773580334</v>
          </cell>
          <cell r="BD115">
            <v>175.0817290228841</v>
          </cell>
          <cell r="BE115">
            <v>-2170.1174476328852</v>
          </cell>
          <cell r="BF115">
            <v>671.4</v>
          </cell>
        </row>
        <row r="116">
          <cell r="A116" t="str">
            <v>LCS</v>
          </cell>
          <cell r="B116" t="b">
            <v>1</v>
          </cell>
          <cell r="C116">
            <v>40878</v>
          </cell>
          <cell r="D116">
            <v>40878</v>
          </cell>
          <cell r="E116">
            <v>6079.8</v>
          </cell>
          <cell r="F116">
            <v>6079.8</v>
          </cell>
          <cell r="G116">
            <v>0</v>
          </cell>
          <cell r="H116">
            <v>0</v>
          </cell>
          <cell r="I116" t="str">
            <v/>
          </cell>
          <cell r="J116" t="str">
            <v/>
          </cell>
          <cell r="K116">
            <v>0</v>
          </cell>
          <cell r="L116" t="str">
            <v/>
          </cell>
          <cell r="M116">
            <v>0</v>
          </cell>
          <cell r="N116">
            <v>0</v>
          </cell>
          <cell r="O116">
            <v>0</v>
          </cell>
          <cell r="P116">
            <v>1970.1</v>
          </cell>
          <cell r="Q116">
            <v>2182.6999999999998</v>
          </cell>
          <cell r="R116">
            <v>27207.9</v>
          </cell>
          <cell r="S116">
            <v>37440.5</v>
          </cell>
          <cell r="T116">
            <v>0</v>
          </cell>
          <cell r="U116">
            <v>0</v>
          </cell>
          <cell r="V116" t="str">
            <v/>
          </cell>
          <cell r="W116" t="str">
            <v/>
          </cell>
          <cell r="X116">
            <v>0</v>
          </cell>
          <cell r="Y116" t="str">
            <v/>
          </cell>
          <cell r="Z116">
            <v>0</v>
          </cell>
          <cell r="AA116">
            <v>0</v>
          </cell>
          <cell r="AB116">
            <v>0</v>
          </cell>
          <cell r="AC116">
            <v>1970.1</v>
          </cell>
          <cell r="AD116">
            <v>2147.6926104496702</v>
          </cell>
          <cell r="AE116">
            <v>32889.140039042431</v>
          </cell>
          <cell r="AF116">
            <v>-1370.0811671632591</v>
          </cell>
          <cell r="AG116">
            <v>31519.058871879177</v>
          </cell>
          <cell r="AH116">
            <v>32011</v>
          </cell>
          <cell r="AI116">
            <v>-1333.5</v>
          </cell>
          <cell r="AJ116">
            <v>30677.5</v>
          </cell>
          <cell r="AK116">
            <v>-2.1225255740627502E-2</v>
          </cell>
          <cell r="AL116">
            <v>-4.2000000000000003E-2</v>
          </cell>
          <cell r="AM116">
            <v>2010</v>
          </cell>
          <cell r="AN116">
            <v>0</v>
          </cell>
          <cell r="AO116">
            <v>0</v>
          </cell>
          <cell r="AP116">
            <v>37438.800000000003</v>
          </cell>
          <cell r="AQ116">
            <v>2010</v>
          </cell>
          <cell r="AR116" t="str">
            <v>-</v>
          </cell>
          <cell r="AS116">
            <v>-2.4</v>
          </cell>
          <cell r="AT116" t="str">
            <v>-</v>
          </cell>
          <cell r="AU116">
            <v>-1331.1</v>
          </cell>
          <cell r="AV116" t="str">
            <v>-</v>
          </cell>
          <cell r="AW116" t="str">
            <v>-</v>
          </cell>
          <cell r="AX116">
            <v>-1333.5</v>
          </cell>
          <cell r="AY116" t="e">
            <v>#VALUE!</v>
          </cell>
          <cell r="AZ116">
            <v>-2.4658378711599713</v>
          </cell>
          <cell r="BA116" t="e">
            <v>#VALUE!</v>
          </cell>
          <cell r="BB116">
            <v>-1367.615329292099</v>
          </cell>
          <cell r="BC116" t="e">
            <v>#VALUE!</v>
          </cell>
          <cell r="BD116" t="e">
            <v>#VALUE!</v>
          </cell>
          <cell r="BE116">
            <v>-1370.0811671632591</v>
          </cell>
          <cell r="BF116">
            <v>37440.5</v>
          </cell>
        </row>
        <row r="117">
          <cell r="A117" t="str">
            <v>LCS (RDT&amp;E)</v>
          </cell>
          <cell r="B117" t="b">
            <v>0</v>
          </cell>
          <cell r="C117">
            <v>39052</v>
          </cell>
          <cell r="D117">
            <v>39052</v>
          </cell>
          <cell r="E117">
            <v>1559.6</v>
          </cell>
          <cell r="F117">
            <v>256.8</v>
          </cell>
          <cell r="G117">
            <v>256.8</v>
          </cell>
          <cell r="H117" t="str">
            <v/>
          </cell>
          <cell r="I117">
            <v>0</v>
          </cell>
          <cell r="J117">
            <v>0</v>
          </cell>
          <cell r="K117">
            <v>0</v>
          </cell>
          <cell r="L117">
            <v>160.4</v>
          </cell>
          <cell r="M117">
            <v>96.4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122.5</v>
          </cell>
          <cell r="S117">
            <v>1938.9</v>
          </cell>
          <cell r="T117">
            <v>268.05059204823868</v>
          </cell>
          <cell r="U117" t="str">
            <v/>
          </cell>
          <cell r="V117">
            <v>0</v>
          </cell>
          <cell r="W117">
            <v>0</v>
          </cell>
          <cell r="X117">
            <v>0</v>
          </cell>
          <cell r="Y117">
            <v>168.25763138571278</v>
          </cell>
          <cell r="Z117">
            <v>99.792960662525886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1384.3702042261837</v>
          </cell>
          <cell r="AF117">
            <v>730.84641718805346</v>
          </cell>
          <cell r="AG117">
            <v>2115.2166214142367</v>
          </cell>
          <cell r="AH117">
            <v>1172.7</v>
          </cell>
          <cell r="AI117">
            <v>619.1</v>
          </cell>
          <cell r="AJ117">
            <v>1791.8</v>
          </cell>
          <cell r="AK117">
            <v>0.15179304409848027</v>
          </cell>
          <cell r="AL117">
            <v>0.52800000000000002</v>
          </cell>
          <cell r="AM117">
            <v>2004</v>
          </cell>
          <cell r="AN117">
            <v>0.26491106406735176</v>
          </cell>
          <cell r="AO117">
            <v>0.6</v>
          </cell>
          <cell r="AP117">
            <v>1211.7</v>
          </cell>
          <cell r="AQ117">
            <v>2004</v>
          </cell>
          <cell r="AR117" t="str">
            <v>-</v>
          </cell>
          <cell r="AS117">
            <v>66.599999999999994</v>
          </cell>
          <cell r="AT117">
            <v>64.3</v>
          </cell>
          <cell r="AU117">
            <v>488.2</v>
          </cell>
          <cell r="AV117" t="str">
            <v>-</v>
          </cell>
          <cell r="AW117" t="str">
            <v>-</v>
          </cell>
          <cell r="AX117">
            <v>619.1</v>
          </cell>
          <cell r="AY117" t="e">
            <v>#VALUE!</v>
          </cell>
          <cell r="AZ117">
            <v>78.621178137173885</v>
          </cell>
          <cell r="BA117">
            <v>75.906032345649862</v>
          </cell>
          <cell r="BB117">
            <v>576.31920670522959</v>
          </cell>
          <cell r="BC117" t="e">
            <v>#VALUE!</v>
          </cell>
          <cell r="BD117" t="e">
            <v>#VALUE!</v>
          </cell>
          <cell r="BE117">
            <v>730.84641718805346</v>
          </cell>
          <cell r="BF117">
            <v>1938.9</v>
          </cell>
        </row>
        <row r="118">
          <cell r="A118" t="str">
            <v>LHA Replacement</v>
          </cell>
          <cell r="B118" t="b">
            <v>1</v>
          </cell>
          <cell r="C118">
            <v>40878</v>
          </cell>
          <cell r="D118">
            <v>40878</v>
          </cell>
          <cell r="E118">
            <v>4522</v>
          </cell>
          <cell r="F118">
            <v>4522</v>
          </cell>
          <cell r="G118">
            <v>0</v>
          </cell>
          <cell r="H118" t="str">
            <v/>
          </cell>
          <cell r="I118" t="str">
            <v/>
          </cell>
          <cell r="J118">
            <v>0</v>
          </cell>
          <cell r="K118">
            <v>0</v>
          </cell>
          <cell r="L118" t="str">
            <v/>
          </cell>
          <cell r="M118" t="str">
            <v/>
          </cell>
          <cell r="N118">
            <v>0</v>
          </cell>
          <cell r="O118">
            <v>0</v>
          </cell>
          <cell r="P118">
            <v>2051.6</v>
          </cell>
          <cell r="Q118">
            <v>196.8</v>
          </cell>
          <cell r="R118">
            <v>4632.8</v>
          </cell>
          <cell r="S118">
            <v>11403.2</v>
          </cell>
          <cell r="T118">
            <v>0</v>
          </cell>
          <cell r="U118" t="str">
            <v/>
          </cell>
          <cell r="V118" t="str">
            <v/>
          </cell>
          <cell r="W118">
            <v>0</v>
          </cell>
          <cell r="X118">
            <v>0</v>
          </cell>
          <cell r="Y118" t="str">
            <v/>
          </cell>
          <cell r="Z118" t="str">
            <v/>
          </cell>
          <cell r="AA118">
            <v>0</v>
          </cell>
          <cell r="AB118">
            <v>0</v>
          </cell>
          <cell r="AC118">
            <v>2051.6</v>
          </cell>
          <cell r="AD118">
            <v>193.64360917052053</v>
          </cell>
          <cell r="AE118">
            <v>3180.5018238089979</v>
          </cell>
          <cell r="AF118">
            <v>6702.7744003537091</v>
          </cell>
          <cell r="AG118">
            <v>9883.2762241627061</v>
          </cell>
          <cell r="AH118">
            <v>2877.4</v>
          </cell>
          <cell r="AI118">
            <v>6064</v>
          </cell>
          <cell r="AJ118">
            <v>8941.4</v>
          </cell>
          <cell r="AK118">
            <v>-1.505656136097322E-3</v>
          </cell>
          <cell r="AL118">
            <v>-9.0000000000000011E-3</v>
          </cell>
          <cell r="AM118">
            <v>2006</v>
          </cell>
          <cell r="AN118">
            <v>7.6810918147121043E-3</v>
          </cell>
          <cell r="AO118">
            <v>3.9E-2</v>
          </cell>
          <cell r="AP118">
            <v>3093.5</v>
          </cell>
          <cell r="AQ118">
            <v>2006</v>
          </cell>
          <cell r="AR118">
            <v>6142.3</v>
          </cell>
          <cell r="AS118">
            <v>-33.299999999999997</v>
          </cell>
          <cell r="AT118" t="str">
            <v>-</v>
          </cell>
          <cell r="AU118">
            <v>-294.7</v>
          </cell>
          <cell r="AV118">
            <v>249.7</v>
          </cell>
          <cell r="AW118" t="str">
            <v>-</v>
          </cell>
          <cell r="AX118">
            <v>6064</v>
          </cell>
          <cell r="AY118">
            <v>6789.3224273239757</v>
          </cell>
          <cell r="AZ118">
            <v>-36.807781585055821</v>
          </cell>
          <cell r="BA118" t="e">
            <v>#VALUE!</v>
          </cell>
          <cell r="BB118">
            <v>-325.74334033381234</v>
          </cell>
          <cell r="BC118">
            <v>276.00309494860176</v>
          </cell>
          <cell r="BD118" t="e">
            <v>#VALUE!</v>
          </cell>
          <cell r="BE118">
            <v>6702.7744003537091</v>
          </cell>
          <cell r="BF118">
            <v>11403.2</v>
          </cell>
        </row>
        <row r="119">
          <cell r="A119" t="str">
            <v>LHD 1</v>
          </cell>
          <cell r="B119" t="b">
            <v>0</v>
          </cell>
          <cell r="C119">
            <v>38322</v>
          </cell>
          <cell r="D119">
            <v>38322</v>
          </cell>
          <cell r="E119">
            <v>9734.7999999999993</v>
          </cell>
          <cell r="F119">
            <v>264.39999999999998</v>
          </cell>
          <cell r="G119">
            <v>264.39999999999998</v>
          </cell>
          <cell r="H119">
            <v>0</v>
          </cell>
          <cell r="I119">
            <v>0</v>
          </cell>
          <cell r="J119">
            <v>222.6</v>
          </cell>
          <cell r="K119">
            <v>41.8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2</v>
          </cell>
          <cell r="S119">
            <v>10001.200000000001</v>
          </cell>
          <cell r="T119">
            <v>290.9030119716885</v>
          </cell>
          <cell r="U119">
            <v>0</v>
          </cell>
          <cell r="V119">
            <v>0</v>
          </cell>
          <cell r="W119">
            <v>246.04841383884161</v>
          </cell>
          <cell r="X119">
            <v>44.854598132846874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6066.2114628595082</v>
          </cell>
          <cell r="AF119">
            <v>9132.8367473618855</v>
          </cell>
          <cell r="AG119">
            <v>15199.048210221394</v>
          </cell>
          <cell r="AH119">
            <v>2931.8</v>
          </cell>
          <cell r="AI119">
            <v>4413.8999999999996</v>
          </cell>
          <cell r="AJ119">
            <v>7345.7</v>
          </cell>
          <cell r="AK119">
            <v>1.1166119364931504E-3</v>
          </cell>
          <cell r="AL119">
            <v>2.6000000000000002E-2</v>
          </cell>
          <cell r="AM119">
            <v>1982</v>
          </cell>
          <cell r="AN119">
            <v>-5.9480709742731896E-3</v>
          </cell>
          <cell r="AO119">
            <v>-0.12300000000000001</v>
          </cell>
          <cell r="AP119">
            <v>4451</v>
          </cell>
          <cell r="AQ119">
            <v>1982</v>
          </cell>
          <cell r="AR119">
            <v>4225.6000000000004</v>
          </cell>
          <cell r="AS119">
            <v>-89.3</v>
          </cell>
          <cell r="AT119">
            <v>61.8</v>
          </cell>
          <cell r="AU119">
            <v>213</v>
          </cell>
          <cell r="AV119" t="str">
            <v xml:space="preserve">- </v>
          </cell>
          <cell r="AW119">
            <v>2.8</v>
          </cell>
          <cell r="AX119">
            <v>4413.8999999999996</v>
          </cell>
          <cell r="AY119">
            <v>8743.2236705979722</v>
          </cell>
          <cell r="AZ119">
            <v>-184.77136354231325</v>
          </cell>
          <cell r="BA119">
            <v>127.87088764742396</v>
          </cell>
          <cell r="BB119">
            <v>440.72004965859713</v>
          </cell>
          <cell r="BC119" t="e">
            <v>#VALUE!</v>
          </cell>
          <cell r="BD119">
            <v>5.7935030002069103</v>
          </cell>
          <cell r="BE119">
            <v>9132.8367473618855</v>
          </cell>
          <cell r="BF119">
            <v>10001.200000000001</v>
          </cell>
        </row>
        <row r="120">
          <cell r="A120" t="str">
            <v>LONGBOW APACHE</v>
          </cell>
          <cell r="B120" t="b">
            <v>0</v>
          </cell>
          <cell r="C120">
            <v>40513</v>
          </cell>
          <cell r="D120">
            <v>40513</v>
          </cell>
          <cell r="E120">
            <v>13149.9</v>
          </cell>
          <cell r="F120">
            <v>13149.9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 t="str">
            <v/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13149.9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 t="str">
            <v/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7798.5473482252983</v>
          </cell>
          <cell r="AF120">
            <v>7790.1877483897488</v>
          </cell>
          <cell r="AG120">
            <v>15588.735096615048</v>
          </cell>
          <cell r="AH120">
            <v>5690.6</v>
          </cell>
          <cell r="AI120">
            <v>5684.5</v>
          </cell>
          <cell r="AJ120">
            <v>11375.1</v>
          </cell>
          <cell r="AK120">
            <v>0.34105321171014724</v>
          </cell>
          <cell r="AL120">
            <v>80.599999999999994</v>
          </cell>
          <cell r="AM120">
            <v>1996</v>
          </cell>
          <cell r="AN120">
            <v>0.35550582028844535</v>
          </cell>
          <cell r="AO120">
            <v>69.7</v>
          </cell>
          <cell r="AP120">
            <v>7027.8</v>
          </cell>
          <cell r="AQ120">
            <v>1996</v>
          </cell>
          <cell r="AR120">
            <v>606.70000000000005</v>
          </cell>
          <cell r="AS120">
            <v>5.6</v>
          </cell>
          <cell r="AT120">
            <v>2915.5</v>
          </cell>
          <cell r="AU120">
            <v>1703.8</v>
          </cell>
          <cell r="AV120" t="str">
            <v>-</v>
          </cell>
          <cell r="AW120">
            <v>452.9</v>
          </cell>
          <cell r="AX120">
            <v>5684.5</v>
          </cell>
          <cell r="AY120">
            <v>831.43757708647399</v>
          </cell>
          <cell r="AZ120">
            <v>7.6743867342743588</v>
          </cell>
          <cell r="BA120">
            <v>3995.4775935315884</v>
          </cell>
          <cell r="BB120">
            <v>2334.9321639029736</v>
          </cell>
          <cell r="BC120" t="e">
            <v>#VALUE!</v>
          </cell>
          <cell r="BD120">
            <v>620.66602713443876</v>
          </cell>
          <cell r="BE120">
            <v>7790.1877483897488</v>
          </cell>
          <cell r="BF120">
            <v>13149.9</v>
          </cell>
        </row>
        <row r="121">
          <cell r="A121" t="str">
            <v>LONGBOW HELLFIRE</v>
          </cell>
          <cell r="B121" t="b">
            <v>0</v>
          </cell>
          <cell r="C121">
            <v>38322</v>
          </cell>
          <cell r="D121">
            <v>38322</v>
          </cell>
          <cell r="E121">
            <v>2507.1</v>
          </cell>
          <cell r="F121">
            <v>2.5</v>
          </cell>
          <cell r="G121">
            <v>2.5</v>
          </cell>
          <cell r="H121">
            <v>0</v>
          </cell>
          <cell r="I121">
            <v>0</v>
          </cell>
          <cell r="J121">
            <v>2.5</v>
          </cell>
          <cell r="K121" t="str">
            <v>-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 t="str">
            <v>-</v>
          </cell>
          <cell r="S121">
            <v>2509.6</v>
          </cell>
          <cell r="T121">
            <v>2.7633469658450318</v>
          </cell>
          <cell r="U121">
            <v>0</v>
          </cell>
          <cell r="V121">
            <v>0</v>
          </cell>
          <cell r="W121">
            <v>2.7633469658450318</v>
          </cell>
          <cell r="X121" t="str">
            <v/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3223.2424283952309</v>
          </cell>
          <cell r="AF121">
            <v>58.928326709606687</v>
          </cell>
          <cell r="AG121">
            <v>3282.1707551048376</v>
          </cell>
          <cell r="AH121">
            <v>2352</v>
          </cell>
          <cell r="AI121">
            <v>43</v>
          </cell>
          <cell r="AJ121">
            <v>2395</v>
          </cell>
          <cell r="AK121">
            <v>4.0450402072209624E-3</v>
          </cell>
          <cell r="AL121">
            <v>3.7000000000000005E-2</v>
          </cell>
          <cell r="AM121">
            <v>1996</v>
          </cell>
          <cell r="AN121">
            <v>-3.543640747843968E-3</v>
          </cell>
          <cell r="AO121">
            <v>-2.7999999999999997E-2</v>
          </cell>
          <cell r="AP121">
            <v>2635.6</v>
          </cell>
          <cell r="AQ121">
            <v>1996</v>
          </cell>
          <cell r="AR121">
            <v>-41.8</v>
          </cell>
          <cell r="AS121">
            <v>-1.1000000000000001</v>
          </cell>
          <cell r="AT121">
            <v>48.5</v>
          </cell>
          <cell r="AU121">
            <v>31.6</v>
          </cell>
          <cell r="AV121" t="str">
            <v xml:space="preserve">- </v>
          </cell>
          <cell r="AW121">
            <v>5.8</v>
          </cell>
          <cell r="AX121">
            <v>43</v>
          </cell>
          <cell r="AY121">
            <v>-57.28381526654789</v>
          </cell>
          <cell r="AZ121">
            <v>-1.5074688228038922</v>
          </cell>
          <cell r="BA121">
            <v>66.465670823626141</v>
          </cell>
          <cell r="BB121">
            <v>43.305468000548174</v>
          </cell>
          <cell r="BC121" t="e">
            <v>#VALUE!</v>
          </cell>
          <cell r="BD121">
            <v>7.9484719747841579</v>
          </cell>
          <cell r="BE121">
            <v>58.928326709606687</v>
          </cell>
          <cell r="BF121">
            <v>2509.6</v>
          </cell>
        </row>
        <row r="122">
          <cell r="A122" t="str">
            <v>LPD 17</v>
          </cell>
          <cell r="B122" t="b">
            <v>1</v>
          </cell>
          <cell r="C122">
            <v>40878</v>
          </cell>
          <cell r="D122">
            <v>40878</v>
          </cell>
          <cell r="E122">
            <v>16404.599999999999</v>
          </cell>
          <cell r="F122">
            <v>16404.599999999999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 t="str">
            <v/>
          </cell>
          <cell r="M122">
            <v>0</v>
          </cell>
          <cell r="N122">
            <v>0</v>
          </cell>
          <cell r="O122">
            <v>0</v>
          </cell>
          <cell r="P122">
            <v>1982.7</v>
          </cell>
          <cell r="Q122">
            <v>140.30000000000001</v>
          </cell>
          <cell r="R122">
            <v>291.5</v>
          </cell>
          <cell r="S122">
            <v>18819.099999999999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/>
          </cell>
          <cell r="Z122">
            <v>0</v>
          </cell>
          <cell r="AA122">
            <v>0</v>
          </cell>
          <cell r="AB122">
            <v>0</v>
          </cell>
          <cell r="AC122">
            <v>1982.7</v>
          </cell>
          <cell r="AD122">
            <v>138.04978844829284</v>
          </cell>
          <cell r="AE122">
            <v>12358.640537207071</v>
          </cell>
          <cell r="AF122">
            <v>7196.3820748252701</v>
          </cell>
          <cell r="AG122">
            <v>19555.022612032342</v>
          </cell>
          <cell r="AH122">
            <v>9018.1</v>
          </cell>
          <cell r="AI122">
            <v>5251.2</v>
          </cell>
          <cell r="AJ122">
            <v>14269.3</v>
          </cell>
          <cell r="AK122">
            <v>3.937315255275875E-2</v>
          </cell>
          <cell r="AL122">
            <v>0.85499999999999998</v>
          </cell>
          <cell r="AM122">
            <v>1996</v>
          </cell>
          <cell r="AN122">
            <v>4.8230800529379225E-2</v>
          </cell>
          <cell r="AO122">
            <v>1.0270000000000001</v>
          </cell>
          <cell r="AP122">
            <v>10761.8</v>
          </cell>
          <cell r="AQ122">
            <v>1996</v>
          </cell>
          <cell r="AR122">
            <v>-1325.1</v>
          </cell>
          <cell r="AS122">
            <v>414.9</v>
          </cell>
          <cell r="AT122" t="str">
            <v>-</v>
          </cell>
          <cell r="AU122">
            <v>4629.3999999999996</v>
          </cell>
          <cell r="AV122">
            <v>1532</v>
          </cell>
          <cell r="AW122" t="str">
            <v>-</v>
          </cell>
          <cell r="AX122">
            <v>5251.2</v>
          </cell>
          <cell r="AY122">
            <v>-1815.9517609976701</v>
          </cell>
          <cell r="AZ122">
            <v>568.589831437577</v>
          </cell>
          <cell r="BA122" t="e">
            <v>#VALUE!</v>
          </cell>
          <cell r="BB122">
            <v>6344.2510620803059</v>
          </cell>
          <cell r="BC122">
            <v>2099.4929423050567</v>
          </cell>
          <cell r="BD122" t="e">
            <v>#VALUE!</v>
          </cell>
          <cell r="BE122">
            <v>7196.3820748252701</v>
          </cell>
          <cell r="BF122">
            <v>18819.099999999999</v>
          </cell>
        </row>
        <row r="123">
          <cell r="A123" t="str">
            <v>LUH</v>
          </cell>
          <cell r="B123" t="b">
            <v>1</v>
          </cell>
          <cell r="C123">
            <v>40878</v>
          </cell>
          <cell r="D123">
            <v>40878</v>
          </cell>
          <cell r="E123">
            <v>1290.2</v>
          </cell>
          <cell r="F123">
            <v>1290.2</v>
          </cell>
          <cell r="G123">
            <v>0</v>
          </cell>
          <cell r="H123" t="str">
            <v/>
          </cell>
          <cell r="I123" t="str">
            <v/>
          </cell>
          <cell r="J123">
            <v>0</v>
          </cell>
          <cell r="K123">
            <v>0</v>
          </cell>
          <cell r="L123" t="str">
            <v/>
          </cell>
          <cell r="M123">
            <v>0</v>
          </cell>
          <cell r="N123">
            <v>0</v>
          </cell>
          <cell r="O123">
            <v>0</v>
          </cell>
          <cell r="P123">
            <v>237</v>
          </cell>
          <cell r="Q123">
            <v>201.5</v>
          </cell>
          <cell r="R123">
            <v>276</v>
          </cell>
          <cell r="S123">
            <v>2004.7</v>
          </cell>
          <cell r="T123">
            <v>0</v>
          </cell>
          <cell r="U123" t="str">
            <v/>
          </cell>
          <cell r="V123" t="str">
            <v/>
          </cell>
          <cell r="W123">
            <v>0</v>
          </cell>
          <cell r="X123">
            <v>0</v>
          </cell>
          <cell r="Y123" t="str">
            <v/>
          </cell>
          <cell r="Z123">
            <v>0</v>
          </cell>
          <cell r="AA123">
            <v>0</v>
          </cell>
          <cell r="AB123">
            <v>0</v>
          </cell>
          <cell r="AC123">
            <v>237</v>
          </cell>
          <cell r="AD123">
            <v>198.2682278854669</v>
          </cell>
          <cell r="AE123">
            <v>1810.8765336575661</v>
          </cell>
          <cell r="AF123">
            <v>171.99071515419476</v>
          </cell>
          <cell r="AG123">
            <v>1982.8672488117611</v>
          </cell>
          <cell r="AH123">
            <v>1638.3</v>
          </cell>
          <cell r="AI123">
            <v>155.6</v>
          </cell>
          <cell r="AJ123">
            <v>1793.9</v>
          </cell>
          <cell r="AK123">
            <v>4.2871213152586574E-3</v>
          </cell>
          <cell r="AL123">
            <v>2.6000000000000002E-2</v>
          </cell>
          <cell r="AM123">
            <v>2006</v>
          </cell>
          <cell r="AN123">
            <v>-1.8065152139684626E-3</v>
          </cell>
          <cell r="AO123">
            <v>-9.0000000000000011E-3</v>
          </cell>
          <cell r="AP123">
            <v>1883</v>
          </cell>
          <cell r="AQ123">
            <v>2006</v>
          </cell>
          <cell r="AR123">
            <v>110.5</v>
          </cell>
          <cell r="AS123">
            <v>19.899999999999999</v>
          </cell>
          <cell r="AT123">
            <v>74.400000000000006</v>
          </cell>
          <cell r="AU123">
            <v>-81.400000000000006</v>
          </cell>
          <cell r="AV123" t="str">
            <v>-</v>
          </cell>
          <cell r="AW123">
            <v>32.200000000000003</v>
          </cell>
          <cell r="AX123">
            <v>155.6</v>
          </cell>
          <cell r="AY123">
            <v>122.1399358903504</v>
          </cell>
          <cell r="AZ123">
            <v>21.996241848126452</v>
          </cell>
          <cell r="BA123">
            <v>82.237205703548142</v>
          </cell>
          <cell r="BB123">
            <v>-89.974577207914237</v>
          </cell>
          <cell r="BC123" t="e">
            <v>#VALUE!</v>
          </cell>
          <cell r="BD123">
            <v>35.591908920084009</v>
          </cell>
          <cell r="BE123">
            <v>171.99071515419476</v>
          </cell>
          <cell r="BF123">
            <v>2004.7</v>
          </cell>
        </row>
        <row r="124">
          <cell r="A124" t="str">
            <v>M1A2 ABRAMS UPGRADE</v>
          </cell>
          <cell r="B124" t="b">
            <v>0</v>
          </cell>
          <cell r="C124">
            <v>37956</v>
          </cell>
          <cell r="D124">
            <v>37956</v>
          </cell>
          <cell r="E124">
            <v>7296.4</v>
          </cell>
          <cell r="F124">
            <v>492.40000000000003</v>
          </cell>
          <cell r="G124">
            <v>492.40000000000003</v>
          </cell>
          <cell r="H124">
            <v>188.8</v>
          </cell>
          <cell r="I124">
            <v>303.60000000000002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5.4</v>
          </cell>
          <cell r="S124">
            <v>7794.2</v>
          </cell>
          <cell r="T124">
            <v>569.96848554393148</v>
          </cell>
          <cell r="U124">
            <v>222.87805453901549</v>
          </cell>
          <cell r="V124">
            <v>347.09043100491596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9766.587512222377</v>
          </cell>
          <cell r="AF124">
            <v>627.74130465148767</v>
          </cell>
          <cell r="AG124">
            <v>10394.328816873865</v>
          </cell>
          <cell r="AH124">
            <v>6991.9</v>
          </cell>
          <cell r="AI124">
            <v>449.4</v>
          </cell>
          <cell r="AJ124">
            <v>7441.3</v>
          </cell>
          <cell r="AK124">
            <v>2.3175680989806491E-2</v>
          </cell>
          <cell r="AL124">
            <v>0.22899999999999998</v>
          </cell>
          <cell r="AM124">
            <v>1995</v>
          </cell>
          <cell r="AN124">
            <v>2.1874899968762795E-2</v>
          </cell>
          <cell r="AO124">
            <v>0.18899999999999997</v>
          </cell>
          <cell r="AP124">
            <v>7961.9</v>
          </cell>
          <cell r="AQ124">
            <v>1995</v>
          </cell>
          <cell r="AR124">
            <v>-939.4</v>
          </cell>
          <cell r="AS124" t="str">
            <v>-</v>
          </cell>
          <cell r="AT124">
            <v>121.4</v>
          </cell>
          <cell r="AU124">
            <v>1350.2</v>
          </cell>
          <cell r="AV124" t="str">
            <v>-</v>
          </cell>
          <cell r="AW124">
            <v>-82.8</v>
          </cell>
          <cell r="AX124">
            <v>449.4</v>
          </cell>
          <cell r="AY124">
            <v>-1312.1944405643246</v>
          </cell>
          <cell r="AZ124" t="e">
            <v>#VALUE!</v>
          </cell>
          <cell r="BA124">
            <v>169.57675653024165</v>
          </cell>
          <cell r="BB124">
            <v>1886.017600223495</v>
          </cell>
          <cell r="BC124" t="e">
            <v>#VALUE!</v>
          </cell>
          <cell r="BD124">
            <v>-115.65861153792429</v>
          </cell>
          <cell r="BE124">
            <v>627.74130465148767</v>
          </cell>
          <cell r="BF124">
            <v>7794.2</v>
          </cell>
        </row>
        <row r="125">
          <cell r="A125" t="str">
            <v>MCS</v>
          </cell>
          <cell r="B125" t="b">
            <v>0</v>
          </cell>
          <cell r="C125">
            <v>38322</v>
          </cell>
          <cell r="D125">
            <v>38322</v>
          </cell>
          <cell r="E125">
            <v>433.7</v>
          </cell>
          <cell r="F125">
            <v>152</v>
          </cell>
          <cell r="G125">
            <v>152</v>
          </cell>
          <cell r="H125">
            <v>0</v>
          </cell>
          <cell r="I125">
            <v>0</v>
          </cell>
          <cell r="J125">
            <v>96.3</v>
          </cell>
          <cell r="K125">
            <v>55.7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161.19999999999999</v>
          </cell>
          <cell r="S125">
            <v>746.9</v>
          </cell>
          <cell r="T125">
            <v>166.21448675113461</v>
          </cell>
          <cell r="U125">
            <v>0</v>
          </cell>
          <cell r="V125">
            <v>0</v>
          </cell>
          <cell r="W125">
            <v>106.44412512435062</v>
          </cell>
          <cell r="X125">
            <v>59.770361626783995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259.65508865678891</v>
          </cell>
          <cell r="AF125">
            <v>603.59485061938301</v>
          </cell>
          <cell r="AG125">
            <v>863.24993927617186</v>
          </cell>
          <cell r="AH125">
            <v>106.9</v>
          </cell>
          <cell r="AI125">
            <v>248.5</v>
          </cell>
          <cell r="AJ125">
            <v>355.4</v>
          </cell>
          <cell r="AK125">
            <v>-3.5604323748206324E-2</v>
          </cell>
          <cell r="AL125">
            <v>-0.59599999999999997</v>
          </cell>
          <cell r="AM125">
            <v>1980</v>
          </cell>
          <cell r="AN125">
            <v>-4.2685883183163686E-2</v>
          </cell>
          <cell r="AO125">
            <v>-0.64900000000000002</v>
          </cell>
          <cell r="AP125">
            <v>232.1</v>
          </cell>
          <cell r="AQ125">
            <v>1980</v>
          </cell>
          <cell r="AR125">
            <v>773.7</v>
          </cell>
          <cell r="AS125">
            <v>-76.599999999999994</v>
          </cell>
          <cell r="AT125">
            <v>362.2</v>
          </cell>
          <cell r="AU125">
            <v>-906.8</v>
          </cell>
          <cell r="AV125" t="str">
            <v xml:space="preserve">- </v>
          </cell>
          <cell r="AW125">
            <v>96</v>
          </cell>
          <cell r="AX125">
            <v>248.5</v>
          </cell>
          <cell r="AY125">
            <v>1879.2810298761235</v>
          </cell>
          <cell r="AZ125">
            <v>-186.05780908428466</v>
          </cell>
          <cell r="BA125">
            <v>879.76682050036425</v>
          </cell>
          <cell r="BB125">
            <v>-2202.5746903084769</v>
          </cell>
          <cell r="BC125" t="e">
            <v>#VALUE!</v>
          </cell>
          <cell r="BD125">
            <v>233.17949963565704</v>
          </cell>
          <cell r="BE125">
            <v>603.59485061938301</v>
          </cell>
          <cell r="BF125">
            <v>746.9</v>
          </cell>
        </row>
        <row r="126">
          <cell r="A126" t="str">
            <v>MH-60R</v>
          </cell>
          <cell r="B126" t="b">
            <v>1</v>
          </cell>
          <cell r="C126">
            <v>40878</v>
          </cell>
          <cell r="D126">
            <v>40878</v>
          </cell>
          <cell r="E126">
            <v>8723.1</v>
          </cell>
          <cell r="F126">
            <v>8723.1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 t="str">
            <v/>
          </cell>
          <cell r="M126">
            <v>0</v>
          </cell>
          <cell r="N126">
            <v>0</v>
          </cell>
          <cell r="O126">
            <v>0</v>
          </cell>
          <cell r="P126">
            <v>1030.2</v>
          </cell>
          <cell r="Q126">
            <v>850</v>
          </cell>
          <cell r="R126">
            <v>3654</v>
          </cell>
          <cell r="S126">
            <v>14257.3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 t="str">
            <v/>
          </cell>
          <cell r="Z126">
            <v>0</v>
          </cell>
          <cell r="AA126">
            <v>0</v>
          </cell>
          <cell r="AB126">
            <v>0</v>
          </cell>
          <cell r="AC126">
            <v>1030.2</v>
          </cell>
          <cell r="AD126">
            <v>836.36721440519534</v>
          </cell>
          <cell r="AE126">
            <v>11746.435282414061</v>
          </cell>
          <cell r="AF126">
            <v>2713.3856527025537</v>
          </cell>
          <cell r="AG126">
            <v>14459.820935116613</v>
          </cell>
          <cell r="AH126">
            <v>10627</v>
          </cell>
          <cell r="AI126">
            <v>2454.8000000000002</v>
          </cell>
          <cell r="AJ126">
            <v>13081.8</v>
          </cell>
          <cell r="AK126">
            <v>2.1329736828713974E-2</v>
          </cell>
          <cell r="AL126">
            <v>0.13500000000000001</v>
          </cell>
          <cell r="AM126">
            <v>2006</v>
          </cell>
          <cell r="AN126">
            <v>2.655203974111342E-2</v>
          </cell>
          <cell r="AO126">
            <v>0.14000000000000001</v>
          </cell>
          <cell r="AP126">
            <v>11424.7</v>
          </cell>
          <cell r="AQ126">
            <v>2006</v>
          </cell>
          <cell r="AR126">
            <v>900.5</v>
          </cell>
          <cell r="AS126">
            <v>52.6</v>
          </cell>
          <cell r="AT126">
            <v>220.2</v>
          </cell>
          <cell r="AU126">
            <v>1285.7</v>
          </cell>
          <cell r="AV126" t="str">
            <v>-</v>
          </cell>
          <cell r="AW126">
            <v>-4.2</v>
          </cell>
          <cell r="AX126">
            <v>2454.8000000000002</v>
          </cell>
          <cell r="AY126">
            <v>995.35757709738039</v>
          </cell>
          <cell r="AZ126">
            <v>58.140820161379466</v>
          </cell>
          <cell r="BA126">
            <v>243.39560075163038</v>
          </cell>
          <cell r="BB126">
            <v>1421.1340775947829</v>
          </cell>
          <cell r="BC126" t="e">
            <v>#VALUE!</v>
          </cell>
          <cell r="BD126">
            <v>-4.6424229026196535</v>
          </cell>
          <cell r="BE126">
            <v>2713.3856527025537</v>
          </cell>
          <cell r="BF126">
            <v>14257.3</v>
          </cell>
        </row>
        <row r="127">
          <cell r="A127" t="str">
            <v>MH-60S</v>
          </cell>
          <cell r="B127" t="b">
            <v>1</v>
          </cell>
          <cell r="C127">
            <v>40878</v>
          </cell>
          <cell r="D127">
            <v>40878</v>
          </cell>
          <cell r="E127">
            <v>6148.7</v>
          </cell>
          <cell r="F127">
            <v>6148.7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 t="str">
            <v/>
          </cell>
          <cell r="M127">
            <v>0</v>
          </cell>
          <cell r="N127">
            <v>0</v>
          </cell>
          <cell r="O127">
            <v>0</v>
          </cell>
          <cell r="P127">
            <v>506.1</v>
          </cell>
          <cell r="Q127">
            <v>486.6</v>
          </cell>
          <cell r="R127">
            <v>826.8</v>
          </cell>
          <cell r="S127">
            <v>7968.2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 t="str">
            <v/>
          </cell>
          <cell r="Z127">
            <v>0</v>
          </cell>
          <cell r="AA127">
            <v>0</v>
          </cell>
          <cell r="AB127">
            <v>0</v>
          </cell>
          <cell r="AC127">
            <v>506.1</v>
          </cell>
          <cell r="AD127">
            <v>478.79563121125653</v>
          </cell>
          <cell r="AE127">
            <v>7003.4551495016622</v>
          </cell>
          <cell r="AF127">
            <v>1806.1129568106312</v>
          </cell>
          <cell r="AG127">
            <v>8809.568106312292</v>
          </cell>
          <cell r="AH127">
            <v>5270.1</v>
          </cell>
          <cell r="AI127">
            <v>1359.1</v>
          </cell>
          <cell r="AJ127">
            <v>6629.2</v>
          </cell>
          <cell r="AK127">
            <v>9.0862206963793213E-3</v>
          </cell>
          <cell r="AL127">
            <v>0.13500000000000001</v>
          </cell>
          <cell r="AM127">
            <v>1998</v>
          </cell>
          <cell r="AN127">
            <v>1.1549393029645305E-2</v>
          </cell>
          <cell r="AO127">
            <v>0.161</v>
          </cell>
          <cell r="AP127">
            <v>6093.8</v>
          </cell>
          <cell r="AQ127">
            <v>1998</v>
          </cell>
          <cell r="AR127">
            <v>572.5</v>
          </cell>
          <cell r="AS127">
            <v>121.8</v>
          </cell>
          <cell r="AT127">
            <v>-4.7</v>
          </cell>
          <cell r="AU127">
            <v>467.3</v>
          </cell>
          <cell r="AV127" t="str">
            <v>-</v>
          </cell>
          <cell r="AW127">
            <v>202.2</v>
          </cell>
          <cell r="AX127">
            <v>1359.1</v>
          </cell>
          <cell r="AY127">
            <v>760.79734219269108</v>
          </cell>
          <cell r="AZ127">
            <v>161.86046511627907</v>
          </cell>
          <cell r="BA127">
            <v>-6.2458471760797352</v>
          </cell>
          <cell r="BB127">
            <v>620.9966777408639</v>
          </cell>
          <cell r="BC127" t="e">
            <v>#VALUE!</v>
          </cell>
          <cell r="BD127">
            <v>268.70431893687709</v>
          </cell>
          <cell r="BE127">
            <v>1806.1129568106312</v>
          </cell>
          <cell r="BF127">
            <v>7968.2</v>
          </cell>
        </row>
        <row r="128">
          <cell r="A128" t="str">
            <v>MIDS JTRS</v>
          </cell>
          <cell r="B128" t="b">
            <v>1</v>
          </cell>
          <cell r="C128">
            <v>40878</v>
          </cell>
          <cell r="D128">
            <v>40878</v>
          </cell>
          <cell r="E128">
            <v>2435</v>
          </cell>
          <cell r="F128">
            <v>2435</v>
          </cell>
          <cell r="G128">
            <v>0</v>
          </cell>
          <cell r="H128" t="str">
            <v/>
          </cell>
          <cell r="I128" t="str">
            <v/>
          </cell>
          <cell r="J128" t="str">
            <v/>
          </cell>
          <cell r="K128">
            <v>0</v>
          </cell>
          <cell r="L128" t="str">
            <v/>
          </cell>
          <cell r="M128">
            <v>0</v>
          </cell>
          <cell r="N128">
            <v>0</v>
          </cell>
          <cell r="O128">
            <v>0</v>
          </cell>
          <cell r="P128">
            <v>103.7</v>
          </cell>
          <cell r="Q128">
            <v>147.9</v>
          </cell>
          <cell r="R128">
            <v>323.8</v>
          </cell>
          <cell r="S128">
            <v>3010.4</v>
          </cell>
          <cell r="T128">
            <v>0</v>
          </cell>
          <cell r="U128" t="str">
            <v/>
          </cell>
          <cell r="V128" t="str">
            <v/>
          </cell>
          <cell r="W128" t="str">
            <v/>
          </cell>
          <cell r="X128">
            <v>0</v>
          </cell>
          <cell r="Y128" t="str">
            <v/>
          </cell>
          <cell r="Z128">
            <v>0</v>
          </cell>
          <cell r="AA128">
            <v>0</v>
          </cell>
          <cell r="AB128">
            <v>0</v>
          </cell>
          <cell r="AC128">
            <v>103.7</v>
          </cell>
          <cell r="AD128">
            <v>145.52789530650401</v>
          </cell>
          <cell r="AE128">
            <v>2209.468458651168</v>
          </cell>
          <cell r="AF128">
            <v>1180.8935706501995</v>
          </cell>
          <cell r="AG128">
            <v>3390.3620293013678</v>
          </cell>
          <cell r="AH128">
            <v>1824.8</v>
          </cell>
          <cell r="AI128">
            <v>975.3</v>
          </cell>
          <cell r="AJ128">
            <v>2800.1</v>
          </cell>
          <cell r="AK128">
            <v>1.5355574555524276E-2</v>
          </cell>
          <cell r="AL128">
            <v>0.14699999999999999</v>
          </cell>
          <cell r="AM128">
            <v>2003</v>
          </cell>
          <cell r="AN128">
            <v>2.0363073579907631E-2</v>
          </cell>
          <cell r="AO128">
            <v>0.17499999999999999</v>
          </cell>
          <cell r="AP128">
            <v>1818.9</v>
          </cell>
          <cell r="AQ128">
            <v>2003</v>
          </cell>
          <cell r="AR128">
            <v>616.9</v>
          </cell>
          <cell r="AS128">
            <v>-2.8</v>
          </cell>
          <cell r="AT128">
            <v>543.1</v>
          </cell>
          <cell r="AU128">
            <v>-234.9</v>
          </cell>
          <cell r="AV128" t="str">
            <v>-</v>
          </cell>
          <cell r="AW128">
            <v>53</v>
          </cell>
          <cell r="AX128">
            <v>975.3</v>
          </cell>
          <cell r="AY128">
            <v>746.94272914396402</v>
          </cell>
          <cell r="AZ128">
            <v>-3.3902409492674654</v>
          </cell>
          <cell r="BA128">
            <v>657.58566412398591</v>
          </cell>
          <cell r="BB128">
            <v>-284.4169996367599</v>
          </cell>
          <cell r="BC128" t="e">
            <v>#VALUE!</v>
          </cell>
          <cell r="BD128">
            <v>64.172417968277031</v>
          </cell>
          <cell r="BE128">
            <v>1180.8935706501995</v>
          </cell>
          <cell r="BF128">
            <v>3010.4</v>
          </cell>
        </row>
        <row r="129">
          <cell r="A129" t="str">
            <v>MIDS-LVT</v>
          </cell>
          <cell r="B129" t="b">
            <v>0</v>
          </cell>
          <cell r="C129">
            <v>39052</v>
          </cell>
          <cell r="D129">
            <v>39052</v>
          </cell>
          <cell r="E129">
            <v>1921</v>
          </cell>
          <cell r="F129">
            <v>188.7</v>
          </cell>
          <cell r="G129">
            <v>188.7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120.1</v>
          </cell>
          <cell r="M129">
            <v>68.599999999999994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88.5</v>
          </cell>
          <cell r="S129">
            <v>2198.1999999999998</v>
          </cell>
          <cell r="T129">
            <v>196.99791874753905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125.98342599391586</v>
          </cell>
          <cell r="Z129">
            <v>71.014492753623188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2209.468458651168</v>
          </cell>
          <cell r="AF129">
            <v>393.51011018283083</v>
          </cell>
          <cell r="AG129">
            <v>2602.9785688339994</v>
          </cell>
          <cell r="AH129">
            <v>1824.8</v>
          </cell>
          <cell r="AI129">
            <v>325</v>
          </cell>
          <cell r="AJ129">
            <v>2149.8000000000002</v>
          </cell>
          <cell r="AK129">
            <v>2.6433327247938676E-2</v>
          </cell>
          <cell r="AL129">
            <v>0.11</v>
          </cell>
          <cell r="AM129">
            <v>2003</v>
          </cell>
          <cell r="AN129">
            <v>4.1580437306558915E-2</v>
          </cell>
          <cell r="AO129">
            <v>0.13</v>
          </cell>
          <cell r="AP129">
            <v>1818.9</v>
          </cell>
          <cell r="AQ129">
            <v>2003</v>
          </cell>
          <cell r="AR129">
            <v>111.9</v>
          </cell>
          <cell r="AS129" t="str">
            <v>-</v>
          </cell>
          <cell r="AT129">
            <v>218.5</v>
          </cell>
          <cell r="AU129">
            <v>-2.8</v>
          </cell>
          <cell r="AV129" t="str">
            <v>-</v>
          </cell>
          <cell r="AW129">
            <v>-2.6</v>
          </cell>
          <cell r="AX129">
            <v>325</v>
          </cell>
          <cell r="AY129">
            <v>135.48855793679621</v>
          </cell>
          <cell r="AZ129" t="e">
            <v>#VALUE!</v>
          </cell>
          <cell r="BA129">
            <v>264.55987407676474</v>
          </cell>
          <cell r="BB129">
            <v>-3.3902409492674654</v>
          </cell>
          <cell r="BC129" t="e">
            <v>#VALUE!</v>
          </cell>
          <cell r="BD129">
            <v>-3.1480808814626466</v>
          </cell>
          <cell r="BE129">
            <v>393.51011018283083</v>
          </cell>
          <cell r="BF129">
            <v>2198.1999999999998</v>
          </cell>
        </row>
        <row r="130">
          <cell r="A130" t="str">
            <v>MINUTEMAN III GRP</v>
          </cell>
          <cell r="B130" t="b">
            <v>0</v>
          </cell>
          <cell r="C130">
            <v>39417</v>
          </cell>
          <cell r="D130">
            <v>39417</v>
          </cell>
          <cell r="E130">
            <v>2424.6</v>
          </cell>
          <cell r="F130">
            <v>3.0999999999999996</v>
          </cell>
          <cell r="G130">
            <v>3.0999999999999996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1.9</v>
          </cell>
          <cell r="M130">
            <v>1.2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 t="str">
            <v>-</v>
          </cell>
          <cell r="S130">
            <v>2427.6999999999998</v>
          </cell>
          <cell r="T130">
            <v>3.2353127058475524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1.9930766810028322</v>
          </cell>
          <cell r="Z130">
            <v>1.2422360248447204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2931.5367807720318</v>
          </cell>
          <cell r="AF130">
            <v>120.75746540422432</v>
          </cell>
          <cell r="AG130">
            <v>3052.2942461762559</v>
          </cell>
          <cell r="AH130">
            <v>2012.5</v>
          </cell>
          <cell r="AI130">
            <v>82.9</v>
          </cell>
          <cell r="AJ130">
            <v>2095.4</v>
          </cell>
          <cell r="AK130">
            <v>3.8289830045674655E-3</v>
          </cell>
          <cell r="AL130">
            <v>5.9000000000000004E-2</v>
          </cell>
          <cell r="AM130">
            <v>1993</v>
          </cell>
          <cell r="AN130">
            <v>1.9744586123258134E-3</v>
          </cell>
          <cell r="AO130">
            <v>2.7999999999999997E-2</v>
          </cell>
          <cell r="AP130">
            <v>2400.1</v>
          </cell>
          <cell r="AQ130">
            <v>1993</v>
          </cell>
          <cell r="AR130">
            <v>-34.1</v>
          </cell>
          <cell r="AS130">
            <v>0.4</v>
          </cell>
          <cell r="AT130" t="str">
            <v>-</v>
          </cell>
          <cell r="AU130">
            <v>116.5</v>
          </cell>
          <cell r="AV130" t="str">
            <v>-</v>
          </cell>
          <cell r="AW130">
            <v>0.1</v>
          </cell>
          <cell r="AX130">
            <v>82.9</v>
          </cell>
          <cell r="AY130">
            <v>-49.672250546249082</v>
          </cell>
          <cell r="AZ130">
            <v>0.58266569555717396</v>
          </cell>
          <cell r="BA130" t="e">
            <v>#VALUE!</v>
          </cell>
          <cell r="BB130">
            <v>169.70138383102693</v>
          </cell>
          <cell r="BC130" t="e">
            <v>#VALUE!</v>
          </cell>
          <cell r="BD130">
            <v>0.14566642388929349</v>
          </cell>
          <cell r="BE130">
            <v>120.75746540422432</v>
          </cell>
          <cell r="BF130">
            <v>2427.6999999999998</v>
          </cell>
        </row>
        <row r="131">
          <cell r="A131" t="str">
            <v>MINUTEMAN III PRP</v>
          </cell>
          <cell r="B131" t="b">
            <v>0</v>
          </cell>
          <cell r="C131">
            <v>40148</v>
          </cell>
          <cell r="D131">
            <v>40148</v>
          </cell>
          <cell r="E131">
            <v>2601.8000000000002</v>
          </cell>
          <cell r="F131">
            <v>2601.8000000000002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 t="str">
            <v/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2601.8000000000002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 t="str">
            <v/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2976.8901569186878</v>
          </cell>
          <cell r="AF131">
            <v>148.50213980028531</v>
          </cell>
          <cell r="AG131">
            <v>3125.3922967189733</v>
          </cell>
          <cell r="AH131">
            <v>2086.8000000000002</v>
          </cell>
          <cell r="AI131">
            <v>104.1</v>
          </cell>
          <cell r="AJ131">
            <v>2190.9</v>
          </cell>
          <cell r="AK131">
            <v>3.3519030383035719E-3</v>
          </cell>
          <cell r="AL131">
            <v>5.5E-2</v>
          </cell>
          <cell r="AM131">
            <v>1994</v>
          </cell>
          <cell r="AN131">
            <v>3.3255805257503823E-4</v>
          </cell>
          <cell r="AO131">
            <v>5.0000000000000001E-3</v>
          </cell>
          <cell r="AP131">
            <v>2600.8000000000002</v>
          </cell>
          <cell r="AQ131">
            <v>1994</v>
          </cell>
          <cell r="AR131">
            <v>-10.4</v>
          </cell>
          <cell r="AS131">
            <v>-26.9</v>
          </cell>
          <cell r="AT131">
            <v>21.3</v>
          </cell>
          <cell r="AU131">
            <v>104.2</v>
          </cell>
          <cell r="AV131" t="str">
            <v>-</v>
          </cell>
          <cell r="AW131">
            <v>15.9</v>
          </cell>
          <cell r="AX131">
            <v>104.1</v>
          </cell>
          <cell r="AY131">
            <v>-14.835948644793154</v>
          </cell>
          <cell r="AZ131">
            <v>-38.373751783166902</v>
          </cell>
          <cell r="BA131">
            <v>30.385164051355211</v>
          </cell>
          <cell r="BB131">
            <v>148.6447931526391</v>
          </cell>
          <cell r="BC131" t="e">
            <v>#VALUE!</v>
          </cell>
          <cell r="BD131">
            <v>22.681883024251071</v>
          </cell>
          <cell r="BE131">
            <v>148.50213980028531</v>
          </cell>
          <cell r="BF131">
            <v>2601.8000000000002</v>
          </cell>
        </row>
        <row r="132">
          <cell r="A132" t="str">
            <v>MP RTIP</v>
          </cell>
          <cell r="B132" t="b">
            <v>1</v>
          </cell>
          <cell r="C132">
            <v>40878</v>
          </cell>
          <cell r="D132">
            <v>40878</v>
          </cell>
          <cell r="E132">
            <v>1197.7</v>
          </cell>
          <cell r="F132">
            <v>1197.7</v>
          </cell>
          <cell r="G132">
            <v>0</v>
          </cell>
          <cell r="H132" t="str">
            <v/>
          </cell>
          <cell r="I132">
            <v>0</v>
          </cell>
          <cell r="J132">
            <v>0</v>
          </cell>
          <cell r="K132">
            <v>0</v>
          </cell>
          <cell r="L132" t="str">
            <v/>
          </cell>
          <cell r="M132">
            <v>0</v>
          </cell>
          <cell r="N132">
            <v>0</v>
          </cell>
          <cell r="O132">
            <v>0</v>
          </cell>
          <cell r="P132">
            <v>40.299999999999997</v>
          </cell>
          <cell r="Q132">
            <v>17.7</v>
          </cell>
          <cell r="R132">
            <v>48.1</v>
          </cell>
          <cell r="S132">
            <v>1303.8</v>
          </cell>
          <cell r="T132">
            <v>0</v>
          </cell>
          <cell r="U132" t="str">
            <v/>
          </cell>
          <cell r="V132">
            <v>0</v>
          </cell>
          <cell r="W132">
            <v>0</v>
          </cell>
          <cell r="X132">
            <v>0</v>
          </cell>
          <cell r="Y132" t="str">
            <v/>
          </cell>
          <cell r="Z132">
            <v>0</v>
          </cell>
          <cell r="AA132">
            <v>0</v>
          </cell>
          <cell r="AB132">
            <v>0</v>
          </cell>
          <cell r="AC132">
            <v>40.299999999999997</v>
          </cell>
          <cell r="AD132">
            <v>17.416117288202301</v>
          </cell>
          <cell r="AE132">
            <v>1863.8117283950614</v>
          </cell>
          <cell r="AF132">
            <v>-373.45679012345676</v>
          </cell>
          <cell r="AG132">
            <v>1490.3549382716049</v>
          </cell>
          <cell r="AH132">
            <v>1449.3</v>
          </cell>
          <cell r="AI132">
            <v>-290.39999999999998</v>
          </cell>
          <cell r="AJ132">
            <v>1158.9000000000001</v>
          </cell>
          <cell r="AK132" t="str">
            <v/>
          </cell>
          <cell r="AL132">
            <v>-20</v>
          </cell>
          <cell r="AM132">
            <v>2000</v>
          </cell>
          <cell r="AN132">
            <v>-2.2859317532363983</v>
          </cell>
          <cell r="AO132">
            <v>-16.899999999999999</v>
          </cell>
          <cell r="AP132">
            <v>1568.4</v>
          </cell>
          <cell r="AQ132">
            <v>2000</v>
          </cell>
          <cell r="AR132" t="str">
            <v>-</v>
          </cell>
          <cell r="AS132">
            <v>174.8</v>
          </cell>
          <cell r="AT132">
            <v>-289.7</v>
          </cell>
          <cell r="AU132">
            <v>-175.5</v>
          </cell>
          <cell r="AV132" t="str">
            <v>-</v>
          </cell>
          <cell r="AW132" t="str">
            <v>-</v>
          </cell>
          <cell r="AX132">
            <v>-290.39999999999998</v>
          </cell>
          <cell r="AY132" t="e">
            <v>#VALUE!</v>
          </cell>
          <cell r="AZ132">
            <v>224.79423868312756</v>
          </cell>
          <cell r="BA132">
            <v>-372.55658436213986</v>
          </cell>
          <cell r="BB132">
            <v>-225.69444444444443</v>
          </cell>
          <cell r="BC132" t="e">
            <v>#VALUE!</v>
          </cell>
          <cell r="BD132" t="e">
            <v>#VALUE!</v>
          </cell>
          <cell r="BE132">
            <v>-373.45679012345676</v>
          </cell>
          <cell r="BF132">
            <v>1303.8</v>
          </cell>
        </row>
        <row r="133">
          <cell r="A133" t="str">
            <v>MP RTIP (RDT&amp;E)</v>
          </cell>
          <cell r="B133" t="b">
            <v>0</v>
          </cell>
          <cell r="C133">
            <v>38322</v>
          </cell>
          <cell r="D133">
            <v>38322</v>
          </cell>
          <cell r="E133">
            <v>795</v>
          </cell>
          <cell r="F133">
            <v>382</v>
          </cell>
          <cell r="G133">
            <v>382</v>
          </cell>
          <cell r="H133">
            <v>0</v>
          </cell>
          <cell r="I133">
            <v>0</v>
          </cell>
          <cell r="J133">
            <v>190</v>
          </cell>
          <cell r="K133">
            <v>192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335.9</v>
          </cell>
          <cell r="S133">
            <v>1512.9</v>
          </cell>
          <cell r="T133">
            <v>416.04505939241858</v>
          </cell>
          <cell r="U133">
            <v>0</v>
          </cell>
          <cell r="V133">
            <v>0</v>
          </cell>
          <cell r="W133">
            <v>210.01436940422241</v>
          </cell>
          <cell r="X133">
            <v>206.03068998819617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1863.8117283950614</v>
          </cell>
          <cell r="AF133">
            <v>-98.50823045267488</v>
          </cell>
          <cell r="AG133">
            <v>1765.3034979423867</v>
          </cell>
          <cell r="AH133">
            <v>1449.3</v>
          </cell>
          <cell r="AI133">
            <v>-76.599999999999994</v>
          </cell>
          <cell r="AJ133">
            <v>1372.7</v>
          </cell>
          <cell r="AK133">
            <v>-1.0832142368815911E-2</v>
          </cell>
          <cell r="AL133">
            <v>-5.2999999999999999E-2</v>
          </cell>
          <cell r="AM133">
            <v>2000</v>
          </cell>
          <cell r="AN133">
            <v>-8.8672464198223944E-3</v>
          </cell>
          <cell r="AO133">
            <v>-3.5000000000000003E-2</v>
          </cell>
          <cell r="AP133">
            <v>1568.4</v>
          </cell>
          <cell r="AQ133">
            <v>2000</v>
          </cell>
          <cell r="AR133" t="str">
            <v xml:space="preserve">- </v>
          </cell>
          <cell r="AS133">
            <v>83.8</v>
          </cell>
          <cell r="AT133" t="str">
            <v xml:space="preserve">- </v>
          </cell>
          <cell r="AU133">
            <v>-160.4</v>
          </cell>
          <cell r="AV133" t="str">
            <v xml:space="preserve">- </v>
          </cell>
          <cell r="AW133" t="str">
            <v xml:space="preserve">- </v>
          </cell>
          <cell r="AX133">
            <v>-76.599999999999994</v>
          </cell>
          <cell r="AY133" t="e">
            <v>#VALUE!</v>
          </cell>
          <cell r="AZ133">
            <v>107.76748971193415</v>
          </cell>
          <cell r="BA133" t="e">
            <v>#VALUE!</v>
          </cell>
          <cell r="BB133">
            <v>-206.27572016460906</v>
          </cell>
          <cell r="BC133" t="e">
            <v>#VALUE!</v>
          </cell>
          <cell r="BD133" t="e">
            <v>#VALUE!</v>
          </cell>
          <cell r="BE133">
            <v>-98.50823045267488</v>
          </cell>
          <cell r="BF133">
            <v>1512.9</v>
          </cell>
        </row>
        <row r="134">
          <cell r="A134" t="str">
            <v>MPS</v>
          </cell>
          <cell r="B134" t="b">
            <v>0</v>
          </cell>
          <cell r="C134">
            <v>39417</v>
          </cell>
          <cell r="D134">
            <v>39417</v>
          </cell>
          <cell r="E134">
            <v>543.6</v>
          </cell>
          <cell r="F134">
            <v>330.2</v>
          </cell>
          <cell r="G134">
            <v>330.2</v>
          </cell>
          <cell r="H134" t="str">
            <v/>
          </cell>
          <cell r="I134">
            <v>0</v>
          </cell>
          <cell r="J134">
            <v>0</v>
          </cell>
          <cell r="K134">
            <v>0</v>
          </cell>
          <cell r="L134">
            <v>168.7</v>
          </cell>
          <cell r="M134">
            <v>161.5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708.7</v>
          </cell>
          <cell r="S134">
            <v>1582.5</v>
          </cell>
          <cell r="T134">
            <v>344.14849452886659</v>
          </cell>
          <cell r="U134" t="str">
            <v/>
          </cell>
          <cell r="V134">
            <v>0</v>
          </cell>
          <cell r="W134">
            <v>0</v>
          </cell>
          <cell r="X134">
            <v>0</v>
          </cell>
          <cell r="Y134">
            <v>176.96422951851463</v>
          </cell>
          <cell r="Z134">
            <v>167.18426501035196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1824.8140715381892</v>
          </cell>
          <cell r="AF134">
            <v>-179.67182150867666</v>
          </cell>
          <cell r="AG134">
            <v>1645.1422500295125</v>
          </cell>
          <cell r="AH134">
            <v>1545.8</v>
          </cell>
          <cell r="AI134">
            <v>-152.19999999999999</v>
          </cell>
          <cell r="AJ134">
            <v>1393.6</v>
          </cell>
          <cell r="AK134">
            <v>-2.5455590726260802E-2</v>
          </cell>
          <cell r="AL134">
            <v>-9.8000000000000004E-2</v>
          </cell>
          <cell r="AM134">
            <v>2004</v>
          </cell>
          <cell r="AN134">
            <v>-2.1805350698250403E-2</v>
          </cell>
          <cell r="AO134">
            <v>-6.4000000000000001E-2</v>
          </cell>
          <cell r="AP134">
            <v>1690.7</v>
          </cell>
          <cell r="AQ134">
            <v>2004</v>
          </cell>
          <cell r="AR134" t="str">
            <v>-</v>
          </cell>
          <cell r="AS134">
            <v>-15.5</v>
          </cell>
          <cell r="AT134">
            <v>6</v>
          </cell>
          <cell r="AU134">
            <v>-139.1</v>
          </cell>
          <cell r="AV134" t="str">
            <v>-</v>
          </cell>
          <cell r="AW134">
            <v>-3.6</v>
          </cell>
          <cell r="AX134">
            <v>-152.19999999999999</v>
          </cell>
          <cell r="AY134" t="e">
            <v>#VALUE!</v>
          </cell>
          <cell r="AZ134">
            <v>-18.29772163853146</v>
          </cell>
          <cell r="BA134">
            <v>7.082989021367017</v>
          </cell>
          <cell r="BB134">
            <v>-164.207295478692</v>
          </cell>
          <cell r="BC134" t="e">
            <v>#VALUE!</v>
          </cell>
          <cell r="BD134">
            <v>-4.2497934128202104</v>
          </cell>
          <cell r="BE134">
            <v>-179.67182150867666</v>
          </cell>
          <cell r="BF134">
            <v>1582.5</v>
          </cell>
        </row>
        <row r="135">
          <cell r="A135" t="str">
            <v>MQ-1C GRAY EAGLE</v>
          </cell>
          <cell r="B135" t="b">
            <v>1</v>
          </cell>
          <cell r="C135">
            <v>40878</v>
          </cell>
          <cell r="D135">
            <v>40878</v>
          </cell>
          <cell r="E135">
            <v>2082.1</v>
          </cell>
          <cell r="F135">
            <v>2082.1</v>
          </cell>
          <cell r="G135">
            <v>0</v>
          </cell>
          <cell r="H135" t="str">
            <v/>
          </cell>
          <cell r="I135" t="str">
            <v/>
          </cell>
          <cell r="J135" t="str">
            <v/>
          </cell>
          <cell r="K135" t="str">
            <v/>
          </cell>
          <cell r="L135" t="str">
            <v/>
          </cell>
          <cell r="M135" t="str">
            <v/>
          </cell>
          <cell r="N135">
            <v>0</v>
          </cell>
          <cell r="O135">
            <v>0</v>
          </cell>
          <cell r="P135">
            <v>957</v>
          </cell>
          <cell r="Q135">
            <v>744.3</v>
          </cell>
          <cell r="R135">
            <v>961.9</v>
          </cell>
          <cell r="S135">
            <v>4745.3</v>
          </cell>
          <cell r="T135">
            <v>0</v>
          </cell>
          <cell r="U135" t="str">
            <v/>
          </cell>
          <cell r="V135" t="str">
            <v/>
          </cell>
          <cell r="W135" t="str">
            <v/>
          </cell>
          <cell r="X135" t="str">
            <v/>
          </cell>
          <cell r="Y135" t="str">
            <v/>
          </cell>
          <cell r="Z135" t="str">
            <v/>
          </cell>
          <cell r="AA135">
            <v>0</v>
          </cell>
          <cell r="AB135">
            <v>0</v>
          </cell>
          <cell r="AC135">
            <v>957</v>
          </cell>
          <cell r="AD135">
            <v>732.36249139033748</v>
          </cell>
          <cell r="AE135">
            <v>5396.075208055071</v>
          </cell>
          <cell r="AF135">
            <v>-783.82821329497585</v>
          </cell>
          <cell r="AG135">
            <v>4612.2469947600948</v>
          </cell>
          <cell r="AH135">
            <v>5252</v>
          </cell>
          <cell r="AI135">
            <v>-762.9</v>
          </cell>
          <cell r="AJ135">
            <v>4489.1000000000004</v>
          </cell>
          <cell r="AK135">
            <v>-7.5337899554653531E-2</v>
          </cell>
          <cell r="AL135">
            <v>-0.14499999999999999</v>
          </cell>
          <cell r="AM135">
            <v>2010</v>
          </cell>
          <cell r="AN135">
            <v>-0.14500000000000002</v>
          </cell>
          <cell r="AO135">
            <v>-0.14499999999999999</v>
          </cell>
          <cell r="AP135">
            <v>5549</v>
          </cell>
          <cell r="AQ135">
            <v>2010</v>
          </cell>
          <cell r="AR135" t="str">
            <v>-</v>
          </cell>
          <cell r="AS135" t="str">
            <v>-</v>
          </cell>
          <cell r="AT135">
            <v>-101.4</v>
          </cell>
          <cell r="AU135">
            <v>-553</v>
          </cell>
          <cell r="AV135" t="str">
            <v>-</v>
          </cell>
          <cell r="AW135">
            <v>-108.5</v>
          </cell>
          <cell r="AX135">
            <v>-762.9</v>
          </cell>
          <cell r="AY135" t="e">
            <v>#VALUE!</v>
          </cell>
          <cell r="AZ135" t="e">
            <v>#VALUE!</v>
          </cell>
          <cell r="BA135">
            <v>-104.1816500565088</v>
          </cell>
          <cell r="BB135">
            <v>-568.17014281311003</v>
          </cell>
          <cell r="BC135" t="e">
            <v>#VALUE!</v>
          </cell>
          <cell r="BD135">
            <v>-111.47642042535703</v>
          </cell>
          <cell r="BE135">
            <v>-783.82821329497585</v>
          </cell>
          <cell r="BF135">
            <v>4745.3</v>
          </cell>
        </row>
        <row r="136">
          <cell r="A136" t="str">
            <v>MQ-4C UAS BAMS</v>
          </cell>
          <cell r="B136" t="b">
            <v>0</v>
          </cell>
          <cell r="C136" t="str">
            <v/>
          </cell>
          <cell r="D136" t="str">
            <v/>
          </cell>
          <cell r="E136" t="str">
            <v/>
          </cell>
          <cell r="F136" t="e">
            <v>#VALUE!</v>
          </cell>
          <cell r="G136">
            <v>0</v>
          </cell>
          <cell r="H136" t="str">
            <v/>
          </cell>
          <cell r="I136" t="str">
            <v/>
          </cell>
          <cell r="J136" t="str">
            <v/>
          </cell>
          <cell r="K136" t="str">
            <v/>
          </cell>
          <cell r="L136" t="str">
            <v/>
          </cell>
          <cell r="M136" t="str">
            <v/>
          </cell>
          <cell r="N136" t="str">
            <v/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>
            <v>0</v>
          </cell>
          <cell r="U136" t="str">
            <v/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e">
            <v>#VALUE!</v>
          </cell>
          <cell r="AF136" t="e">
            <v>#VALUE!</v>
          </cell>
          <cell r="AG136" t="e">
            <v>#VALUE!</v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e">
            <v>#VALUE!</v>
          </cell>
          <cell r="AZ136" t="e">
            <v>#VALUE!</v>
          </cell>
          <cell r="BA136" t="e">
            <v>#VALUE!</v>
          </cell>
          <cell r="BB136" t="e">
            <v>#VALUE!</v>
          </cell>
          <cell r="BC136" t="e">
            <v>#VALUE!</v>
          </cell>
          <cell r="BD136" t="e">
            <v>#VALUE!</v>
          </cell>
          <cell r="BE136" t="e">
            <v>#VALUE!</v>
          </cell>
          <cell r="BF136" t="str">
            <v/>
          </cell>
        </row>
        <row r="137">
          <cell r="A137" t="str">
            <v>MUOS</v>
          </cell>
          <cell r="B137" t="b">
            <v>1</v>
          </cell>
          <cell r="C137">
            <v>40878</v>
          </cell>
          <cell r="D137">
            <v>40878</v>
          </cell>
          <cell r="E137">
            <v>5177.1000000000004</v>
          </cell>
          <cell r="F137">
            <v>5177.1000000000004</v>
          </cell>
          <cell r="G137">
            <v>0</v>
          </cell>
          <cell r="H137" t="str">
            <v/>
          </cell>
          <cell r="I137">
            <v>0</v>
          </cell>
          <cell r="J137">
            <v>0</v>
          </cell>
          <cell r="K137">
            <v>0</v>
          </cell>
          <cell r="L137" t="str">
            <v/>
          </cell>
          <cell r="M137">
            <v>0</v>
          </cell>
          <cell r="N137">
            <v>0</v>
          </cell>
          <cell r="O137">
            <v>0</v>
          </cell>
          <cell r="P137">
            <v>482.1</v>
          </cell>
          <cell r="Q137">
            <v>167.4</v>
          </cell>
          <cell r="R137">
            <v>1210</v>
          </cell>
          <cell r="S137">
            <v>7036.6</v>
          </cell>
          <cell r="T137">
            <v>0</v>
          </cell>
          <cell r="U137" t="str">
            <v/>
          </cell>
          <cell r="V137">
            <v>0</v>
          </cell>
          <cell r="W137">
            <v>0</v>
          </cell>
          <cell r="X137">
            <v>0</v>
          </cell>
          <cell r="Y137" t="str">
            <v/>
          </cell>
          <cell r="Z137">
            <v>0</v>
          </cell>
          <cell r="AA137">
            <v>0</v>
          </cell>
          <cell r="AB137">
            <v>0</v>
          </cell>
          <cell r="AC137">
            <v>482.1</v>
          </cell>
          <cell r="AD137">
            <v>164.71514316638789</v>
          </cell>
          <cell r="AE137">
            <v>6810.1758942273636</v>
          </cell>
          <cell r="AF137">
            <v>274.70192421201745</v>
          </cell>
          <cell r="AG137">
            <v>7084.8778184393823</v>
          </cell>
          <cell r="AH137">
            <v>5768.9</v>
          </cell>
          <cell r="AI137">
            <v>232.7</v>
          </cell>
          <cell r="AJ137">
            <v>6001.6</v>
          </cell>
          <cell r="AK137">
            <v>4.914626497678487E-3</v>
          </cell>
          <cell r="AL137">
            <v>0.04</v>
          </cell>
          <cell r="AM137">
            <v>2004</v>
          </cell>
          <cell r="AN137">
            <v>4.6489429793752368E-3</v>
          </cell>
          <cell r="AO137">
            <v>3.3000000000000002E-2</v>
          </cell>
          <cell r="AP137">
            <v>6810.6</v>
          </cell>
          <cell r="AQ137">
            <v>2004</v>
          </cell>
          <cell r="AR137" t="str">
            <v>-</v>
          </cell>
          <cell r="AS137">
            <v>2.5</v>
          </cell>
          <cell r="AT137" t="str">
            <v>-</v>
          </cell>
          <cell r="AU137">
            <v>230.2</v>
          </cell>
          <cell r="AV137" t="str">
            <v>-</v>
          </cell>
          <cell r="AW137" t="str">
            <v>-</v>
          </cell>
          <cell r="AX137">
            <v>232.7</v>
          </cell>
          <cell r="AY137" t="e">
            <v>#VALUE!</v>
          </cell>
          <cell r="AZ137">
            <v>2.9512454255695904</v>
          </cell>
          <cell r="BA137" t="e">
            <v>#VALUE!</v>
          </cell>
          <cell r="BB137">
            <v>271.75067878644791</v>
          </cell>
          <cell r="BC137" t="e">
            <v>#VALUE!</v>
          </cell>
          <cell r="BD137" t="e">
            <v>#VALUE!</v>
          </cell>
          <cell r="BE137">
            <v>274.70192421201745</v>
          </cell>
          <cell r="BF137">
            <v>7036.6</v>
          </cell>
        </row>
        <row r="138">
          <cell r="A138" t="str">
            <v>NAS</v>
          </cell>
          <cell r="B138" t="b">
            <v>1</v>
          </cell>
          <cell r="C138">
            <v>40878</v>
          </cell>
          <cell r="D138">
            <v>40878</v>
          </cell>
          <cell r="E138">
            <v>1277.4000000000001</v>
          </cell>
          <cell r="F138">
            <v>1277.4000000000001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 t="str">
            <v/>
          </cell>
          <cell r="M138">
            <v>0</v>
          </cell>
          <cell r="N138">
            <v>0</v>
          </cell>
          <cell r="O138">
            <v>0</v>
          </cell>
          <cell r="P138">
            <v>76.8</v>
          </cell>
          <cell r="Q138">
            <v>47</v>
          </cell>
          <cell r="R138">
            <v>74.5</v>
          </cell>
          <cell r="S138">
            <v>1475.7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/>
          </cell>
          <cell r="Z138">
            <v>0</v>
          </cell>
          <cell r="AA138">
            <v>0</v>
          </cell>
          <cell r="AB138">
            <v>0</v>
          </cell>
          <cell r="AC138">
            <v>76.8</v>
          </cell>
          <cell r="AD138">
            <v>46.246187149463744</v>
          </cell>
          <cell r="AE138">
            <v>1569.9096833199953</v>
          </cell>
          <cell r="AF138">
            <v>52.017834686178119</v>
          </cell>
          <cell r="AG138">
            <v>1621.9275180061736</v>
          </cell>
          <cell r="AH138">
            <v>1373.2</v>
          </cell>
          <cell r="AI138">
            <v>45.5</v>
          </cell>
          <cell r="AJ138">
            <v>1418.7</v>
          </cell>
          <cell r="AK138">
            <v>5.4804935614793937E-3</v>
          </cell>
          <cell r="AL138">
            <v>3.9E-2</v>
          </cell>
          <cell r="AM138">
            <v>2005</v>
          </cell>
          <cell r="AN138">
            <v>7.3631230250030821E-3</v>
          </cell>
          <cell r="AO138">
            <v>4.4999999999999998E-2</v>
          </cell>
          <cell r="AP138">
            <v>1421.1</v>
          </cell>
          <cell r="AQ138">
            <v>2005</v>
          </cell>
          <cell r="AR138">
            <v>-7.3</v>
          </cell>
          <cell r="AS138">
            <v>11.7</v>
          </cell>
          <cell r="AT138" t="str">
            <v>-</v>
          </cell>
          <cell r="AU138">
            <v>81.400000000000006</v>
          </cell>
          <cell r="AV138" t="str">
            <v>-</v>
          </cell>
          <cell r="AW138">
            <v>-40.299999999999997</v>
          </cell>
          <cell r="AX138">
            <v>45.5</v>
          </cell>
          <cell r="AY138">
            <v>-8.3457185320681369</v>
          </cell>
          <cell r="AZ138">
            <v>13.376014633588658</v>
          </cell>
          <cell r="BA138" t="e">
            <v>#VALUE!</v>
          </cell>
          <cell r="BB138">
            <v>93.060477878129646</v>
          </cell>
          <cell r="BC138" t="e">
            <v>#VALUE!</v>
          </cell>
          <cell r="BD138">
            <v>-46.072939293472039</v>
          </cell>
          <cell r="BE138">
            <v>52.017834686178119</v>
          </cell>
          <cell r="BF138">
            <v>1475.7</v>
          </cell>
        </row>
        <row r="139">
          <cell r="A139" t="str">
            <v>NAVSTAR GPS</v>
          </cell>
          <cell r="B139" t="b">
            <v>0</v>
          </cell>
          <cell r="C139">
            <v>39052</v>
          </cell>
          <cell r="D139">
            <v>39052</v>
          </cell>
          <cell r="E139">
            <v>6205.6</v>
          </cell>
          <cell r="F139">
            <v>735.2</v>
          </cell>
          <cell r="G139">
            <v>735.2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433.8</v>
          </cell>
          <cell r="M139">
            <v>301.39999999999998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784.1</v>
          </cell>
          <cell r="S139">
            <v>7724.9</v>
          </cell>
          <cell r="T139">
            <v>767.05915747825088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455.05087590475193</v>
          </cell>
          <cell r="Z139">
            <v>312.00828157349895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7476.0802469135788</v>
          </cell>
          <cell r="AF139">
            <v>1813.6574074074072</v>
          </cell>
          <cell r="AG139">
            <v>9289.7376543209866</v>
          </cell>
          <cell r="AH139">
            <v>5813.4</v>
          </cell>
          <cell r="AI139">
            <v>1410.3</v>
          </cell>
          <cell r="AJ139">
            <v>7223.7</v>
          </cell>
          <cell r="AK139">
            <v>3.0969473870239295E-2</v>
          </cell>
          <cell r="AL139">
            <v>0.23800000000000002</v>
          </cell>
          <cell r="AM139">
            <v>2000</v>
          </cell>
          <cell r="AN139">
            <v>4.3218995248065495E-2</v>
          </cell>
          <cell r="AO139">
            <v>0.28899999999999998</v>
          </cell>
          <cell r="AP139">
            <v>5995.3</v>
          </cell>
          <cell r="AQ139">
            <v>2000</v>
          </cell>
          <cell r="AR139">
            <v>20</v>
          </cell>
          <cell r="AS139" t="str">
            <v>-</v>
          </cell>
          <cell r="AT139">
            <v>643.5</v>
          </cell>
          <cell r="AU139">
            <v>536.9</v>
          </cell>
          <cell r="AV139" t="str">
            <v>-</v>
          </cell>
          <cell r="AW139">
            <v>209.9</v>
          </cell>
          <cell r="AX139">
            <v>1410.3</v>
          </cell>
          <cell r="AY139">
            <v>25.720164609053494</v>
          </cell>
          <cell r="AZ139" t="e">
            <v>#VALUE!</v>
          </cell>
          <cell r="BA139">
            <v>827.54629629629619</v>
          </cell>
          <cell r="BB139">
            <v>690.45781893004107</v>
          </cell>
          <cell r="BC139" t="e">
            <v>#VALUE!</v>
          </cell>
          <cell r="BD139">
            <v>269.93312757201642</v>
          </cell>
          <cell r="BE139">
            <v>1813.6574074074072</v>
          </cell>
          <cell r="BF139">
            <v>7724.9</v>
          </cell>
        </row>
        <row r="140">
          <cell r="A140" t="str">
            <v>NAVSTAR GPS SPLIT</v>
          </cell>
          <cell r="B140" t="b">
            <v>1</v>
          </cell>
          <cell r="C140">
            <v>40878</v>
          </cell>
          <cell r="D140">
            <v>40878</v>
          </cell>
          <cell r="E140">
            <v>6264</v>
          </cell>
          <cell r="F140">
            <v>6264</v>
          </cell>
          <cell r="G140">
            <v>0</v>
          </cell>
          <cell r="H140" t="str">
            <v/>
          </cell>
          <cell r="I140" t="str">
            <v/>
          </cell>
          <cell r="J140" t="str">
            <v/>
          </cell>
          <cell r="K140">
            <v>0</v>
          </cell>
          <cell r="L140" t="str">
            <v/>
          </cell>
          <cell r="M140" t="str">
            <v/>
          </cell>
          <cell r="N140">
            <v>0</v>
          </cell>
          <cell r="O140">
            <v>0</v>
          </cell>
          <cell r="P140">
            <v>133</v>
          </cell>
          <cell r="Q140">
            <v>80.3</v>
          </cell>
          <cell r="R140">
            <v>104.1</v>
          </cell>
          <cell r="S140">
            <v>6581.4</v>
          </cell>
          <cell r="T140">
            <v>0</v>
          </cell>
          <cell r="U140" t="str">
            <v/>
          </cell>
          <cell r="V140" t="str">
            <v/>
          </cell>
          <cell r="W140" t="str">
            <v/>
          </cell>
          <cell r="X140">
            <v>0</v>
          </cell>
          <cell r="Y140" t="str">
            <v/>
          </cell>
          <cell r="Z140" t="str">
            <v/>
          </cell>
          <cell r="AA140">
            <v>0</v>
          </cell>
          <cell r="AB140">
            <v>0</v>
          </cell>
          <cell r="AC140">
            <v>133</v>
          </cell>
          <cell r="AD140">
            <v>79.012102725573158</v>
          </cell>
          <cell r="AE140">
            <v>6450.1028806584363</v>
          </cell>
          <cell r="AF140">
            <v>1531.6358024691356</v>
          </cell>
          <cell r="AG140">
            <v>7981.7386831275717</v>
          </cell>
          <cell r="AH140">
            <v>5015.6000000000004</v>
          </cell>
          <cell r="AI140">
            <v>1191</v>
          </cell>
          <cell r="AJ140">
            <v>6206.6</v>
          </cell>
          <cell r="AK140">
            <v>1.7607399754409503E-2</v>
          </cell>
          <cell r="AL140">
            <v>0.23300000000000001</v>
          </cell>
          <cell r="AM140">
            <v>2000</v>
          </cell>
          <cell r="AN140">
            <v>2.3130419343735165E-2</v>
          </cell>
          <cell r="AO140">
            <v>0.28600000000000003</v>
          </cell>
          <cell r="AP140">
            <v>5120.8999999999996</v>
          </cell>
          <cell r="AQ140">
            <v>2000</v>
          </cell>
          <cell r="AR140">
            <v>20</v>
          </cell>
          <cell r="AS140" t="str">
            <v>-</v>
          </cell>
          <cell r="AT140">
            <v>392.3</v>
          </cell>
          <cell r="AU140">
            <v>406.8</v>
          </cell>
          <cell r="AV140" t="str">
            <v>-</v>
          </cell>
          <cell r="AW140">
            <v>371.9</v>
          </cell>
          <cell r="AX140">
            <v>1191</v>
          </cell>
          <cell r="AY140">
            <v>25.720164609053494</v>
          </cell>
          <cell r="AZ140" t="e">
            <v>#VALUE!</v>
          </cell>
          <cell r="BA140">
            <v>504.50102880658432</v>
          </cell>
          <cell r="BB140">
            <v>523.14814814814815</v>
          </cell>
          <cell r="BC140" t="e">
            <v>#VALUE!</v>
          </cell>
          <cell r="BD140">
            <v>478.26646090534973</v>
          </cell>
          <cell r="BE140">
            <v>1531.6358024691356</v>
          </cell>
          <cell r="BF140">
            <v>6581.4</v>
          </cell>
        </row>
        <row r="141">
          <cell r="A141" t="str">
            <v>NAVSTAR GPS SPLIT</v>
          </cell>
          <cell r="B141" t="b">
            <v>1</v>
          </cell>
          <cell r="C141">
            <v>40878</v>
          </cell>
          <cell r="D141">
            <v>40878</v>
          </cell>
          <cell r="E141">
            <v>6264</v>
          </cell>
          <cell r="F141">
            <v>6264</v>
          </cell>
          <cell r="G141">
            <v>0</v>
          </cell>
          <cell r="H141" t="str">
            <v/>
          </cell>
          <cell r="I141" t="str">
            <v/>
          </cell>
          <cell r="J141" t="str">
            <v/>
          </cell>
          <cell r="K141">
            <v>0</v>
          </cell>
          <cell r="L141" t="str">
            <v/>
          </cell>
          <cell r="M141" t="str">
            <v/>
          </cell>
          <cell r="N141">
            <v>0</v>
          </cell>
          <cell r="O141">
            <v>0</v>
          </cell>
          <cell r="P141">
            <v>133</v>
          </cell>
          <cell r="Q141">
            <v>80.3</v>
          </cell>
          <cell r="R141">
            <v>104.1</v>
          </cell>
          <cell r="S141">
            <v>6581.4</v>
          </cell>
          <cell r="T141">
            <v>0</v>
          </cell>
          <cell r="U141" t="str">
            <v/>
          </cell>
          <cell r="V141" t="str">
            <v/>
          </cell>
          <cell r="W141" t="str">
            <v/>
          </cell>
          <cell r="X141">
            <v>0</v>
          </cell>
          <cell r="Y141" t="str">
            <v/>
          </cell>
          <cell r="Z141" t="str">
            <v/>
          </cell>
          <cell r="AA141">
            <v>0</v>
          </cell>
          <cell r="AB141">
            <v>0</v>
          </cell>
          <cell r="AC141">
            <v>133</v>
          </cell>
          <cell r="AD141">
            <v>79.012102725573158</v>
          </cell>
          <cell r="AE141">
            <v>6450.1028806584363</v>
          </cell>
          <cell r="AF141">
            <v>1531.6358024691356</v>
          </cell>
          <cell r="AG141">
            <v>7981.7386831275717</v>
          </cell>
          <cell r="AH141">
            <v>5015.6000000000004</v>
          </cell>
          <cell r="AI141">
            <v>1191</v>
          </cell>
          <cell r="AJ141">
            <v>6206.6</v>
          </cell>
          <cell r="AK141">
            <v>1.7607399754409503E-2</v>
          </cell>
          <cell r="AL141">
            <v>0.23300000000000001</v>
          </cell>
          <cell r="AM141">
            <v>2000</v>
          </cell>
          <cell r="AN141">
            <v>2.3130419343735165E-2</v>
          </cell>
          <cell r="AO141">
            <v>0.28600000000000003</v>
          </cell>
          <cell r="AP141">
            <v>5120.8999999999996</v>
          </cell>
          <cell r="AQ141">
            <v>2000</v>
          </cell>
          <cell r="AR141">
            <v>20</v>
          </cell>
          <cell r="AS141" t="str">
            <v>-</v>
          </cell>
          <cell r="AT141">
            <v>392.3</v>
          </cell>
          <cell r="AU141">
            <v>406.8</v>
          </cell>
          <cell r="AV141" t="str">
            <v>-</v>
          </cell>
          <cell r="AW141">
            <v>371.9</v>
          </cell>
          <cell r="AX141">
            <v>1191</v>
          </cell>
          <cell r="AY141">
            <v>25.720164609053494</v>
          </cell>
          <cell r="AZ141" t="e">
            <v>#VALUE!</v>
          </cell>
          <cell r="BA141">
            <v>504.50102880658432</v>
          </cell>
          <cell r="BB141">
            <v>523.14814814814815</v>
          </cell>
          <cell r="BC141" t="e">
            <v>#VALUE!</v>
          </cell>
          <cell r="BD141">
            <v>478.26646090534973</v>
          </cell>
          <cell r="BE141">
            <v>1531.6358024691356</v>
          </cell>
          <cell r="BF141">
            <v>6581.4</v>
          </cell>
        </row>
        <row r="142">
          <cell r="A142" t="str">
            <v>NESP</v>
          </cell>
          <cell r="B142" t="b">
            <v>0</v>
          </cell>
          <cell r="C142">
            <v>38322</v>
          </cell>
          <cell r="D142">
            <v>38322</v>
          </cell>
          <cell r="E142">
            <v>1978.5</v>
          </cell>
          <cell r="F142">
            <v>79.400000000000006</v>
          </cell>
          <cell r="G142">
            <v>79.400000000000006</v>
          </cell>
          <cell r="H142">
            <v>0</v>
          </cell>
          <cell r="I142">
            <v>0</v>
          </cell>
          <cell r="J142">
            <v>22.1</v>
          </cell>
          <cell r="K142">
            <v>57.3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 t="str">
            <v>-</v>
          </cell>
          <cell r="S142">
            <v>2057.9</v>
          </cell>
          <cell r="T142">
            <v>85.915271221422373</v>
          </cell>
          <cell r="U142">
            <v>0</v>
          </cell>
          <cell r="V142">
            <v>0</v>
          </cell>
          <cell r="W142">
            <v>24.427987178070083</v>
          </cell>
          <cell r="X142">
            <v>61.48728404335229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2975.4241319169173</v>
          </cell>
          <cell r="AF142">
            <v>-132.23402568574599</v>
          </cell>
          <cell r="AG142">
            <v>2843.1901062311717</v>
          </cell>
          <cell r="AH142">
            <v>1876.6</v>
          </cell>
          <cell r="AI142">
            <v>-83.4</v>
          </cell>
          <cell r="AJ142">
            <v>1793.2</v>
          </cell>
          <cell r="AK142">
            <v>-8.7117169289382401E-3</v>
          </cell>
          <cell r="AL142">
            <v>-0.12300000000000001</v>
          </cell>
          <cell r="AM142">
            <v>1990</v>
          </cell>
          <cell r="AN142">
            <v>-1.5900399132258602E-2</v>
          </cell>
          <cell r="AO142">
            <v>-0.20100000000000001</v>
          </cell>
          <cell r="AP142">
            <v>2373.6999999999998</v>
          </cell>
          <cell r="AQ142">
            <v>1990</v>
          </cell>
          <cell r="AR142">
            <v>167.3</v>
          </cell>
          <cell r="AS142">
            <v>15.5</v>
          </cell>
          <cell r="AT142">
            <v>48.1</v>
          </cell>
          <cell r="AU142">
            <v>-200.9</v>
          </cell>
          <cell r="AV142" t="str">
            <v xml:space="preserve">- </v>
          </cell>
          <cell r="AW142">
            <v>-113.4</v>
          </cell>
          <cell r="AX142">
            <v>-83.4</v>
          </cell>
          <cell r="AY142">
            <v>265.26082130965597</v>
          </cell>
          <cell r="AZ142">
            <v>24.575868083082288</v>
          </cell>
          <cell r="BA142">
            <v>76.264468051371495</v>
          </cell>
          <cell r="BB142">
            <v>-318.53496115427299</v>
          </cell>
          <cell r="BC142" t="e">
            <v>#VALUE!</v>
          </cell>
          <cell r="BD142">
            <v>-179.80022197558267</v>
          </cell>
          <cell r="BE142">
            <v>-132.23402568574599</v>
          </cell>
        </row>
        <row r="143">
          <cell r="A143" t="str">
            <v>NMT</v>
          </cell>
          <cell r="B143" t="b">
            <v>1</v>
          </cell>
          <cell r="C143">
            <v>40878</v>
          </cell>
          <cell r="D143">
            <v>40878</v>
          </cell>
          <cell r="E143">
            <v>761.3</v>
          </cell>
          <cell r="F143">
            <v>761.3</v>
          </cell>
          <cell r="G143">
            <v>0</v>
          </cell>
          <cell r="H143" t="str">
            <v/>
          </cell>
          <cell r="I143" t="str">
            <v/>
          </cell>
          <cell r="J143" t="str">
            <v/>
          </cell>
          <cell r="K143">
            <v>0</v>
          </cell>
          <cell r="L143" t="str">
            <v/>
          </cell>
          <cell r="M143">
            <v>0</v>
          </cell>
          <cell r="N143">
            <v>0</v>
          </cell>
          <cell r="O143">
            <v>0</v>
          </cell>
          <cell r="P143">
            <v>126.1</v>
          </cell>
          <cell r="Q143">
            <v>207.2</v>
          </cell>
          <cell r="R143">
            <v>805.6</v>
          </cell>
          <cell r="S143">
            <v>1900.2</v>
          </cell>
          <cell r="T143">
            <v>0</v>
          </cell>
          <cell r="U143" t="str">
            <v/>
          </cell>
          <cell r="V143" t="str">
            <v/>
          </cell>
          <cell r="W143" t="str">
            <v/>
          </cell>
          <cell r="X143">
            <v>0</v>
          </cell>
          <cell r="Y143" t="str">
            <v/>
          </cell>
          <cell r="Z143">
            <v>0</v>
          </cell>
          <cell r="AA143">
            <v>0</v>
          </cell>
          <cell r="AB143">
            <v>0</v>
          </cell>
          <cell r="AC143">
            <v>126.1</v>
          </cell>
          <cell r="AD143">
            <v>203.87680802912524</v>
          </cell>
          <cell r="AE143">
            <v>1876.2669962917182</v>
          </cell>
          <cell r="AF143">
            <v>19.530284301606923</v>
          </cell>
          <cell r="AG143">
            <v>1895.797280593325</v>
          </cell>
          <cell r="AH143">
            <v>1517.9</v>
          </cell>
          <cell r="AI143">
            <v>15.8</v>
          </cell>
          <cell r="AJ143">
            <v>1533.7</v>
          </cell>
          <cell r="AK143">
            <v>4.7951932589223034E-3</v>
          </cell>
          <cell r="AL143">
            <v>4.9000000000000002E-2</v>
          </cell>
          <cell r="AM143">
            <v>2002</v>
          </cell>
          <cell r="AN143">
            <v>7.5459559133521648E-3</v>
          </cell>
          <cell r="AO143">
            <v>7.0000000000000007E-2</v>
          </cell>
          <cell r="AP143">
            <v>1853</v>
          </cell>
          <cell r="AQ143">
            <v>2002</v>
          </cell>
          <cell r="AR143">
            <v>-55.9</v>
          </cell>
          <cell r="AS143">
            <v>-0.7</v>
          </cell>
          <cell r="AT143" t="str">
            <v>-</v>
          </cell>
          <cell r="AU143">
            <v>72.400000000000006</v>
          </cell>
          <cell r="AV143" t="str">
            <v>-</v>
          </cell>
          <cell r="AW143" t="str">
            <v>-</v>
          </cell>
          <cell r="AX143">
            <v>15.8</v>
          </cell>
          <cell r="AY143">
            <v>-69.097651421508033</v>
          </cell>
          <cell r="AZ143">
            <v>-0.8652657601977749</v>
          </cell>
          <cell r="BA143" t="e">
            <v>#VALUE!</v>
          </cell>
          <cell r="BB143">
            <v>89.493201483312731</v>
          </cell>
          <cell r="BC143" t="e">
            <v>#VALUE!</v>
          </cell>
          <cell r="BD143" t="e">
            <v>#VALUE!</v>
          </cell>
          <cell r="BE143">
            <v>19.530284301606923</v>
          </cell>
        </row>
        <row r="144">
          <cell r="A144" t="str">
            <v>NPOESS</v>
          </cell>
          <cell r="B144" t="b">
            <v>1</v>
          </cell>
          <cell r="C144">
            <v>40878</v>
          </cell>
          <cell r="D144">
            <v>40878</v>
          </cell>
          <cell r="E144">
            <v>3087.6</v>
          </cell>
          <cell r="F144">
            <v>3087.6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 t="str">
            <v/>
          </cell>
          <cell r="M144">
            <v>0</v>
          </cell>
          <cell r="N144">
            <v>0</v>
          </cell>
          <cell r="O144">
            <v>0</v>
          </cell>
          <cell r="P144">
            <v>43</v>
          </cell>
          <cell r="Q144" t="str">
            <v>-</v>
          </cell>
          <cell r="R144" t="str">
            <v>-</v>
          </cell>
          <cell r="S144">
            <v>3130.6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 t="str">
            <v/>
          </cell>
          <cell r="Z144">
            <v>0</v>
          </cell>
          <cell r="AA144">
            <v>0</v>
          </cell>
          <cell r="AB144">
            <v>0</v>
          </cell>
          <cell r="AC144">
            <v>43</v>
          </cell>
          <cell r="AD144" t="str">
            <v/>
          </cell>
          <cell r="AE144">
            <v>6845.4882571075395</v>
          </cell>
          <cell r="AF144">
            <v>-3337.9480840543879</v>
          </cell>
          <cell r="AG144">
            <v>3507.5401730531516</v>
          </cell>
          <cell r="AH144">
            <v>5538</v>
          </cell>
          <cell r="AI144">
            <v>-2700.4</v>
          </cell>
          <cell r="AJ144">
            <v>2837.6</v>
          </cell>
          <cell r="AK144">
            <v>0.14091242495941247</v>
          </cell>
          <cell r="AL144">
            <v>2.7370000000000001</v>
          </cell>
          <cell r="AM144">
            <v>2002</v>
          </cell>
          <cell r="AN144">
            <v>-2.5549752944609003</v>
          </cell>
          <cell r="AO144">
            <v>-54.151000000000003</v>
          </cell>
          <cell r="AP144">
            <v>6117.6</v>
          </cell>
          <cell r="AQ144">
            <v>2002</v>
          </cell>
          <cell r="AR144">
            <v>-4778.6000000000004</v>
          </cell>
          <cell r="AS144">
            <v>682.2</v>
          </cell>
          <cell r="AT144">
            <v>-677.1</v>
          </cell>
          <cell r="AU144">
            <v>2073.1</v>
          </cell>
          <cell r="AV144" t="str">
            <v>-</v>
          </cell>
          <cell r="AW144" t="str">
            <v>-</v>
          </cell>
          <cell r="AX144">
            <v>-2700.4</v>
          </cell>
          <cell r="AY144">
            <v>-5906.7985166872686</v>
          </cell>
          <cell r="AZ144">
            <v>843.2632880098887</v>
          </cell>
          <cell r="BA144">
            <v>-836.95920889987633</v>
          </cell>
          <cell r="BB144">
            <v>2562.5463535228673</v>
          </cell>
          <cell r="BC144" t="e">
            <v>#VALUE!</v>
          </cell>
          <cell r="BD144" t="e">
            <v>#VALUE!</v>
          </cell>
          <cell r="BE144">
            <v>-3337.9480840543879</v>
          </cell>
          <cell r="BF144">
            <v>3130.6</v>
          </cell>
        </row>
        <row r="145">
          <cell r="A145" t="str">
            <v>P-8A</v>
          </cell>
          <cell r="B145" t="b">
            <v>1</v>
          </cell>
          <cell r="C145">
            <v>40878</v>
          </cell>
          <cell r="D145">
            <v>40878</v>
          </cell>
          <cell r="E145">
            <v>10629.2</v>
          </cell>
          <cell r="F145">
            <v>10629.2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 t="str">
            <v/>
          </cell>
          <cell r="M145">
            <v>0</v>
          </cell>
          <cell r="N145">
            <v>0</v>
          </cell>
          <cell r="O145">
            <v>0</v>
          </cell>
          <cell r="P145">
            <v>2952.6</v>
          </cell>
          <cell r="Q145">
            <v>3236.9</v>
          </cell>
          <cell r="R145">
            <v>17611.900000000001</v>
          </cell>
          <cell r="S145">
            <v>34430.6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 t="str">
            <v/>
          </cell>
          <cell r="Z145">
            <v>0</v>
          </cell>
          <cell r="AA145">
            <v>0</v>
          </cell>
          <cell r="AB145">
            <v>0</v>
          </cell>
          <cell r="AC145">
            <v>2952.6</v>
          </cell>
          <cell r="AD145">
            <v>3184.9847485978553</v>
          </cell>
          <cell r="AE145">
            <v>33233.227165313881</v>
          </cell>
          <cell r="AF145">
            <v>-538.99106133771716</v>
          </cell>
          <cell r="AG145">
            <v>32694.236103976164</v>
          </cell>
          <cell r="AH145">
            <v>32345.9</v>
          </cell>
          <cell r="AI145">
            <v>-524.6</v>
          </cell>
          <cell r="AJ145">
            <v>31821.3</v>
          </cell>
          <cell r="AK145">
            <v>-8.0322585890204579E-3</v>
          </cell>
          <cell r="AL145">
            <v>-1.6E-2</v>
          </cell>
          <cell r="AM145">
            <v>2010</v>
          </cell>
          <cell r="AN145">
            <v>-2.0000000000000018E-3</v>
          </cell>
          <cell r="AO145">
            <v>-2E-3</v>
          </cell>
          <cell r="AP145">
            <v>34500.699999999997</v>
          </cell>
          <cell r="AQ145">
            <v>2010</v>
          </cell>
          <cell r="AR145" t="str">
            <v>-</v>
          </cell>
          <cell r="AS145">
            <v>146.5</v>
          </cell>
          <cell r="AT145">
            <v>-227.2</v>
          </cell>
          <cell r="AU145">
            <v>165.6</v>
          </cell>
          <cell r="AV145" t="str">
            <v>-</v>
          </cell>
          <cell r="AW145">
            <v>-609.5</v>
          </cell>
          <cell r="AX145">
            <v>-524.6</v>
          </cell>
          <cell r="AY145" t="e">
            <v>#VALUE!</v>
          </cell>
          <cell r="AZ145">
            <v>150.51885338538992</v>
          </cell>
          <cell r="BA145">
            <v>-233.43265180314395</v>
          </cell>
          <cell r="BB145">
            <v>170.14281311003802</v>
          </cell>
          <cell r="BC145" t="e">
            <v>#VALUE!</v>
          </cell>
          <cell r="BD145">
            <v>-626.22007603000111</v>
          </cell>
          <cell r="BE145">
            <v>-538.99106133771716</v>
          </cell>
          <cell r="BF145">
            <v>34430.6</v>
          </cell>
        </row>
        <row r="146">
          <cell r="A146" t="str">
            <v>PATRIOT PAC-3</v>
          </cell>
          <cell r="B146" t="b">
            <v>1</v>
          </cell>
          <cell r="C146">
            <v>40878</v>
          </cell>
          <cell r="D146">
            <v>40878</v>
          </cell>
          <cell r="E146">
            <v>9488.1</v>
          </cell>
          <cell r="F146">
            <v>9488.1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 t="str">
            <v/>
          </cell>
          <cell r="M146">
            <v>0</v>
          </cell>
          <cell r="N146">
            <v>0</v>
          </cell>
          <cell r="O146">
            <v>0</v>
          </cell>
          <cell r="P146">
            <v>662.2</v>
          </cell>
          <cell r="Q146">
            <v>646.6</v>
          </cell>
          <cell r="R146" t="str">
            <v>-</v>
          </cell>
          <cell r="S146">
            <v>10796.9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 t="str">
            <v/>
          </cell>
          <cell r="Z146">
            <v>0</v>
          </cell>
          <cell r="AA146">
            <v>0</v>
          </cell>
          <cell r="AB146">
            <v>0</v>
          </cell>
          <cell r="AC146">
            <v>662.2</v>
          </cell>
          <cell r="AD146">
            <v>636.22945980517568</v>
          </cell>
          <cell r="AE146">
            <v>11228.67737948084</v>
          </cell>
          <cell r="AF146">
            <v>1386.4029666254633</v>
          </cell>
          <cell r="AG146">
            <v>12615.080346106304</v>
          </cell>
          <cell r="AH146">
            <v>9084</v>
          </cell>
          <cell r="AI146">
            <v>1121.5999999999999</v>
          </cell>
          <cell r="AJ146">
            <v>10205.6</v>
          </cell>
          <cell r="AK146">
            <v>0.20768700594740985</v>
          </cell>
          <cell r="AL146">
            <v>5.6</v>
          </cell>
          <cell r="AM146">
            <v>2002</v>
          </cell>
          <cell r="AN146">
            <v>0.28570474917045874</v>
          </cell>
          <cell r="AO146">
            <v>8.6</v>
          </cell>
          <cell r="AP146">
            <v>9205.7999999999993</v>
          </cell>
          <cell r="AQ146">
            <v>2002</v>
          </cell>
          <cell r="AR146">
            <v>579.9</v>
          </cell>
          <cell r="AS146">
            <v>100.8</v>
          </cell>
          <cell r="AT146" t="str">
            <v>-</v>
          </cell>
          <cell r="AU146">
            <v>440.9</v>
          </cell>
          <cell r="AV146" t="str">
            <v>-</v>
          </cell>
          <cell r="AW146" t="str">
            <v>-</v>
          </cell>
          <cell r="AX146">
            <v>1121.5999999999999</v>
          </cell>
          <cell r="AY146">
            <v>716.81087762669961</v>
          </cell>
          <cell r="AZ146">
            <v>124.59826946847959</v>
          </cell>
          <cell r="BA146" t="e">
            <v>#VALUE!</v>
          </cell>
          <cell r="BB146">
            <v>544.99381953028421</v>
          </cell>
          <cell r="BC146" t="e">
            <v>#VALUE!</v>
          </cell>
          <cell r="BD146" t="e">
            <v>#VALUE!</v>
          </cell>
          <cell r="BE146">
            <v>1386.4029666254633</v>
          </cell>
          <cell r="BF146">
            <v>10796.9</v>
          </cell>
        </row>
        <row r="147">
          <cell r="A147" t="str">
            <v>PATRIOT/MEADS CAP</v>
          </cell>
          <cell r="B147" t="b">
            <v>0</v>
          </cell>
          <cell r="C147">
            <v>39052</v>
          </cell>
          <cell r="D147">
            <v>39052</v>
          </cell>
          <cell r="E147">
            <v>1088.4000000000001</v>
          </cell>
          <cell r="F147">
            <v>780.3</v>
          </cell>
          <cell r="G147">
            <v>780.3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372.1</v>
          </cell>
          <cell r="M147">
            <v>408.2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28308.9</v>
          </cell>
          <cell r="S147">
            <v>30177.599999999999</v>
          </cell>
          <cell r="T147">
            <v>812.89562094318114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390.32833315850206</v>
          </cell>
          <cell r="Z147">
            <v>422.56728778467908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26857.986070121595</v>
          </cell>
          <cell r="AF147">
            <v>-1094.4398536182271</v>
          </cell>
          <cell r="AG147">
            <v>25763.546216503364</v>
          </cell>
          <cell r="AH147">
            <v>22751.4</v>
          </cell>
          <cell r="AI147">
            <v>-927.1</v>
          </cell>
          <cell r="AJ147">
            <v>21824.3</v>
          </cell>
          <cell r="AK147">
            <v>-1.3857818725293791E-2</v>
          </cell>
          <cell r="AL147">
            <v>-4.0999999999999995E-2</v>
          </cell>
          <cell r="AM147">
            <v>2004</v>
          </cell>
          <cell r="AN147">
            <v>4.4899203078145877E-3</v>
          </cell>
          <cell r="AO147">
            <v>9.0000000000000011E-3</v>
          </cell>
          <cell r="AP147">
            <v>29895.4</v>
          </cell>
          <cell r="AQ147">
            <v>2004</v>
          </cell>
          <cell r="AR147" t="str">
            <v>-</v>
          </cell>
          <cell r="AS147" t="str">
            <v>-</v>
          </cell>
          <cell r="AT147" t="str">
            <v>-</v>
          </cell>
          <cell r="AU147">
            <v>-848.9</v>
          </cell>
          <cell r="AV147" t="str">
            <v>-</v>
          </cell>
          <cell r="AW147">
            <v>-78.2</v>
          </cell>
          <cell r="AX147">
            <v>-927.1</v>
          </cell>
          <cell r="AY147" t="e">
            <v>#VALUE!</v>
          </cell>
          <cell r="AZ147" t="e">
            <v>#VALUE!</v>
          </cell>
          <cell r="BA147" t="e">
            <v>#VALUE!</v>
          </cell>
          <cell r="BB147">
            <v>-1002.1248967064101</v>
          </cell>
          <cell r="BC147" t="e">
            <v>#VALUE!</v>
          </cell>
          <cell r="BD147">
            <v>-92.314956911816793</v>
          </cell>
          <cell r="BE147">
            <v>-1094.4398536182271</v>
          </cell>
          <cell r="BF147">
            <v>30177.599999999999</v>
          </cell>
        </row>
        <row r="148">
          <cell r="A148" t="str">
            <v>PATRIOT/MEADS CAP SPLIT</v>
          </cell>
          <cell r="B148" t="b">
            <v>1</v>
          </cell>
          <cell r="C148">
            <v>40878</v>
          </cell>
          <cell r="D148">
            <v>40878</v>
          </cell>
          <cell r="E148">
            <v>2386.6</v>
          </cell>
          <cell r="F148">
            <v>2386.6</v>
          </cell>
          <cell r="G148">
            <v>0</v>
          </cell>
          <cell r="H148" t="str">
            <v/>
          </cell>
          <cell r="I148" t="str">
            <v/>
          </cell>
          <cell r="J148" t="str">
            <v/>
          </cell>
          <cell r="K148">
            <v>0</v>
          </cell>
          <cell r="L148" t="str">
            <v/>
          </cell>
          <cell r="M148" t="str">
            <v/>
          </cell>
          <cell r="N148">
            <v>0</v>
          </cell>
          <cell r="O148">
            <v>0</v>
          </cell>
          <cell r="P148">
            <v>389.6</v>
          </cell>
          <cell r="Q148">
            <v>400.9</v>
          </cell>
          <cell r="R148" t="str">
            <v>-</v>
          </cell>
          <cell r="S148">
            <v>3177.1</v>
          </cell>
          <cell r="T148">
            <v>0</v>
          </cell>
          <cell r="U148" t="str">
            <v/>
          </cell>
          <cell r="V148" t="str">
            <v/>
          </cell>
          <cell r="W148" t="str">
            <v/>
          </cell>
          <cell r="X148">
            <v>0</v>
          </cell>
          <cell r="Y148" t="str">
            <v/>
          </cell>
          <cell r="Z148" t="str">
            <v/>
          </cell>
          <cell r="AA148">
            <v>0</v>
          </cell>
          <cell r="AB148">
            <v>0</v>
          </cell>
          <cell r="AC148">
            <v>389.6</v>
          </cell>
          <cell r="AD148">
            <v>394.47013677063859</v>
          </cell>
          <cell r="AE148">
            <v>19514.225002951247</v>
          </cell>
          <cell r="AF148">
            <v>-16257.466650926692</v>
          </cell>
          <cell r="AG148">
            <v>3256.7583520245548</v>
          </cell>
          <cell r="AH148">
            <v>16530.5</v>
          </cell>
          <cell r="AI148">
            <v>-13771.7</v>
          </cell>
          <cell r="AJ148">
            <v>2758.8</v>
          </cell>
          <cell r="AK148">
            <v>-0.11988826320660662</v>
          </cell>
          <cell r="AL148">
            <v>-0.64</v>
          </cell>
          <cell r="AM148">
            <v>2004</v>
          </cell>
          <cell r="AN148">
            <v>-0.14210862639813282</v>
          </cell>
          <cell r="AO148">
            <v>-0.65799999999999992</v>
          </cell>
          <cell r="AP148">
            <v>21839.4</v>
          </cell>
          <cell r="AQ148">
            <v>2004</v>
          </cell>
          <cell r="AR148">
            <v>-8875.5</v>
          </cell>
          <cell r="AS148">
            <v>-148</v>
          </cell>
          <cell r="AT148" t="str">
            <v>-</v>
          </cell>
          <cell r="AU148">
            <v>-2568</v>
          </cell>
          <cell r="AV148" t="str">
            <v>-</v>
          </cell>
          <cell r="AW148">
            <v>-2180.1999999999998</v>
          </cell>
          <cell r="AX148">
            <v>-13771.7</v>
          </cell>
          <cell r="AY148">
            <v>-10477.51150985716</v>
          </cell>
          <cell r="AZ148">
            <v>-174.71372919371976</v>
          </cell>
          <cell r="BA148" t="e">
            <v>#VALUE!</v>
          </cell>
          <cell r="BB148">
            <v>-3031.5193011450833</v>
          </cell>
          <cell r="BC148" t="e">
            <v>#VALUE!</v>
          </cell>
          <cell r="BD148">
            <v>-2573.7221107307282</v>
          </cell>
          <cell r="BE148">
            <v>-16257.466650926692</v>
          </cell>
          <cell r="BF148">
            <v>3177.1</v>
          </cell>
        </row>
        <row r="149">
          <cell r="A149" t="str">
            <v>PATRIOT/MEADS CAP SPLIT</v>
          </cell>
          <cell r="B149" t="b">
            <v>1</v>
          </cell>
          <cell r="C149">
            <v>40878</v>
          </cell>
          <cell r="D149">
            <v>40878</v>
          </cell>
          <cell r="E149">
            <v>2386.6</v>
          </cell>
          <cell r="F149">
            <v>2386.6</v>
          </cell>
          <cell r="G149">
            <v>0</v>
          </cell>
          <cell r="H149" t="str">
            <v/>
          </cell>
          <cell r="I149" t="str">
            <v/>
          </cell>
          <cell r="J149" t="str">
            <v/>
          </cell>
          <cell r="K149">
            <v>0</v>
          </cell>
          <cell r="L149" t="str">
            <v/>
          </cell>
          <cell r="M149" t="str">
            <v/>
          </cell>
          <cell r="N149">
            <v>0</v>
          </cell>
          <cell r="O149">
            <v>0</v>
          </cell>
          <cell r="P149">
            <v>389.6</v>
          </cell>
          <cell r="Q149">
            <v>400.9</v>
          </cell>
          <cell r="R149" t="str">
            <v>-</v>
          </cell>
          <cell r="S149">
            <v>3177.1</v>
          </cell>
          <cell r="T149">
            <v>0</v>
          </cell>
          <cell r="U149" t="str">
            <v/>
          </cell>
          <cell r="V149" t="str">
            <v/>
          </cell>
          <cell r="W149" t="str">
            <v/>
          </cell>
          <cell r="X149">
            <v>0</v>
          </cell>
          <cell r="Y149" t="str">
            <v/>
          </cell>
          <cell r="Z149" t="str">
            <v/>
          </cell>
          <cell r="AA149">
            <v>0</v>
          </cell>
          <cell r="AB149">
            <v>0</v>
          </cell>
          <cell r="AC149">
            <v>389.6</v>
          </cell>
          <cell r="AD149">
            <v>394.47013677063859</v>
          </cell>
          <cell r="AE149">
            <v>19514.225002951247</v>
          </cell>
          <cell r="AF149">
            <v>-16257.466650926692</v>
          </cell>
          <cell r="AG149">
            <v>3256.7583520245548</v>
          </cell>
          <cell r="AH149">
            <v>16530.5</v>
          </cell>
          <cell r="AI149">
            <v>-13771.7</v>
          </cell>
          <cell r="AJ149">
            <v>2758.8</v>
          </cell>
          <cell r="AK149">
            <v>-0.11988826320660662</v>
          </cell>
          <cell r="AL149">
            <v>-0.64</v>
          </cell>
          <cell r="AM149">
            <v>2004</v>
          </cell>
          <cell r="AN149">
            <v>-0.14210862639813282</v>
          </cell>
          <cell r="AO149">
            <v>-0.65799999999999992</v>
          </cell>
          <cell r="AP149">
            <v>21839.4</v>
          </cell>
          <cell r="AQ149">
            <v>2004</v>
          </cell>
          <cell r="AR149">
            <v>-8875.5</v>
          </cell>
          <cell r="AS149">
            <v>-148</v>
          </cell>
          <cell r="AT149" t="str">
            <v>-</v>
          </cell>
          <cell r="AU149">
            <v>-2568</v>
          </cell>
          <cell r="AV149" t="str">
            <v>-</v>
          </cell>
          <cell r="AW149">
            <v>-2180.1999999999998</v>
          </cell>
          <cell r="AX149">
            <v>-13771.7</v>
          </cell>
          <cell r="AY149">
            <v>-10477.51150985716</v>
          </cell>
          <cell r="AZ149">
            <v>-174.71372919371976</v>
          </cell>
          <cell r="BA149" t="e">
            <v>#VALUE!</v>
          </cell>
          <cell r="BB149">
            <v>-3031.5193011450833</v>
          </cell>
          <cell r="BC149" t="e">
            <v>#VALUE!</v>
          </cell>
          <cell r="BD149">
            <v>-2573.7221107307282</v>
          </cell>
          <cell r="BE149">
            <v>-16257.466650926692</v>
          </cell>
          <cell r="BF149">
            <v>3177.1</v>
          </cell>
        </row>
        <row r="150">
          <cell r="A150" t="str">
            <v>MQ-1 PREDATOR</v>
          </cell>
          <cell r="B150" t="b">
            <v>0</v>
          </cell>
          <cell r="C150" t="str">
            <v/>
          </cell>
          <cell r="D150" t="str">
            <v/>
          </cell>
          <cell r="E150" t="str">
            <v/>
          </cell>
          <cell r="F150" t="e">
            <v>#VALUE!</v>
          </cell>
          <cell r="G150">
            <v>0</v>
          </cell>
          <cell r="H150" t="str">
            <v/>
          </cell>
          <cell r="I150" t="str">
            <v/>
          </cell>
          <cell r="J150" t="str">
            <v/>
          </cell>
          <cell r="K150" t="str">
            <v/>
          </cell>
          <cell r="L150" t="str">
            <v/>
          </cell>
          <cell r="M150" t="str">
            <v/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>
            <v>0</v>
          </cell>
          <cell r="U150" t="str">
            <v/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 t="e">
            <v>#VALUE!</v>
          </cell>
          <cell r="AF150" t="e">
            <v>#VALUE!</v>
          </cell>
          <cell r="AG150" t="e">
            <v>#VALUE!</v>
          </cell>
          <cell r="AH150" t="str">
            <v/>
          </cell>
          <cell r="AI150" t="str">
            <v/>
          </cell>
          <cell r="AJ150" t="str">
            <v/>
          </cell>
          <cell r="AK150" t="str">
            <v/>
          </cell>
          <cell r="AL150" t="str">
            <v/>
          </cell>
          <cell r="AM150" t="str">
            <v/>
          </cell>
          <cell r="AN150" t="str">
            <v/>
          </cell>
          <cell r="AO150" t="str">
            <v/>
          </cell>
          <cell r="AP150" t="str">
            <v/>
          </cell>
          <cell r="AQ150" t="str">
            <v/>
          </cell>
          <cell r="AR150" t="str">
            <v/>
          </cell>
          <cell r="AS150" t="str">
            <v/>
          </cell>
          <cell r="AT150" t="str">
            <v/>
          </cell>
          <cell r="AU150" t="str">
            <v/>
          </cell>
          <cell r="AV150" t="str">
            <v/>
          </cell>
          <cell r="AW150" t="str">
            <v/>
          </cell>
          <cell r="AX150" t="str">
            <v/>
          </cell>
          <cell r="AY150" t="e">
            <v>#VALUE!</v>
          </cell>
          <cell r="AZ150" t="e">
            <v>#VALUE!</v>
          </cell>
          <cell r="BA150" t="e">
            <v>#VALUE!</v>
          </cell>
          <cell r="BB150" t="e">
            <v>#VALUE!</v>
          </cell>
          <cell r="BC150" t="e">
            <v>#VALUE!</v>
          </cell>
          <cell r="BD150" t="e">
            <v>#VALUE!</v>
          </cell>
          <cell r="BE150" t="e">
            <v>#VALUE!</v>
          </cell>
          <cell r="BF150" t="str">
            <v/>
          </cell>
        </row>
        <row r="151">
          <cell r="A151" t="str">
            <v>MQ-9 REAPER</v>
          </cell>
          <cell r="B151" t="b">
            <v>1</v>
          </cell>
          <cell r="C151">
            <v>40878</v>
          </cell>
          <cell r="D151">
            <v>40878</v>
          </cell>
          <cell r="E151">
            <v>3364.7</v>
          </cell>
          <cell r="F151">
            <v>3364.7</v>
          </cell>
          <cell r="G151">
            <v>0</v>
          </cell>
          <cell r="H151" t="str">
            <v/>
          </cell>
          <cell r="I151" t="str">
            <v/>
          </cell>
          <cell r="J151" t="str">
            <v/>
          </cell>
          <cell r="K151" t="str">
            <v/>
          </cell>
          <cell r="L151" t="str">
            <v/>
          </cell>
          <cell r="M151" t="str">
            <v/>
          </cell>
          <cell r="N151">
            <v>0</v>
          </cell>
          <cell r="O151">
            <v>0</v>
          </cell>
          <cell r="P151">
            <v>1184.8</v>
          </cell>
          <cell r="Q151">
            <v>1068</v>
          </cell>
          <cell r="R151">
            <v>7470.4</v>
          </cell>
          <cell r="S151">
            <v>13087.9</v>
          </cell>
          <cell r="T151">
            <v>0</v>
          </cell>
          <cell r="U151" t="str">
            <v/>
          </cell>
          <cell r="V151" t="str">
            <v/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>
            <v>0</v>
          </cell>
          <cell r="AB151">
            <v>0</v>
          </cell>
          <cell r="AC151">
            <v>1184.8</v>
          </cell>
          <cell r="AD151">
            <v>1050.8708058644102</v>
          </cell>
          <cell r="AE151">
            <v>11277.981747613552</v>
          </cell>
          <cell r="AF151">
            <v>823.66516311759153</v>
          </cell>
          <cell r="AG151">
            <v>12101.646910731144</v>
          </cell>
          <cell r="AH151">
            <v>10751.3</v>
          </cell>
          <cell r="AI151">
            <v>785.2</v>
          </cell>
          <cell r="AJ151">
            <v>11536.5</v>
          </cell>
          <cell r="AK151">
            <v>1.3955153346532301E-2</v>
          </cell>
          <cell r="AL151">
            <v>5.7000000000000002E-2</v>
          </cell>
          <cell r="AM151">
            <v>2008</v>
          </cell>
          <cell r="AN151">
            <v>2.8197431635444525E-2</v>
          </cell>
          <cell r="AO151">
            <v>8.6999999999999994E-2</v>
          </cell>
          <cell r="AP151">
            <v>11834.8</v>
          </cell>
          <cell r="AQ151">
            <v>2008</v>
          </cell>
          <cell r="AR151">
            <v>167.5</v>
          </cell>
          <cell r="AS151">
            <v>-0.7</v>
          </cell>
          <cell r="AT151">
            <v>81.400000000000006</v>
          </cell>
          <cell r="AU151">
            <v>-170.9</v>
          </cell>
          <cell r="AV151" t="str">
            <v>-</v>
          </cell>
          <cell r="AW151">
            <v>707.9</v>
          </cell>
          <cell r="AX151">
            <v>785.2</v>
          </cell>
          <cell r="AY151">
            <v>175.70544424630231</v>
          </cell>
          <cell r="AZ151">
            <v>-0.73429140879051713</v>
          </cell>
          <cell r="BA151">
            <v>85.387600965068714</v>
          </cell>
          <cell r="BB151">
            <v>-179.27200251757054</v>
          </cell>
          <cell r="BC151" t="e">
            <v>#VALUE!</v>
          </cell>
          <cell r="BD151">
            <v>742.57841183258154</v>
          </cell>
          <cell r="BE151">
            <v>823.66516311759153</v>
          </cell>
          <cell r="BF151">
            <v>13087.9</v>
          </cell>
        </row>
        <row r="152">
          <cell r="A152" t="str">
            <v>RMS</v>
          </cell>
          <cell r="B152" t="b">
            <v>1</v>
          </cell>
          <cell r="C152">
            <v>40878</v>
          </cell>
          <cell r="D152">
            <v>40878</v>
          </cell>
          <cell r="E152">
            <v>544.20000000000005</v>
          </cell>
          <cell r="F152">
            <v>544.20000000000005</v>
          </cell>
          <cell r="G152">
            <v>0</v>
          </cell>
          <cell r="H152" t="str">
            <v/>
          </cell>
          <cell r="I152" t="str">
            <v/>
          </cell>
          <cell r="J152" t="str">
            <v/>
          </cell>
          <cell r="K152">
            <v>0</v>
          </cell>
          <cell r="L152" t="str">
            <v/>
          </cell>
          <cell r="M152">
            <v>0</v>
          </cell>
          <cell r="N152">
            <v>0</v>
          </cell>
          <cell r="O152">
            <v>0</v>
          </cell>
          <cell r="P152">
            <v>41.1</v>
          </cell>
          <cell r="Q152">
            <v>39.1</v>
          </cell>
          <cell r="R152">
            <v>825</v>
          </cell>
          <cell r="S152">
            <v>1449.4</v>
          </cell>
          <cell r="T152">
            <v>0</v>
          </cell>
          <cell r="U152" t="str">
            <v/>
          </cell>
          <cell r="V152" t="str">
            <v/>
          </cell>
          <cell r="W152" t="str">
            <v/>
          </cell>
          <cell r="X152">
            <v>0</v>
          </cell>
          <cell r="Y152" t="str">
            <v/>
          </cell>
          <cell r="Z152">
            <v>0</v>
          </cell>
          <cell r="AA152">
            <v>0</v>
          </cell>
          <cell r="AB152">
            <v>0</v>
          </cell>
          <cell r="AC152">
            <v>41.1</v>
          </cell>
          <cell r="AD152">
            <v>38.472891862638988</v>
          </cell>
          <cell r="AE152">
            <v>1414.3915109981208</v>
          </cell>
          <cell r="AF152">
            <v>-15.585276887365978</v>
          </cell>
          <cell r="AG152">
            <v>1398.806234110755</v>
          </cell>
          <cell r="AH152">
            <v>1279.5999999999999</v>
          </cell>
          <cell r="AI152">
            <v>-14.1</v>
          </cell>
          <cell r="AJ152">
            <v>1265.5</v>
          </cell>
          <cell r="AK152">
            <v>-1.8417930403104021E-3</v>
          </cell>
          <cell r="AL152">
            <v>-1.1000000000000001E-2</v>
          </cell>
          <cell r="AM152">
            <v>2006</v>
          </cell>
          <cell r="AN152">
            <v>0</v>
          </cell>
          <cell r="AO152">
            <v>0</v>
          </cell>
          <cell r="AP152">
            <v>1449.4</v>
          </cell>
          <cell r="AQ152">
            <v>2006</v>
          </cell>
          <cell r="AR152" t="str">
            <v>-</v>
          </cell>
          <cell r="AS152" t="str">
            <v>-</v>
          </cell>
          <cell r="AT152" t="str">
            <v>-</v>
          </cell>
          <cell r="AU152">
            <v>-12.9</v>
          </cell>
          <cell r="AV152" t="str">
            <v>-</v>
          </cell>
          <cell r="AW152">
            <v>-1.2</v>
          </cell>
          <cell r="AX152">
            <v>-14.1</v>
          </cell>
          <cell r="AY152" t="e">
            <v>#VALUE!</v>
          </cell>
          <cell r="AZ152" t="e">
            <v>#VALUE!</v>
          </cell>
          <cell r="BA152" t="e">
            <v>#VALUE!</v>
          </cell>
          <cell r="BB152">
            <v>-14.258870343760364</v>
          </cell>
          <cell r="BC152" t="e">
            <v>#VALUE!</v>
          </cell>
          <cell r="BD152">
            <v>-1.3264065436056152</v>
          </cell>
          <cell r="BE152">
            <v>-15.585276887365978</v>
          </cell>
          <cell r="BF152">
            <v>1449.4</v>
          </cell>
        </row>
        <row r="153">
          <cell r="A153" t="str">
            <v>RQ-4 GLOBAL HAWK</v>
          </cell>
          <cell r="B153" t="b">
            <v>1</v>
          </cell>
          <cell r="C153">
            <v>40878</v>
          </cell>
          <cell r="D153">
            <v>40878</v>
          </cell>
          <cell r="E153">
            <v>7405.4</v>
          </cell>
          <cell r="F153">
            <v>7405.4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 t="str">
            <v/>
          </cell>
          <cell r="M153">
            <v>0</v>
          </cell>
          <cell r="N153">
            <v>0</v>
          </cell>
          <cell r="O153">
            <v>0</v>
          </cell>
          <cell r="P153">
            <v>988.1</v>
          </cell>
          <cell r="Q153">
            <v>295.39999999999998</v>
          </cell>
          <cell r="R153">
            <v>674.1</v>
          </cell>
          <cell r="S153">
            <v>9363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 t="str">
            <v/>
          </cell>
          <cell r="Z153">
            <v>0</v>
          </cell>
          <cell r="AA153">
            <v>0</v>
          </cell>
          <cell r="AB153">
            <v>0</v>
          </cell>
          <cell r="AC153">
            <v>988.1</v>
          </cell>
          <cell r="AD153">
            <v>290.66220604152318</v>
          </cell>
          <cell r="AE153">
            <v>5594.5216049382716</v>
          </cell>
          <cell r="AF153">
            <v>4509.0020576131683</v>
          </cell>
          <cell r="AG153">
            <v>10103.523662551439</v>
          </cell>
          <cell r="AH153">
            <v>4350.3</v>
          </cell>
          <cell r="AI153">
            <v>3506.2</v>
          </cell>
          <cell r="AJ153">
            <v>7856.5</v>
          </cell>
          <cell r="AK153">
            <v>5.9109290885405397E-2</v>
          </cell>
          <cell r="AL153">
            <v>0.99199999999999999</v>
          </cell>
          <cell r="AM153">
            <v>2000</v>
          </cell>
          <cell r="AN153">
            <v>6.2938791850426723E-2</v>
          </cell>
          <cell r="AO153">
            <v>0.95700000000000007</v>
          </cell>
          <cell r="AP153">
            <v>5394</v>
          </cell>
          <cell r="AQ153">
            <v>2000</v>
          </cell>
          <cell r="AR153">
            <v>-406.8</v>
          </cell>
          <cell r="AS153">
            <v>55.1</v>
          </cell>
          <cell r="AT153">
            <v>2165.4</v>
          </cell>
          <cell r="AU153">
            <v>979.8</v>
          </cell>
          <cell r="AV153" t="str">
            <v>-</v>
          </cell>
          <cell r="AW153">
            <v>711.1</v>
          </cell>
          <cell r="AX153">
            <v>3504.6</v>
          </cell>
          <cell r="AY153">
            <v>-523.14814814814815</v>
          </cell>
          <cell r="AZ153">
            <v>70.859053497942384</v>
          </cell>
          <cell r="BA153">
            <v>2784.7222222222222</v>
          </cell>
          <cell r="BB153">
            <v>1260.0308641975307</v>
          </cell>
          <cell r="BC153" t="e">
            <v>#VALUE!</v>
          </cell>
          <cell r="BD153">
            <v>914.48045267489704</v>
          </cell>
          <cell r="BE153">
            <v>4506.9444444444443</v>
          </cell>
          <cell r="BF153">
            <v>9363</v>
          </cell>
        </row>
        <row r="154">
          <cell r="A154" t="str">
            <v>SBIRS</v>
          </cell>
          <cell r="B154" t="b">
            <v>1</v>
          </cell>
          <cell r="C154">
            <v>40878</v>
          </cell>
          <cell r="D154">
            <v>40878</v>
          </cell>
          <cell r="E154">
            <v>11346.2</v>
          </cell>
          <cell r="F154">
            <v>11346.2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 t="str">
            <v/>
          </cell>
          <cell r="M154">
            <v>0</v>
          </cell>
          <cell r="N154">
            <v>0</v>
          </cell>
          <cell r="O154">
            <v>0</v>
          </cell>
          <cell r="P154">
            <v>990.8</v>
          </cell>
          <cell r="Q154">
            <v>829.1</v>
          </cell>
          <cell r="R154">
            <v>4533.7</v>
          </cell>
          <cell r="S154">
            <v>17699.8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 t="str">
            <v/>
          </cell>
          <cell r="Z154">
            <v>0</v>
          </cell>
          <cell r="AA154">
            <v>0</v>
          </cell>
          <cell r="AB154">
            <v>0</v>
          </cell>
          <cell r="AC154">
            <v>990.8</v>
          </cell>
          <cell r="AD154">
            <v>815.80242054511461</v>
          </cell>
          <cell r="AE154">
            <v>5139.6843134515993</v>
          </cell>
          <cell r="AF154">
            <v>14191.786562369045</v>
          </cell>
          <cell r="AG154">
            <v>19331.470875820647</v>
          </cell>
          <cell r="AH154">
            <v>3679.5</v>
          </cell>
          <cell r="AI154">
            <v>10159.9</v>
          </cell>
          <cell r="AJ154">
            <v>13839.4</v>
          </cell>
          <cell r="AK154">
            <v>6.1357449081755222E-2</v>
          </cell>
          <cell r="AL154">
            <v>1.7519999999999998</v>
          </cell>
          <cell r="AM154">
            <v>1995</v>
          </cell>
          <cell r="AN154">
            <v>6.9814827465658036E-2</v>
          </cell>
          <cell r="AO154">
            <v>1.944</v>
          </cell>
          <cell r="AP154">
            <v>4147.3</v>
          </cell>
          <cell r="AQ154">
            <v>1995</v>
          </cell>
          <cell r="AR154">
            <v>1349</v>
          </cell>
          <cell r="AS154">
            <v>301.5</v>
          </cell>
          <cell r="AT154">
            <v>453.8</v>
          </cell>
          <cell r="AU154">
            <v>7265.5</v>
          </cell>
          <cell r="AV154" t="str">
            <v>-</v>
          </cell>
          <cell r="AW154">
            <v>790.1</v>
          </cell>
          <cell r="AX154">
            <v>10159.9</v>
          </cell>
          <cell r="AY154">
            <v>1884.3413884620757</v>
          </cell>
          <cell r="AZ154">
            <v>421.14820505657218</v>
          </cell>
          <cell r="BA154">
            <v>633.88741444335801</v>
          </cell>
          <cell r="BB154">
            <v>10148.763793825954</v>
          </cell>
          <cell r="BC154" t="e">
            <v>#VALUE!</v>
          </cell>
          <cell r="BD154">
            <v>1103.6457605810867</v>
          </cell>
          <cell r="BE154">
            <v>14191.786562369045</v>
          </cell>
          <cell r="BF154">
            <v>17699.8</v>
          </cell>
        </row>
        <row r="155">
          <cell r="A155" t="str">
            <v>SBSS B10</v>
          </cell>
          <cell r="B155" t="b">
            <v>0</v>
          </cell>
          <cell r="C155">
            <v>40513</v>
          </cell>
          <cell r="D155">
            <v>40513</v>
          </cell>
          <cell r="E155">
            <v>902.6</v>
          </cell>
          <cell r="F155">
            <v>902.6</v>
          </cell>
          <cell r="G155">
            <v>0</v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>
            <v>0</v>
          </cell>
          <cell r="N155">
            <v>0</v>
          </cell>
          <cell r="O155">
            <v>0</v>
          </cell>
          <cell r="P155">
            <v>13</v>
          </cell>
          <cell r="Q155">
            <v>2.1</v>
          </cell>
          <cell r="R155">
            <v>0</v>
          </cell>
          <cell r="S155">
            <v>917.7</v>
          </cell>
          <cell r="T155">
            <v>0</v>
          </cell>
          <cell r="U155" t="str">
            <v/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>
            <v>0</v>
          </cell>
          <cell r="AA155">
            <v>0</v>
          </cell>
          <cell r="AB155">
            <v>0</v>
          </cell>
          <cell r="AC155">
            <v>13</v>
          </cell>
          <cell r="AD155">
            <v>2.0663190002951883</v>
          </cell>
          <cell r="AE155">
            <v>869.72851164288022</v>
          </cell>
          <cell r="AF155">
            <v>99.044961905783879</v>
          </cell>
          <cell r="AG155">
            <v>968.77347354866401</v>
          </cell>
          <cell r="AH155">
            <v>810.5</v>
          </cell>
          <cell r="AI155">
            <v>92.3</v>
          </cell>
          <cell r="AJ155">
            <v>902.8</v>
          </cell>
          <cell r="AK155">
            <v>2.735679496302601E-2</v>
          </cell>
          <cell r="AL155">
            <v>0.114</v>
          </cell>
          <cell r="AM155">
            <v>2007</v>
          </cell>
          <cell r="AN155">
            <v>3.5709642694773835E-2</v>
          </cell>
          <cell r="AO155">
            <v>0.111</v>
          </cell>
          <cell r="AP155">
            <v>825.8</v>
          </cell>
          <cell r="AQ155">
            <v>2007</v>
          </cell>
          <cell r="AR155" t="str">
            <v>-</v>
          </cell>
          <cell r="AS155">
            <v>98</v>
          </cell>
          <cell r="AT155" t="str">
            <v>-</v>
          </cell>
          <cell r="AU155">
            <v>-5.7</v>
          </cell>
          <cell r="AV155" t="str">
            <v>-</v>
          </cell>
          <cell r="AW155" t="str">
            <v>-</v>
          </cell>
          <cell r="AX155">
            <v>92.3</v>
          </cell>
          <cell r="AY155" t="e">
            <v>#VALUE!</v>
          </cell>
          <cell r="AZ155">
            <v>105.16149801480846</v>
          </cell>
          <cell r="BA155" t="e">
            <v>#VALUE!</v>
          </cell>
          <cell r="BB155">
            <v>-6.1165361090245742</v>
          </cell>
          <cell r="BC155" t="e">
            <v>#VALUE!</v>
          </cell>
          <cell r="BD155" t="e">
            <v>#VALUE!</v>
          </cell>
          <cell r="BE155">
            <v>99.044961905783879</v>
          </cell>
          <cell r="BF155">
            <v>917.7</v>
          </cell>
        </row>
        <row r="156">
          <cell r="A156" t="str">
            <v>SDB I</v>
          </cell>
          <cell r="B156" t="b">
            <v>0</v>
          </cell>
          <cell r="C156">
            <v>39692</v>
          </cell>
          <cell r="D156">
            <v>39692</v>
          </cell>
          <cell r="E156">
            <v>563.70000000000005</v>
          </cell>
          <cell r="F156">
            <v>227.79999999999998</v>
          </cell>
          <cell r="G156">
            <v>227.79999999999998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94.6</v>
          </cell>
          <cell r="M156">
            <v>133.19999999999999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685.4</v>
          </cell>
          <cell r="S156">
            <v>1476.9</v>
          </cell>
          <cell r="T156">
            <v>237.12243771716814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99.234238959404166</v>
          </cell>
          <cell r="Z156">
            <v>137.88819875776397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1917.3262972735267</v>
          </cell>
          <cell r="AF156">
            <v>-344.26435481844453</v>
          </cell>
          <cell r="AG156">
            <v>1573.0619424550821</v>
          </cell>
          <cell r="AH156">
            <v>1526</v>
          </cell>
          <cell r="AI156">
            <v>-274</v>
          </cell>
          <cell r="AJ156">
            <v>1252</v>
          </cell>
          <cell r="AK156">
            <v>-2.4501217834421496E-2</v>
          </cell>
          <cell r="AL156">
            <v>-0.18</v>
          </cell>
          <cell r="AM156">
            <v>2001</v>
          </cell>
          <cell r="AN156">
            <v>-2.6770929727178649E-2</v>
          </cell>
          <cell r="AO156">
            <v>-0.17300000000000001</v>
          </cell>
          <cell r="AP156">
            <v>1786.3</v>
          </cell>
          <cell r="AQ156">
            <v>2001</v>
          </cell>
          <cell r="AR156" t="str">
            <v>-</v>
          </cell>
          <cell r="AS156" t="str">
            <v>-</v>
          </cell>
          <cell r="AT156" t="str">
            <v>-</v>
          </cell>
          <cell r="AU156">
            <v>-273.8</v>
          </cell>
          <cell r="AV156" t="str">
            <v>-</v>
          </cell>
          <cell r="AW156">
            <v>-0.2</v>
          </cell>
          <cell r="AX156">
            <v>-274</v>
          </cell>
          <cell r="AY156" t="e">
            <v>#VALUE!</v>
          </cell>
          <cell r="AZ156" t="e">
            <v>#VALUE!</v>
          </cell>
          <cell r="BA156" t="e">
            <v>#VALUE!</v>
          </cell>
          <cell r="BB156">
            <v>-344.01306696821206</v>
          </cell>
          <cell r="BC156" t="e">
            <v>#VALUE!</v>
          </cell>
          <cell r="BD156">
            <v>-0.25128785023244127</v>
          </cell>
          <cell r="BE156">
            <v>-344.26435481844453</v>
          </cell>
          <cell r="BF156">
            <v>1476.9</v>
          </cell>
        </row>
        <row r="157">
          <cell r="A157" t="str">
            <v>SDB II</v>
          </cell>
          <cell r="B157" t="b">
            <v>1</v>
          </cell>
          <cell r="C157">
            <v>40878</v>
          </cell>
          <cell r="D157">
            <v>40878</v>
          </cell>
          <cell r="E157">
            <v>669.1</v>
          </cell>
          <cell r="F157">
            <v>669.1</v>
          </cell>
          <cell r="G157">
            <v>0</v>
          </cell>
          <cell r="H157" t="str">
            <v/>
          </cell>
          <cell r="I157" t="str">
            <v/>
          </cell>
          <cell r="J157" t="str">
            <v/>
          </cell>
          <cell r="K157" t="str">
            <v/>
          </cell>
          <cell r="L157" t="str">
            <v/>
          </cell>
          <cell r="M157" t="str">
            <v/>
          </cell>
          <cell r="N157">
            <v>0</v>
          </cell>
          <cell r="O157">
            <v>0</v>
          </cell>
          <cell r="P157">
            <v>152.5</v>
          </cell>
          <cell r="Q157">
            <v>202.8</v>
          </cell>
          <cell r="R157">
            <v>3188.1</v>
          </cell>
          <cell r="S157">
            <v>4212.5</v>
          </cell>
          <cell r="T157">
            <v>0</v>
          </cell>
          <cell r="U157" t="str">
            <v/>
          </cell>
          <cell r="V157" t="str">
            <v/>
          </cell>
          <cell r="W157" t="str">
            <v/>
          </cell>
          <cell r="X157" t="str">
            <v/>
          </cell>
          <cell r="Y157" t="str">
            <v/>
          </cell>
          <cell r="Z157" t="str">
            <v/>
          </cell>
          <cell r="AA157">
            <v>0</v>
          </cell>
          <cell r="AB157">
            <v>0</v>
          </cell>
          <cell r="AC157">
            <v>152.5</v>
          </cell>
          <cell r="AD157">
            <v>199.54737774279249</v>
          </cell>
          <cell r="AE157">
            <v>4703.0720230144871</v>
          </cell>
          <cell r="AF157">
            <v>-948.62837768416728</v>
          </cell>
          <cell r="AG157">
            <v>3754.4436453303197</v>
          </cell>
          <cell r="AH157">
            <v>4577.5</v>
          </cell>
          <cell r="AI157">
            <v>-923.3</v>
          </cell>
          <cell r="AJ157">
            <v>3654.2</v>
          </cell>
          <cell r="AK157">
            <v>-0.10669154263490821</v>
          </cell>
          <cell r="AL157">
            <v>-0.20199999999999999</v>
          </cell>
          <cell r="AM157">
            <v>2010</v>
          </cell>
          <cell r="AN157">
            <v>-0.19199999999999995</v>
          </cell>
          <cell r="AO157">
            <v>-0.192</v>
          </cell>
          <cell r="AP157">
            <v>5210.3999999999996</v>
          </cell>
          <cell r="AQ157">
            <v>2010</v>
          </cell>
          <cell r="AR157" t="str">
            <v>-</v>
          </cell>
          <cell r="AS157" t="str">
            <v>-</v>
          </cell>
          <cell r="AT157" t="str">
            <v>-</v>
          </cell>
          <cell r="AU157">
            <v>-879.6</v>
          </cell>
          <cell r="AV157" t="str">
            <v>-</v>
          </cell>
          <cell r="AW157">
            <v>-43.7</v>
          </cell>
          <cell r="AX157">
            <v>-923.3</v>
          </cell>
          <cell r="AY157" t="e">
            <v>#VALUE!</v>
          </cell>
          <cell r="AZ157" t="e">
            <v>#VALUE!</v>
          </cell>
          <cell r="BA157" t="e">
            <v>#VALUE!</v>
          </cell>
          <cell r="BB157">
            <v>-903.72957978012948</v>
          </cell>
          <cell r="BC157" t="e">
            <v>#VALUE!</v>
          </cell>
          <cell r="BD157">
            <v>-44.898797904037814</v>
          </cell>
          <cell r="BE157">
            <v>-948.62837768416728</v>
          </cell>
          <cell r="BF157">
            <v>4212.5</v>
          </cell>
        </row>
        <row r="158">
          <cell r="A158" t="str">
            <v>SM-2</v>
          </cell>
          <cell r="B158" t="b">
            <v>0</v>
          </cell>
          <cell r="C158">
            <v>38322</v>
          </cell>
          <cell r="D158">
            <v>38322</v>
          </cell>
          <cell r="E158">
            <v>893.9</v>
          </cell>
          <cell r="F158">
            <v>893.9</v>
          </cell>
          <cell r="G158">
            <v>0</v>
          </cell>
          <cell r="H158">
            <v>0</v>
          </cell>
          <cell r="I158">
            <v>0</v>
          </cell>
          <cell r="J158" t="str">
            <v>-</v>
          </cell>
          <cell r="K158" t="str">
            <v>-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 t="str">
            <v>-</v>
          </cell>
          <cell r="S158">
            <v>893.9</v>
          </cell>
          <cell r="T158">
            <v>0</v>
          </cell>
          <cell r="U158">
            <v>0</v>
          </cell>
          <cell r="V158">
            <v>0</v>
          </cell>
          <cell r="W158" t="str">
            <v/>
          </cell>
          <cell r="X158" t="str">
            <v/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4202.0259938837917</v>
          </cell>
          <cell r="AF158">
            <v>-2938.4556574923549</v>
          </cell>
          <cell r="AG158">
            <v>1263.5703363914374</v>
          </cell>
          <cell r="AH158">
            <v>2198.5</v>
          </cell>
          <cell r="AI158">
            <v>-1537.4</v>
          </cell>
          <cell r="AJ158">
            <v>661.1</v>
          </cell>
          <cell r="AK158">
            <v>1.8117675621949658E-2</v>
          </cell>
          <cell r="AL158">
            <v>0.45799999999999996</v>
          </cell>
          <cell r="AM158">
            <v>1984</v>
          </cell>
          <cell r="AN158" t="str">
            <v/>
          </cell>
          <cell r="AO158">
            <v>-37.485999999999997</v>
          </cell>
          <cell r="AP158">
            <v>3014.4</v>
          </cell>
          <cell r="AQ158">
            <v>1984</v>
          </cell>
          <cell r="AR158">
            <v>-1745.2</v>
          </cell>
          <cell r="AS158">
            <v>247.2</v>
          </cell>
          <cell r="AT158">
            <v>41.2</v>
          </cell>
          <cell r="AU158">
            <v>11.3</v>
          </cell>
          <cell r="AV158" t="str">
            <v xml:space="preserve">- </v>
          </cell>
          <cell r="AW158">
            <v>-91.9</v>
          </cell>
          <cell r="AX158">
            <v>-1537.4</v>
          </cell>
          <cell r="AY158">
            <v>-3335.6269113149847</v>
          </cell>
          <cell r="AZ158">
            <v>472.47706422018348</v>
          </cell>
          <cell r="BA158">
            <v>78.74617737003058</v>
          </cell>
          <cell r="BB158">
            <v>21.597859327217126</v>
          </cell>
          <cell r="BC158" t="e">
            <v>#VALUE!</v>
          </cell>
          <cell r="BD158">
            <v>-175.64984709480123</v>
          </cell>
          <cell r="BE158">
            <v>-2938.4556574923549</v>
          </cell>
          <cell r="BF158">
            <v>893.9</v>
          </cell>
        </row>
        <row r="159">
          <cell r="A159" t="str">
            <v>SM-6</v>
          </cell>
          <cell r="B159" t="b">
            <v>1</v>
          </cell>
          <cell r="C159">
            <v>40878</v>
          </cell>
          <cell r="D159">
            <v>40878</v>
          </cell>
          <cell r="E159">
            <v>1378.7</v>
          </cell>
          <cell r="F159">
            <v>1378.7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 t="str">
            <v/>
          </cell>
          <cell r="M159">
            <v>0</v>
          </cell>
          <cell r="N159">
            <v>0</v>
          </cell>
          <cell r="O159">
            <v>0</v>
          </cell>
          <cell r="P159">
            <v>378.5</v>
          </cell>
          <cell r="Q159">
            <v>419.4</v>
          </cell>
          <cell r="R159">
            <v>4290.3999999999996</v>
          </cell>
          <cell r="S159">
            <v>6467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 t="str">
            <v/>
          </cell>
          <cell r="Z159">
            <v>0</v>
          </cell>
          <cell r="AA159">
            <v>0</v>
          </cell>
          <cell r="AB159">
            <v>0</v>
          </cell>
          <cell r="AC159">
            <v>378.5</v>
          </cell>
          <cell r="AD159">
            <v>412.67342320181046</v>
          </cell>
          <cell r="AE159">
            <v>6234.3288867902265</v>
          </cell>
          <cell r="AF159">
            <v>-193.95584936843349</v>
          </cell>
          <cell r="AG159">
            <v>6040.3730374217921</v>
          </cell>
          <cell r="AH159">
            <v>5281.1</v>
          </cell>
          <cell r="AI159">
            <v>-164.3</v>
          </cell>
          <cell r="AJ159">
            <v>5116.8</v>
          </cell>
          <cell r="AK159">
            <v>-3.9285961815587189E-3</v>
          </cell>
          <cell r="AL159">
            <v>-3.1E-2</v>
          </cell>
          <cell r="AM159">
            <v>2004</v>
          </cell>
          <cell r="AN159">
            <v>-2.8819402595166022E-3</v>
          </cell>
          <cell r="AO159">
            <v>-0.02</v>
          </cell>
          <cell r="AP159">
            <v>6597.2</v>
          </cell>
          <cell r="AQ159">
            <v>2004</v>
          </cell>
          <cell r="AR159" t="str">
            <v>-</v>
          </cell>
          <cell r="AS159">
            <v>-3.5</v>
          </cell>
          <cell r="AT159" t="str">
            <v>-</v>
          </cell>
          <cell r="AU159">
            <v>-140.69999999999999</v>
          </cell>
          <cell r="AV159" t="str">
            <v>-</v>
          </cell>
          <cell r="AW159">
            <v>-20.100000000000001</v>
          </cell>
          <cell r="AX159">
            <v>-164.3</v>
          </cell>
          <cell r="AY159" t="e">
            <v>#VALUE!</v>
          </cell>
          <cell r="AZ159">
            <v>-4.1317435957974267</v>
          </cell>
          <cell r="BA159" t="e">
            <v>#VALUE!</v>
          </cell>
          <cell r="BB159">
            <v>-166.09609255105653</v>
          </cell>
          <cell r="BC159" t="e">
            <v>#VALUE!</v>
          </cell>
          <cell r="BD159">
            <v>-23.728013221579509</v>
          </cell>
          <cell r="BE159">
            <v>-193.95584936843349</v>
          </cell>
          <cell r="BF159">
            <v>6467</v>
          </cell>
        </row>
        <row r="160">
          <cell r="A160" t="str">
            <v>SMART-T</v>
          </cell>
          <cell r="B160" t="b">
            <v>0</v>
          </cell>
          <cell r="C160">
            <v>37591</v>
          </cell>
          <cell r="D160">
            <v>37591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1005.2459016393443</v>
          </cell>
          <cell r="AF160">
            <v>213.11475409836066</v>
          </cell>
          <cell r="AG160">
            <v>1218.360655737705</v>
          </cell>
          <cell r="AH160">
            <v>766.5</v>
          </cell>
          <cell r="AI160">
            <v>162.5</v>
          </cell>
          <cell r="AJ160">
            <v>929</v>
          </cell>
          <cell r="AK160">
            <v>5.3543997202266214E-2</v>
          </cell>
          <cell r="AL160">
            <v>0.23199999999999998</v>
          </cell>
          <cell r="AM160">
            <v>1999</v>
          </cell>
          <cell r="AN160">
            <v>8.122403515004506E-2</v>
          </cell>
          <cell r="AO160">
            <v>0.26400000000000001</v>
          </cell>
          <cell r="AP160">
            <v>780.4</v>
          </cell>
          <cell r="AQ160">
            <v>1999</v>
          </cell>
          <cell r="AR160">
            <v>-12.7</v>
          </cell>
          <cell r="AS160" t="str">
            <v>-</v>
          </cell>
          <cell r="AT160">
            <v>-28.5</v>
          </cell>
          <cell r="AU160">
            <v>183.9</v>
          </cell>
          <cell r="AV160" t="str">
            <v>-</v>
          </cell>
          <cell r="AW160">
            <v>19.8</v>
          </cell>
          <cell r="AX160">
            <v>162.5</v>
          </cell>
          <cell r="AY160">
            <v>-16.655737704918032</v>
          </cell>
          <cell r="AZ160" t="e">
            <v>#VALUE!</v>
          </cell>
          <cell r="BA160">
            <v>-37.377049180327873</v>
          </cell>
          <cell r="BB160">
            <v>241.18032786885249</v>
          </cell>
          <cell r="BC160" t="e">
            <v>#VALUE!</v>
          </cell>
          <cell r="BD160">
            <v>25.967213114754102</v>
          </cell>
          <cell r="BE160">
            <v>213.11475409836066</v>
          </cell>
          <cell r="BF160">
            <v>971</v>
          </cell>
        </row>
        <row r="161">
          <cell r="A161" t="str">
            <v>SSDS</v>
          </cell>
          <cell r="B161" t="b">
            <v>0</v>
          </cell>
          <cell r="C161">
            <v>39417</v>
          </cell>
          <cell r="D161">
            <v>39417</v>
          </cell>
          <cell r="E161">
            <v>104.9</v>
          </cell>
          <cell r="F161">
            <v>111.9</v>
          </cell>
          <cell r="G161">
            <v>111.9</v>
          </cell>
          <cell r="H161" t="str">
            <v/>
          </cell>
          <cell r="I161">
            <v>0</v>
          </cell>
          <cell r="J161">
            <v>0</v>
          </cell>
          <cell r="K161">
            <v>0</v>
          </cell>
          <cell r="L161">
            <v>42.5</v>
          </cell>
          <cell r="M161">
            <v>69.400000000000006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452.1</v>
          </cell>
          <cell r="S161">
            <v>668.9</v>
          </cell>
          <cell r="T161">
            <v>116.4246284943725</v>
          </cell>
          <cell r="U161" t="str">
            <v/>
          </cell>
          <cell r="V161">
            <v>0</v>
          </cell>
          <cell r="W161">
            <v>0</v>
          </cell>
          <cell r="X161">
            <v>0</v>
          </cell>
          <cell r="Y161">
            <v>44.581978390852825</v>
          </cell>
          <cell r="Z161">
            <v>71.842650103519674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602.17211663321928</v>
          </cell>
          <cell r="AF161">
            <v>54.893164915594383</v>
          </cell>
          <cell r="AG161">
            <v>657.06528154881369</v>
          </cell>
          <cell r="AH161">
            <v>510.1</v>
          </cell>
          <cell r="AI161">
            <v>46.5</v>
          </cell>
          <cell r="AJ161">
            <v>556.6</v>
          </cell>
          <cell r="AK161">
            <v>-0.10592239952649873</v>
          </cell>
          <cell r="AL161">
            <v>-0.36099999999999999</v>
          </cell>
          <cell r="AM161">
            <v>2004</v>
          </cell>
          <cell r="AN161">
            <v>-0.12540154478827759</v>
          </cell>
          <cell r="AO161">
            <v>-0.33100000000000002</v>
          </cell>
          <cell r="AP161">
            <v>550.29999999999995</v>
          </cell>
          <cell r="AQ161">
            <v>2004</v>
          </cell>
          <cell r="AR161">
            <v>361.6</v>
          </cell>
          <cell r="AS161">
            <v>7.7</v>
          </cell>
          <cell r="AT161" t="str">
            <v>-</v>
          </cell>
          <cell r="AU161">
            <v>-316.39999999999998</v>
          </cell>
          <cell r="AV161" t="str">
            <v>-</v>
          </cell>
          <cell r="AW161">
            <v>-6.4</v>
          </cell>
          <cell r="AX161">
            <v>46.5</v>
          </cell>
          <cell r="AY161">
            <v>426.86813835438562</v>
          </cell>
          <cell r="AZ161">
            <v>9.0898359107543385</v>
          </cell>
          <cell r="BA161" t="e">
            <v>#VALUE!</v>
          </cell>
          <cell r="BB161">
            <v>-373.50962106008734</v>
          </cell>
          <cell r="BC161" t="e">
            <v>#VALUE!</v>
          </cell>
          <cell r="BD161">
            <v>-7.5551882894581519</v>
          </cell>
          <cell r="BE161">
            <v>54.893164915594383</v>
          </cell>
          <cell r="BF161">
            <v>668.9</v>
          </cell>
        </row>
        <row r="162">
          <cell r="A162" t="str">
            <v>SSGN</v>
          </cell>
          <cell r="B162" t="b">
            <v>0</v>
          </cell>
          <cell r="C162">
            <v>39417</v>
          </cell>
          <cell r="D162">
            <v>39417</v>
          </cell>
          <cell r="E162">
            <v>3956.9</v>
          </cell>
          <cell r="F162">
            <v>150.4</v>
          </cell>
          <cell r="G162">
            <v>150.4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147.9</v>
          </cell>
          <cell r="M162">
            <v>2.5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1.2</v>
          </cell>
          <cell r="S162">
            <v>4108.5</v>
          </cell>
          <cell r="T162">
            <v>157.73327651859435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155.14528480016784</v>
          </cell>
          <cell r="Z162">
            <v>2.5879917184265011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4782.57107540173</v>
          </cell>
          <cell r="AF162">
            <v>-2.1013597033374536</v>
          </cell>
          <cell r="AG162">
            <v>4780.469715698393</v>
          </cell>
          <cell r="AH162">
            <v>3869.1</v>
          </cell>
          <cell r="AI162">
            <v>-1.7</v>
          </cell>
          <cell r="AJ162">
            <v>3867.4</v>
          </cell>
          <cell r="AK162">
            <v>0</v>
          </cell>
          <cell r="AL162">
            <v>0</v>
          </cell>
          <cell r="AM162">
            <v>2002</v>
          </cell>
          <cell r="AN162">
            <v>2.784450434804242E-3</v>
          </cell>
          <cell r="AO162">
            <v>1.3999999999999999E-2</v>
          </cell>
          <cell r="AP162">
            <v>4051.9</v>
          </cell>
          <cell r="AQ162">
            <v>2002</v>
          </cell>
          <cell r="AR162" t="str">
            <v>-</v>
          </cell>
          <cell r="AS162" t="str">
            <v>-</v>
          </cell>
          <cell r="AT162">
            <v>6.8</v>
          </cell>
          <cell r="AU162">
            <v>-8.1</v>
          </cell>
          <cell r="AV162" t="str">
            <v>-</v>
          </cell>
          <cell r="AW162">
            <v>-0.4</v>
          </cell>
          <cell r="AX162">
            <v>-1.7</v>
          </cell>
          <cell r="AY162" t="e">
            <v>#VALUE!</v>
          </cell>
          <cell r="AZ162" t="e">
            <v>#VALUE!</v>
          </cell>
          <cell r="BA162">
            <v>8.4054388133498144</v>
          </cell>
          <cell r="BB162">
            <v>-10.012360939431396</v>
          </cell>
          <cell r="BC162" t="e">
            <v>#VALUE!</v>
          </cell>
          <cell r="BD162">
            <v>-0.49443757725587145</v>
          </cell>
          <cell r="BE162">
            <v>-2.1013597033374536</v>
          </cell>
          <cell r="BF162">
            <v>4108.5</v>
          </cell>
        </row>
        <row r="163">
          <cell r="A163" t="str">
            <v>SSN 774</v>
          </cell>
          <cell r="B163" t="b">
            <v>1</v>
          </cell>
          <cell r="C163">
            <v>40878</v>
          </cell>
          <cell r="D163">
            <v>40878</v>
          </cell>
          <cell r="E163">
            <v>45244</v>
          </cell>
          <cell r="F163">
            <v>45244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 t="str">
            <v/>
          </cell>
          <cell r="M163">
            <v>0</v>
          </cell>
          <cell r="N163">
            <v>0</v>
          </cell>
          <cell r="O163">
            <v>0</v>
          </cell>
          <cell r="P163">
            <v>4853.7</v>
          </cell>
          <cell r="Q163">
            <v>4328.8999999999996</v>
          </cell>
          <cell r="R163">
            <v>38849.599999999999</v>
          </cell>
          <cell r="S163">
            <v>93276.2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 t="str">
            <v/>
          </cell>
          <cell r="Z163">
            <v>0</v>
          </cell>
          <cell r="AA163">
            <v>0</v>
          </cell>
          <cell r="AB163">
            <v>0</v>
          </cell>
          <cell r="AC163">
            <v>4853.7</v>
          </cell>
          <cell r="AD163">
            <v>4259.4706287513527</v>
          </cell>
          <cell r="AE163">
            <v>89891.884341388461</v>
          </cell>
          <cell r="AF163">
            <v>-3028.6352842575775</v>
          </cell>
          <cell r="AG163">
            <v>86863.249057130888</v>
          </cell>
          <cell r="AH163">
            <v>64353.599999999999</v>
          </cell>
          <cell r="AI163">
            <v>-2168.1999999999998</v>
          </cell>
          <cell r="AJ163">
            <v>62185.4</v>
          </cell>
          <cell r="AK163">
            <v>-2.0327220852797145E-3</v>
          </cell>
          <cell r="AL163">
            <v>-3.4000000000000002E-2</v>
          </cell>
          <cell r="AM163">
            <v>1995</v>
          </cell>
          <cell r="AN163">
            <v>6.2470722032026416E-5</v>
          </cell>
          <cell r="AO163">
            <v>1E-3</v>
          </cell>
          <cell r="AP163">
            <v>93207.3</v>
          </cell>
          <cell r="AQ163">
            <v>1995</v>
          </cell>
          <cell r="AR163" t="str">
            <v>-</v>
          </cell>
          <cell r="AS163">
            <v>129.69999999999999</v>
          </cell>
          <cell r="AT163">
            <v>556.6</v>
          </cell>
          <cell r="AU163">
            <v>-2695.8</v>
          </cell>
          <cell r="AV163" t="str">
            <v>-</v>
          </cell>
          <cell r="AW163">
            <v>-158.69999999999999</v>
          </cell>
          <cell r="AX163">
            <v>-2168.1999999999998</v>
          </cell>
          <cell r="AY163" t="e">
            <v>#VALUE!</v>
          </cell>
          <cell r="AZ163">
            <v>181.17055454672439</v>
          </cell>
          <cell r="BA163">
            <v>777.48288867160227</v>
          </cell>
          <cell r="BB163">
            <v>-3765.6097220282168</v>
          </cell>
          <cell r="BC163" t="e">
            <v>#VALUE!</v>
          </cell>
          <cell r="BD163">
            <v>-221.67900544768821</v>
          </cell>
          <cell r="BE163">
            <v>-3028.6352842575775</v>
          </cell>
          <cell r="BF163">
            <v>93276.2</v>
          </cell>
        </row>
        <row r="164">
          <cell r="A164" t="str">
            <v>STRYKER</v>
          </cell>
          <cell r="B164" t="b">
            <v>1</v>
          </cell>
          <cell r="C164">
            <v>40878</v>
          </cell>
          <cell r="D164">
            <v>40878</v>
          </cell>
          <cell r="E164">
            <v>15039</v>
          </cell>
          <cell r="F164">
            <v>15039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 t="str">
            <v/>
          </cell>
          <cell r="M164">
            <v>0</v>
          </cell>
          <cell r="N164">
            <v>0</v>
          </cell>
          <cell r="O164">
            <v>0</v>
          </cell>
          <cell r="P164">
            <v>729</v>
          </cell>
          <cell r="Q164">
            <v>332.3</v>
          </cell>
          <cell r="R164">
            <v>179.7</v>
          </cell>
          <cell r="S164">
            <v>16280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 t="str">
            <v/>
          </cell>
          <cell r="Z164">
            <v>0</v>
          </cell>
          <cell r="AA164">
            <v>0</v>
          </cell>
          <cell r="AB164">
            <v>0</v>
          </cell>
          <cell r="AC164">
            <v>729</v>
          </cell>
          <cell r="AD164">
            <v>326.97038276099579</v>
          </cell>
          <cell r="AE164">
            <v>9770.8653051587771</v>
          </cell>
          <cell r="AF164">
            <v>7635.2260653995991</v>
          </cell>
          <cell r="AG164">
            <v>17406.091370558377</v>
          </cell>
          <cell r="AH164">
            <v>8276.9</v>
          </cell>
          <cell r="AI164">
            <v>6467.8</v>
          </cell>
          <cell r="AJ164">
            <v>14744.7</v>
          </cell>
          <cell r="AK164">
            <v>2.4783945667874452E-3</v>
          </cell>
          <cell r="AL164">
            <v>0.02</v>
          </cell>
          <cell r="AM164">
            <v>2004</v>
          </cell>
          <cell r="AN164">
            <v>4.370839380494429E-3</v>
          </cell>
          <cell r="AO164">
            <v>3.1E-2</v>
          </cell>
          <cell r="AP164">
            <v>8534.7000000000007</v>
          </cell>
          <cell r="AQ164">
            <v>2004</v>
          </cell>
          <cell r="AR164">
            <v>6175.4</v>
          </cell>
          <cell r="AS164">
            <v>-93.6</v>
          </cell>
          <cell r="AT164">
            <v>2350.8000000000002</v>
          </cell>
          <cell r="AU164">
            <v>-4466.3999999999996</v>
          </cell>
          <cell r="AV164" t="str">
            <v>-</v>
          </cell>
          <cell r="AW164">
            <v>2501.6</v>
          </cell>
          <cell r="AX164">
            <v>6467.8</v>
          </cell>
          <cell r="AY164">
            <v>7290.0484004249793</v>
          </cell>
          <cell r="AZ164">
            <v>-110.49462873332546</v>
          </cell>
          <cell r="BA164">
            <v>2775.1150985715976</v>
          </cell>
          <cell r="BB164">
            <v>-5272.5770275056075</v>
          </cell>
          <cell r="BC164" t="e">
            <v>#VALUE!</v>
          </cell>
          <cell r="BD164">
            <v>2953.1342226419551</v>
          </cell>
          <cell r="BE164">
            <v>7635.2260653995991</v>
          </cell>
          <cell r="BF164">
            <v>16280</v>
          </cell>
        </row>
        <row r="165">
          <cell r="A165" t="str">
            <v>T-45TS</v>
          </cell>
          <cell r="B165" t="b">
            <v>0</v>
          </cell>
          <cell r="C165">
            <v>39417</v>
          </cell>
          <cell r="D165">
            <v>39417</v>
          </cell>
          <cell r="E165">
            <v>6795.9</v>
          </cell>
          <cell r="F165">
            <v>32.299999999999997</v>
          </cell>
          <cell r="G165">
            <v>32.299999999999997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32.299999999999997</v>
          </cell>
          <cell r="M165" t="str">
            <v>-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 t="str">
            <v>-</v>
          </cell>
          <cell r="S165">
            <v>6828.2</v>
          </cell>
          <cell r="T165">
            <v>33.882303577048141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33.882303577048141</v>
          </cell>
          <cell r="Z165" t="str">
            <v/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7721.8885319178662</v>
          </cell>
          <cell r="AF165">
            <v>1686.4087163011593</v>
          </cell>
          <cell r="AG165">
            <v>9408.2972482190253</v>
          </cell>
          <cell r="AH165">
            <v>5528.1</v>
          </cell>
          <cell r="AI165">
            <v>1207.3</v>
          </cell>
          <cell r="AJ165">
            <v>6735.4</v>
          </cell>
          <cell r="AK165">
            <v>4.2733128948491128E-3</v>
          </cell>
          <cell r="AL165">
            <v>5.7000000000000002E-2</v>
          </cell>
          <cell r="AM165">
            <v>1995</v>
          </cell>
          <cell r="AN165">
            <v>3.8347448817659391E-3</v>
          </cell>
          <cell r="AO165">
            <v>4.7E-2</v>
          </cell>
          <cell r="AP165">
            <v>5599.5</v>
          </cell>
          <cell r="AQ165">
            <v>1995</v>
          </cell>
          <cell r="AR165">
            <v>841.9</v>
          </cell>
          <cell r="AS165">
            <v>-71.7</v>
          </cell>
          <cell r="AT165">
            <v>77.3</v>
          </cell>
          <cell r="AU165">
            <v>320.10000000000002</v>
          </cell>
          <cell r="AV165" t="str">
            <v>-</v>
          </cell>
          <cell r="AW165">
            <v>39.700000000000003</v>
          </cell>
          <cell r="AX165">
            <v>1207.3</v>
          </cell>
          <cell r="AY165">
            <v>1176.0022349490152</v>
          </cell>
          <cell r="AZ165">
            <v>-100.15365274479677</v>
          </cell>
          <cell r="BA165">
            <v>107.97597429808633</v>
          </cell>
          <cell r="BB165">
            <v>447.12948735856969</v>
          </cell>
          <cell r="BC165" t="e">
            <v>#VALUE!</v>
          </cell>
          <cell r="BD165">
            <v>55.454672440284959</v>
          </cell>
          <cell r="BE165">
            <v>1686.4087163011593</v>
          </cell>
          <cell r="BF165">
            <v>6828.2</v>
          </cell>
        </row>
        <row r="166">
          <cell r="A166" t="str">
            <v>TACTICAL TOMAHAWK</v>
          </cell>
          <cell r="B166" t="b">
            <v>1</v>
          </cell>
          <cell r="C166">
            <v>40878</v>
          </cell>
          <cell r="D166">
            <v>40878</v>
          </cell>
          <cell r="E166">
            <v>4076.4</v>
          </cell>
          <cell r="F166">
            <v>4076.4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 t="str">
            <v/>
          </cell>
          <cell r="M166">
            <v>0</v>
          </cell>
          <cell r="N166">
            <v>0</v>
          </cell>
          <cell r="O166">
            <v>0</v>
          </cell>
          <cell r="P166">
            <v>297.60000000000002</v>
          </cell>
          <cell r="Q166">
            <v>309</v>
          </cell>
          <cell r="R166">
            <v>2501.9</v>
          </cell>
          <cell r="S166">
            <v>7184.9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 t="str">
            <v/>
          </cell>
          <cell r="Z166">
            <v>0</v>
          </cell>
          <cell r="AA166">
            <v>0</v>
          </cell>
          <cell r="AB166">
            <v>0</v>
          </cell>
          <cell r="AC166">
            <v>297.60000000000002</v>
          </cell>
          <cell r="AD166">
            <v>304.04408147200633</v>
          </cell>
          <cell r="AE166">
            <v>3904.6557377049185</v>
          </cell>
          <cell r="AF166">
            <v>3599.7377049180332</v>
          </cell>
          <cell r="AG166">
            <v>7504.3934426229516</v>
          </cell>
          <cell r="AH166">
            <v>2977.3</v>
          </cell>
          <cell r="AI166">
            <v>2744.8</v>
          </cell>
          <cell r="AJ166">
            <v>5722.1</v>
          </cell>
          <cell r="AK166">
            <v>2.1585965043452893E-2</v>
          </cell>
          <cell r="AL166">
            <v>0.32</v>
          </cell>
          <cell r="AM166">
            <v>1999</v>
          </cell>
          <cell r="AN166">
            <v>2.7141686772396811E-2</v>
          </cell>
          <cell r="AO166">
            <v>0.379</v>
          </cell>
          <cell r="AP166">
            <v>3290.3</v>
          </cell>
          <cell r="AQ166">
            <v>1999</v>
          </cell>
          <cell r="AR166">
            <v>1357.4</v>
          </cell>
          <cell r="AS166">
            <v>274.3</v>
          </cell>
          <cell r="AT166">
            <v>32.6</v>
          </cell>
          <cell r="AU166">
            <v>1023.1</v>
          </cell>
          <cell r="AV166" t="str">
            <v>-</v>
          </cell>
          <cell r="AW166">
            <v>57.4</v>
          </cell>
          <cell r="AX166">
            <v>2744.8</v>
          </cell>
          <cell r="AY166">
            <v>1780.1967213114756</v>
          </cell>
          <cell r="AZ166">
            <v>359.73770491803282</v>
          </cell>
          <cell r="BA166">
            <v>42.754098360655739</v>
          </cell>
          <cell r="BB166">
            <v>1341.7704918032789</v>
          </cell>
          <cell r="BC166" t="e">
            <v>#VALUE!</v>
          </cell>
          <cell r="BD166">
            <v>75.278688524590166</v>
          </cell>
          <cell r="BE166">
            <v>3599.7377049180332</v>
          </cell>
          <cell r="BF166">
            <v>7184.9</v>
          </cell>
        </row>
        <row r="167">
          <cell r="A167" t="str">
            <v>T-AKE</v>
          </cell>
          <cell r="B167" t="b">
            <v>0</v>
          </cell>
          <cell r="C167">
            <v>40513</v>
          </cell>
          <cell r="D167">
            <v>40513</v>
          </cell>
          <cell r="E167">
            <v>6841.5</v>
          </cell>
          <cell r="F167">
            <v>6841.5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 t="str">
            <v/>
          </cell>
          <cell r="M167">
            <v>0</v>
          </cell>
          <cell r="N167">
            <v>0</v>
          </cell>
          <cell r="O167">
            <v>0</v>
          </cell>
          <cell r="P167">
            <v>18</v>
          </cell>
          <cell r="Q167">
            <v>0</v>
          </cell>
          <cell r="R167">
            <v>0</v>
          </cell>
          <cell r="S167">
            <v>6859.5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 t="str">
            <v/>
          </cell>
          <cell r="Z167">
            <v>0</v>
          </cell>
          <cell r="AA167">
            <v>0</v>
          </cell>
          <cell r="AB167">
            <v>0</v>
          </cell>
          <cell r="AC167">
            <v>18</v>
          </cell>
          <cell r="AD167">
            <v>0</v>
          </cell>
          <cell r="AE167">
            <v>5481.7386831275717</v>
          </cell>
          <cell r="AF167">
            <v>1370.8847736625514</v>
          </cell>
          <cell r="AG167">
            <v>6852.6234567901229</v>
          </cell>
          <cell r="AH167">
            <v>4262.6000000000004</v>
          </cell>
          <cell r="AI167">
            <v>1066</v>
          </cell>
          <cell r="AJ167">
            <v>5328.6</v>
          </cell>
          <cell r="AK167">
            <v>7.0209906792879639E-3</v>
          </cell>
          <cell r="AL167">
            <v>0.08</v>
          </cell>
          <cell r="AM167">
            <v>2000</v>
          </cell>
          <cell r="AN167">
            <v>1.5302131732092494E-2</v>
          </cell>
          <cell r="AO167">
            <v>0.16399999999999998</v>
          </cell>
          <cell r="AP167">
            <v>4890.2</v>
          </cell>
          <cell r="AQ167">
            <v>2000</v>
          </cell>
          <cell r="AR167">
            <v>669.2</v>
          </cell>
          <cell r="AS167">
            <v>13.3</v>
          </cell>
          <cell r="AT167" t="str">
            <v>-</v>
          </cell>
          <cell r="AU167">
            <v>383.5</v>
          </cell>
          <cell r="AV167" t="str">
            <v>-</v>
          </cell>
          <cell r="AW167" t="str">
            <v>-</v>
          </cell>
          <cell r="AX167">
            <v>1066</v>
          </cell>
          <cell r="AY167">
            <v>860.59670781892999</v>
          </cell>
          <cell r="AZ167">
            <v>17.103909465020575</v>
          </cell>
          <cell r="BA167" t="e">
            <v>#VALUE!</v>
          </cell>
          <cell r="BB167">
            <v>493.18415637860079</v>
          </cell>
          <cell r="BC167" t="e">
            <v>#VALUE!</v>
          </cell>
          <cell r="BD167" t="e">
            <v>#VALUE!</v>
          </cell>
          <cell r="BE167">
            <v>1370.8847736625514</v>
          </cell>
          <cell r="BF167">
            <v>6859.5</v>
          </cell>
        </row>
        <row r="168">
          <cell r="A168" t="str">
            <v>TRIDENT II</v>
          </cell>
          <cell r="B168" t="b">
            <v>1</v>
          </cell>
          <cell r="C168">
            <v>40878</v>
          </cell>
          <cell r="D168">
            <v>40878</v>
          </cell>
          <cell r="E168">
            <v>33457.699999999997</v>
          </cell>
          <cell r="F168">
            <v>33457.699999999997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 t="str">
            <v/>
          </cell>
          <cell r="M168">
            <v>0</v>
          </cell>
          <cell r="N168">
            <v>0</v>
          </cell>
          <cell r="O168">
            <v>0</v>
          </cell>
          <cell r="P168">
            <v>1049.3</v>
          </cell>
          <cell r="Q168">
            <v>1180.5999999999999</v>
          </cell>
          <cell r="R168">
            <v>4907.7</v>
          </cell>
          <cell r="S168">
            <v>40595.300000000003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 t="str">
            <v/>
          </cell>
          <cell r="Z168">
            <v>0</v>
          </cell>
          <cell r="AA168">
            <v>0</v>
          </cell>
          <cell r="AB168">
            <v>0</v>
          </cell>
          <cell r="AC168">
            <v>1049.3</v>
          </cell>
          <cell r="AD168">
            <v>1161.6648627373806</v>
          </cell>
          <cell r="AE168">
            <v>52638.850346878091</v>
          </cell>
          <cell r="AF168">
            <v>1379.3855302279483</v>
          </cell>
          <cell r="AG168">
            <v>54018.235877106039</v>
          </cell>
          <cell r="AH168">
            <v>26556.3</v>
          </cell>
          <cell r="AI168">
            <v>695.9</v>
          </cell>
          <cell r="AJ168">
            <v>27252.2</v>
          </cell>
          <cell r="AK168">
            <v>6.508604753890701E-3</v>
          </cell>
          <cell r="AL168">
            <v>0.20699999999999999</v>
          </cell>
          <cell r="AM168">
            <v>1983</v>
          </cell>
          <cell r="AN168">
            <v>1.2346659246144975E-2</v>
          </cell>
          <cell r="AO168">
            <v>0.41</v>
          </cell>
          <cell r="AP168">
            <v>35518.5</v>
          </cell>
          <cell r="AQ168">
            <v>1983</v>
          </cell>
          <cell r="AR168">
            <v>-3970.8</v>
          </cell>
          <cell r="AS168">
            <v>-1.7</v>
          </cell>
          <cell r="AT168">
            <v>55.9</v>
          </cell>
          <cell r="AU168">
            <v>3549.9</v>
          </cell>
          <cell r="AV168" t="str">
            <v>-</v>
          </cell>
          <cell r="AW168">
            <v>1062.5999999999999</v>
          </cell>
          <cell r="AX168">
            <v>695.9</v>
          </cell>
          <cell r="AY168">
            <v>-7870.7631318136764</v>
          </cell>
          <cell r="AZ168">
            <v>-3.3696729435084238</v>
          </cell>
          <cell r="BA168">
            <v>110.80277502477699</v>
          </cell>
          <cell r="BB168">
            <v>7036.4717542120907</v>
          </cell>
          <cell r="BC168" t="e">
            <v>#VALUE!</v>
          </cell>
          <cell r="BD168">
            <v>2106.243805748265</v>
          </cell>
          <cell r="BE168">
            <v>1379.3855302279483</v>
          </cell>
          <cell r="BF168">
            <v>40595.300000000003</v>
          </cell>
        </row>
        <row r="169">
          <cell r="A169" t="str">
            <v>TSAT</v>
          </cell>
          <cell r="B169" t="b">
            <v>0</v>
          </cell>
          <cell r="C169">
            <v>38322</v>
          </cell>
          <cell r="D169">
            <v>38322</v>
          </cell>
          <cell r="E169">
            <v>903.1</v>
          </cell>
          <cell r="F169">
            <v>1904</v>
          </cell>
          <cell r="G169">
            <v>1904</v>
          </cell>
          <cell r="H169">
            <v>0</v>
          </cell>
          <cell r="I169">
            <v>0</v>
          </cell>
          <cell r="J169">
            <v>835.8</v>
          </cell>
          <cell r="K169">
            <v>1068.2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16113.6</v>
          </cell>
          <cell r="S169">
            <v>18920.7</v>
          </cell>
          <cell r="T169">
            <v>2070.102485982723</v>
          </cell>
          <cell r="U169">
            <v>0</v>
          </cell>
          <cell r="V169">
            <v>0</v>
          </cell>
          <cell r="W169">
            <v>923.84215762131089</v>
          </cell>
          <cell r="X169">
            <v>1146.2603283614123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19218.046971569838</v>
          </cell>
          <cell r="AF169">
            <v>521.01359703337448</v>
          </cell>
          <cell r="AG169">
            <v>19739.06056860321</v>
          </cell>
          <cell r="AH169">
            <v>15547.4</v>
          </cell>
          <cell r="AI169">
            <v>421.5</v>
          </cell>
          <cell r="AJ169">
            <v>15968.9</v>
          </cell>
          <cell r="AK169">
            <v>8.9201935541267652E-3</v>
          </cell>
          <cell r="AL169">
            <v>2.7000000000000003E-2</v>
          </cell>
          <cell r="AM169">
            <v>2002</v>
          </cell>
          <cell r="AN169">
            <v>3.4891298639620372E-2</v>
          </cell>
          <cell r="AO169">
            <v>7.0999999999999994E-2</v>
          </cell>
          <cell r="AP169">
            <v>17661.3</v>
          </cell>
          <cell r="AQ169">
            <v>2002</v>
          </cell>
          <cell r="AR169" t="str">
            <v xml:space="preserve">- </v>
          </cell>
          <cell r="AS169">
            <v>602.9</v>
          </cell>
          <cell r="AT169" t="str">
            <v xml:space="preserve">- </v>
          </cell>
          <cell r="AU169">
            <v>-181.4</v>
          </cell>
          <cell r="AV169" t="str">
            <v xml:space="preserve">- </v>
          </cell>
          <cell r="AW169" t="str">
            <v xml:space="preserve">- </v>
          </cell>
          <cell r="AX169">
            <v>421.5</v>
          </cell>
          <cell r="AY169" t="e">
            <v>#VALUE!</v>
          </cell>
          <cell r="AZ169">
            <v>745.24103831891216</v>
          </cell>
          <cell r="BA169" t="e">
            <v>#VALUE!</v>
          </cell>
          <cell r="BB169">
            <v>-224.22744128553768</v>
          </cell>
          <cell r="BC169" t="e">
            <v>#VALUE!</v>
          </cell>
          <cell r="BD169" t="e">
            <v>#VALUE!</v>
          </cell>
          <cell r="BE169">
            <v>521.01359703337448</v>
          </cell>
          <cell r="BF169">
            <v>18920.7</v>
          </cell>
        </row>
        <row r="170">
          <cell r="A170" t="str">
            <v>UH-60M</v>
          </cell>
          <cell r="B170" t="b">
            <v>1</v>
          </cell>
          <cell r="C170">
            <v>40878</v>
          </cell>
          <cell r="D170">
            <v>40878</v>
          </cell>
          <cell r="E170">
            <v>8169.6</v>
          </cell>
          <cell r="F170">
            <v>8169.6</v>
          </cell>
          <cell r="G170">
            <v>0</v>
          </cell>
          <cell r="H170" t="str">
            <v/>
          </cell>
          <cell r="I170" t="str">
            <v/>
          </cell>
          <cell r="J170" t="str">
            <v/>
          </cell>
          <cell r="K170" t="str">
            <v/>
          </cell>
          <cell r="L170" t="str">
            <v/>
          </cell>
          <cell r="M170" t="str">
            <v/>
          </cell>
          <cell r="N170">
            <v>0</v>
          </cell>
          <cell r="O170">
            <v>0</v>
          </cell>
          <cell r="P170">
            <v>1697.5</v>
          </cell>
          <cell r="Q170">
            <v>1222.2</v>
          </cell>
          <cell r="R170">
            <v>17771.3</v>
          </cell>
          <cell r="S170">
            <v>28860.6</v>
          </cell>
          <cell r="T170">
            <v>0</v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>
            <v>0</v>
          </cell>
          <cell r="AB170">
            <v>0</v>
          </cell>
          <cell r="AC170">
            <v>1697.5</v>
          </cell>
          <cell r="AD170">
            <v>1202.5976581717998</v>
          </cell>
          <cell r="AE170">
            <v>19208.528638390304</v>
          </cell>
          <cell r="AF170">
            <v>6925.2315079455811</v>
          </cell>
          <cell r="AG170">
            <v>26133.760146335888</v>
          </cell>
          <cell r="AH170">
            <v>16801.7</v>
          </cell>
          <cell r="AI170">
            <v>6057.5</v>
          </cell>
          <cell r="AJ170">
            <v>22859.200000000001</v>
          </cell>
          <cell r="AK170">
            <v>2.5776057165485033E-2</v>
          </cell>
          <cell r="AL170">
            <v>0.19500000000000001</v>
          </cell>
          <cell r="AM170">
            <v>2005</v>
          </cell>
          <cell r="AN170">
            <v>3.0279827561431993E-2</v>
          </cell>
          <cell r="AO170">
            <v>0.19600000000000001</v>
          </cell>
          <cell r="AP170">
            <v>20847.099999999999</v>
          </cell>
          <cell r="AQ170">
            <v>2005</v>
          </cell>
          <cell r="AR170">
            <v>2330</v>
          </cell>
          <cell r="AS170">
            <v>146.6</v>
          </cell>
          <cell r="AT170">
            <v>538.79999999999995</v>
          </cell>
          <cell r="AU170">
            <v>2577.6999999999998</v>
          </cell>
          <cell r="AV170" t="str">
            <v>-</v>
          </cell>
          <cell r="AW170">
            <v>464.4</v>
          </cell>
          <cell r="AX170">
            <v>6057.5</v>
          </cell>
          <cell r="AY170">
            <v>2663.7704355779124</v>
          </cell>
          <cell r="AZ170">
            <v>167.60032010975189</v>
          </cell>
          <cell r="BA170">
            <v>615.98262261346736</v>
          </cell>
          <cell r="BB170">
            <v>2946.9532411112377</v>
          </cell>
          <cell r="BC170" t="e">
            <v>#VALUE!</v>
          </cell>
          <cell r="BD170">
            <v>530.92488853321129</v>
          </cell>
          <cell r="BE170">
            <v>6925.2315079455811</v>
          </cell>
          <cell r="BF170">
            <v>28860.6</v>
          </cell>
        </row>
        <row r="171">
          <cell r="A171" t="str">
            <v>UH-60M Black Hawk Upgrade</v>
          </cell>
          <cell r="B171" t="b">
            <v>0</v>
          </cell>
          <cell r="C171">
            <v>39692</v>
          </cell>
          <cell r="D171">
            <v>39692</v>
          </cell>
          <cell r="E171">
            <v>2310.4</v>
          </cell>
          <cell r="F171">
            <v>2539.8000000000002</v>
          </cell>
          <cell r="G171">
            <v>2539.8000000000002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1444.5</v>
          </cell>
          <cell r="M171">
            <v>1095.3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19192.5</v>
          </cell>
          <cell r="S171">
            <v>24042.7</v>
          </cell>
          <cell r="T171">
            <v>2649.1137031025928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1515.2627714255743</v>
          </cell>
          <cell r="Z171">
            <v>1133.8509316770187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19208.528638390304</v>
          </cell>
          <cell r="AF171">
            <v>2439.121984680462</v>
          </cell>
          <cell r="AG171">
            <v>21647.650623070767</v>
          </cell>
          <cell r="AH171">
            <v>16801.7</v>
          </cell>
          <cell r="AI171">
            <v>2133.5</v>
          </cell>
          <cell r="AJ171">
            <v>18935.2</v>
          </cell>
          <cell r="AK171">
            <v>3.0340993150916651E-2</v>
          </cell>
          <cell r="AL171">
            <v>0.127</v>
          </cell>
          <cell r="AM171">
            <v>2005</v>
          </cell>
          <cell r="AN171">
            <v>4.8599796508017157E-2</v>
          </cell>
          <cell r="AO171">
            <v>0.153</v>
          </cell>
          <cell r="AP171">
            <v>20847.099999999999</v>
          </cell>
          <cell r="AQ171">
            <v>2005</v>
          </cell>
          <cell r="AR171" t="str">
            <v>-</v>
          </cell>
          <cell r="AS171">
            <v>112.1</v>
          </cell>
          <cell r="AT171">
            <v>893.8</v>
          </cell>
          <cell r="AU171">
            <v>1011.5</v>
          </cell>
          <cell r="AV171" t="str">
            <v>-</v>
          </cell>
          <cell r="AW171">
            <v>116.1</v>
          </cell>
          <cell r="AX171">
            <v>2133.5</v>
          </cell>
          <cell r="AY171" t="e">
            <v>#VALUE!</v>
          </cell>
          <cell r="AZ171">
            <v>128.1582256773751</v>
          </cell>
          <cell r="BA171">
            <v>1021.8360580770549</v>
          </cell>
          <cell r="BB171">
            <v>1156.3964787927289</v>
          </cell>
          <cell r="BC171" t="e">
            <v>#VALUE!</v>
          </cell>
          <cell r="BD171">
            <v>132.73122213330282</v>
          </cell>
          <cell r="BE171">
            <v>2439.121984680462</v>
          </cell>
          <cell r="BF171">
            <v>24042.7</v>
          </cell>
        </row>
        <row r="172">
          <cell r="A172" t="str">
            <v>V-22</v>
          </cell>
          <cell r="B172" t="b">
            <v>1</v>
          </cell>
          <cell r="C172">
            <v>40878</v>
          </cell>
          <cell r="D172">
            <v>40878</v>
          </cell>
          <cell r="E172">
            <v>35086.800000000003</v>
          </cell>
          <cell r="F172">
            <v>35086.800000000003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 t="str">
            <v/>
          </cell>
          <cell r="M172">
            <v>0</v>
          </cell>
          <cell r="N172">
            <v>0</v>
          </cell>
          <cell r="O172">
            <v>0</v>
          </cell>
          <cell r="P172">
            <v>2925.7</v>
          </cell>
          <cell r="Q172">
            <v>2086.6999999999998</v>
          </cell>
          <cell r="R172">
            <v>13395.3</v>
          </cell>
          <cell r="S172">
            <v>53494.5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 t="str">
            <v/>
          </cell>
          <cell r="Z172">
            <v>0</v>
          </cell>
          <cell r="AA172">
            <v>0</v>
          </cell>
          <cell r="AB172">
            <v>0</v>
          </cell>
          <cell r="AC172">
            <v>2925.7</v>
          </cell>
          <cell r="AD172">
            <v>2053.2323132933188</v>
          </cell>
          <cell r="AE172">
            <v>57448.725277237907</v>
          </cell>
          <cell r="AF172">
            <v>-306.6194123699554</v>
          </cell>
          <cell r="AG172">
            <v>57142.105864867946</v>
          </cell>
          <cell r="AH172">
            <v>50250.400000000001</v>
          </cell>
          <cell r="AI172">
            <v>-268.2</v>
          </cell>
          <cell r="AJ172">
            <v>49982.2</v>
          </cell>
          <cell r="AK172">
            <v>-1.0030130653529978E-3</v>
          </cell>
          <cell r="AL172">
            <v>-6.9999999999999993E-3</v>
          </cell>
          <cell r="AM172">
            <v>2005</v>
          </cell>
          <cell r="AN172">
            <v>4.9937614340400671E-4</v>
          </cell>
          <cell r="AO172">
            <v>3.0000000000000001E-3</v>
          </cell>
          <cell r="AP172">
            <v>53253.4</v>
          </cell>
          <cell r="AQ172">
            <v>2005</v>
          </cell>
          <cell r="AR172">
            <v>59.1</v>
          </cell>
          <cell r="AS172">
            <v>528.20000000000005</v>
          </cell>
          <cell r="AT172">
            <v>157.1</v>
          </cell>
          <cell r="AU172">
            <v>-1437.7</v>
          </cell>
          <cell r="AV172" t="str">
            <v>-</v>
          </cell>
          <cell r="AW172">
            <v>425.1</v>
          </cell>
          <cell r="AX172">
            <v>-268.2</v>
          </cell>
          <cell r="AY172">
            <v>67.566022636332463</v>
          </cell>
          <cell r="AZ172">
            <v>603.86418200525895</v>
          </cell>
          <cell r="BA172">
            <v>179.60443580656224</v>
          </cell>
          <cell r="BB172">
            <v>-1643.6492511718304</v>
          </cell>
          <cell r="BC172" t="e">
            <v>#VALUE!</v>
          </cell>
          <cell r="BD172">
            <v>485.99519835372126</v>
          </cell>
          <cell r="BE172">
            <v>-306.6194123699554</v>
          </cell>
          <cell r="BF172">
            <v>53494.5</v>
          </cell>
        </row>
        <row r="173">
          <cell r="A173" t="str">
            <v>VH-71</v>
          </cell>
          <cell r="B173" t="b">
            <v>0</v>
          </cell>
          <cell r="C173">
            <v>39692</v>
          </cell>
          <cell r="D173">
            <v>39692</v>
          </cell>
          <cell r="E173">
            <v>2434.6999999999998</v>
          </cell>
          <cell r="F173">
            <v>1273.2</v>
          </cell>
          <cell r="G173">
            <v>1273.2</v>
          </cell>
          <cell r="H173" t="str">
            <v/>
          </cell>
          <cell r="I173" t="str">
            <v/>
          </cell>
          <cell r="J173">
            <v>0</v>
          </cell>
          <cell r="K173">
            <v>0</v>
          </cell>
          <cell r="L173">
            <v>225.4</v>
          </cell>
          <cell r="M173">
            <v>1047.8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3042.3</v>
          </cell>
          <cell r="S173">
            <v>6750.2</v>
          </cell>
          <cell r="T173">
            <v>1321.1209226574615</v>
          </cell>
          <cell r="U173" t="str">
            <v/>
          </cell>
          <cell r="V173" t="str">
            <v/>
          </cell>
          <cell r="W173">
            <v>0</v>
          </cell>
          <cell r="X173">
            <v>0</v>
          </cell>
          <cell r="Y173">
            <v>236.44183363054651</v>
          </cell>
          <cell r="Z173">
            <v>1084.6790890269151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6845.3807967066232</v>
          </cell>
          <cell r="AF173">
            <v>94.321346409976996</v>
          </cell>
          <cell r="AG173">
            <v>6939.7021431165995</v>
          </cell>
          <cell r="AH173">
            <v>5653.6</v>
          </cell>
          <cell r="AI173">
            <v>77.900000000000006</v>
          </cell>
          <cell r="AJ173">
            <v>5731.5</v>
          </cell>
          <cell r="AK173">
            <v>-5.5771866800587988E-3</v>
          </cell>
          <cell r="AL173">
            <v>-3.3000000000000002E-2</v>
          </cell>
          <cell r="AM173">
            <v>2003</v>
          </cell>
          <cell r="AN173">
            <v>-4.4392391089640437E-3</v>
          </cell>
          <cell r="AO173">
            <v>-2.2000000000000002E-2</v>
          </cell>
          <cell r="AP173">
            <v>6547.3</v>
          </cell>
          <cell r="AQ173">
            <v>2003</v>
          </cell>
          <cell r="AR173">
            <v>272</v>
          </cell>
          <cell r="AS173">
            <v>130.4</v>
          </cell>
          <cell r="AT173" t="str">
            <v>-</v>
          </cell>
          <cell r="AU173">
            <v>-302.60000000000002</v>
          </cell>
          <cell r="AV173" t="str">
            <v>-</v>
          </cell>
          <cell r="AW173">
            <v>-21.9</v>
          </cell>
          <cell r="AX173">
            <v>77.900000000000006</v>
          </cell>
          <cell r="AY173">
            <v>329.33769221455378</v>
          </cell>
          <cell r="AZ173">
            <v>157.88836420874196</v>
          </cell>
          <cell r="BA173" t="e">
            <v>#VALUE!</v>
          </cell>
          <cell r="BB173">
            <v>-366.38818258869111</v>
          </cell>
          <cell r="BC173" t="e">
            <v>#VALUE!</v>
          </cell>
          <cell r="BD173">
            <v>-26.516527424627675</v>
          </cell>
          <cell r="BE173">
            <v>94.321346409976996</v>
          </cell>
          <cell r="BF173">
            <v>6750.2</v>
          </cell>
        </row>
        <row r="174">
          <cell r="A174" t="str">
            <v>VTUAV</v>
          </cell>
          <cell r="B174" t="b">
            <v>1</v>
          </cell>
          <cell r="C174">
            <v>40878</v>
          </cell>
          <cell r="D174">
            <v>40878</v>
          </cell>
          <cell r="E174">
            <v>948.5</v>
          </cell>
          <cell r="F174">
            <v>948.5</v>
          </cell>
          <cell r="G174">
            <v>0</v>
          </cell>
          <cell r="H174" t="str">
            <v/>
          </cell>
          <cell r="I174" t="str">
            <v/>
          </cell>
          <cell r="J174" t="str">
            <v/>
          </cell>
          <cell r="K174">
            <v>0</v>
          </cell>
          <cell r="L174" t="str">
            <v/>
          </cell>
          <cell r="M174">
            <v>0</v>
          </cell>
          <cell r="N174">
            <v>0</v>
          </cell>
          <cell r="O174">
            <v>0</v>
          </cell>
          <cell r="P174">
            <v>44.2</v>
          </cell>
          <cell r="Q174">
            <v>21.7</v>
          </cell>
          <cell r="R174">
            <v>1856</v>
          </cell>
          <cell r="S174">
            <v>2870.4</v>
          </cell>
          <cell r="T174">
            <v>0</v>
          </cell>
          <cell r="U174" t="str">
            <v/>
          </cell>
          <cell r="V174" t="str">
            <v/>
          </cell>
          <cell r="W174" t="str">
            <v/>
          </cell>
          <cell r="X174">
            <v>0</v>
          </cell>
          <cell r="Y174" t="str">
            <v/>
          </cell>
          <cell r="Z174">
            <v>0</v>
          </cell>
          <cell r="AA174">
            <v>0</v>
          </cell>
          <cell r="AB174">
            <v>0</v>
          </cell>
          <cell r="AC174">
            <v>44.2</v>
          </cell>
          <cell r="AD174">
            <v>21.35196300305028</v>
          </cell>
          <cell r="AE174">
            <v>2615.6737039902732</v>
          </cell>
          <cell r="AF174">
            <v>-21.554106333591246</v>
          </cell>
          <cell r="AG174">
            <v>2594.1195976566819</v>
          </cell>
          <cell r="AH174">
            <v>2366.4</v>
          </cell>
          <cell r="AI174">
            <v>-19.5</v>
          </cell>
          <cell r="AJ174">
            <v>2346.9</v>
          </cell>
          <cell r="AK174">
            <v>-1.3377996300605322E-3</v>
          </cell>
          <cell r="AL174">
            <v>-8.0000000000000002E-3</v>
          </cell>
          <cell r="AM174">
            <v>2006</v>
          </cell>
          <cell r="AN174">
            <v>5.9292693899932747E-3</v>
          </cell>
          <cell r="AO174">
            <v>0.03</v>
          </cell>
          <cell r="AP174">
            <v>2787.1</v>
          </cell>
          <cell r="AQ174">
            <v>2006</v>
          </cell>
          <cell r="AR174" t="str">
            <v>-</v>
          </cell>
          <cell r="AS174">
            <v>-2.5</v>
          </cell>
          <cell r="AT174">
            <v>0.2</v>
          </cell>
          <cell r="AU174">
            <v>-66.400000000000006</v>
          </cell>
          <cell r="AV174" t="str">
            <v>-</v>
          </cell>
          <cell r="AW174">
            <v>49.2</v>
          </cell>
          <cell r="AX174">
            <v>-19.5</v>
          </cell>
          <cell r="AY174" t="e">
            <v>#VALUE!</v>
          </cell>
          <cell r="AZ174">
            <v>-2.7633469658450318</v>
          </cell>
          <cell r="BA174">
            <v>0.22106775726760255</v>
          </cell>
          <cell r="BB174">
            <v>-73.394495412844051</v>
          </cell>
          <cell r="BC174" t="e">
            <v>#VALUE!</v>
          </cell>
          <cell r="BD174">
            <v>54.382668287830228</v>
          </cell>
          <cell r="BE174">
            <v>-21.554106333591246</v>
          </cell>
          <cell r="BF174">
            <v>2870.4</v>
          </cell>
        </row>
        <row r="175">
          <cell r="A175" t="str">
            <v>WGS</v>
          </cell>
          <cell r="B175" t="b">
            <v>1</v>
          </cell>
          <cell r="C175">
            <v>40878</v>
          </cell>
          <cell r="D175">
            <v>40878</v>
          </cell>
          <cell r="E175">
            <v>2679.3</v>
          </cell>
          <cell r="F175">
            <v>2679.3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 t="str">
            <v/>
          </cell>
          <cell r="M175">
            <v>0</v>
          </cell>
          <cell r="N175">
            <v>0</v>
          </cell>
          <cell r="O175">
            <v>0</v>
          </cell>
          <cell r="P175">
            <v>792.9</v>
          </cell>
          <cell r="Q175">
            <v>36.799999999999997</v>
          </cell>
          <cell r="R175">
            <v>359.4</v>
          </cell>
          <cell r="S175">
            <v>3868.4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 t="str">
            <v/>
          </cell>
          <cell r="Z175">
            <v>0</v>
          </cell>
          <cell r="AA175">
            <v>0</v>
          </cell>
          <cell r="AB175">
            <v>0</v>
          </cell>
          <cell r="AC175">
            <v>792.9</v>
          </cell>
          <cell r="AD175">
            <v>36.209780576601396</v>
          </cell>
          <cell r="AE175">
            <v>3709.6475906709134</v>
          </cell>
          <cell r="AF175">
            <v>290.86612555224497</v>
          </cell>
          <cell r="AG175">
            <v>4000.5137162231586</v>
          </cell>
          <cell r="AH175">
            <v>3610.6</v>
          </cell>
          <cell r="AI175">
            <v>283.10000000000002</v>
          </cell>
          <cell r="AJ175">
            <v>3893.7</v>
          </cell>
          <cell r="AK175">
            <v>-1.2579117093425074E-2</v>
          </cell>
          <cell r="AL175">
            <v>-2.5000000000000001E-2</v>
          </cell>
          <cell r="AM175">
            <v>2010</v>
          </cell>
          <cell r="AN175">
            <v>-2.0000000000000018E-2</v>
          </cell>
          <cell r="AO175">
            <v>-0.02</v>
          </cell>
          <cell r="AP175">
            <v>3539.7</v>
          </cell>
          <cell r="AQ175">
            <v>2010</v>
          </cell>
          <cell r="AR175">
            <v>383</v>
          </cell>
          <cell r="AS175" t="str">
            <v>-</v>
          </cell>
          <cell r="AT175" t="str">
            <v>-</v>
          </cell>
          <cell r="AU175">
            <v>-99.8</v>
          </cell>
          <cell r="AV175" t="str">
            <v>-</v>
          </cell>
          <cell r="AW175">
            <v>-0.1</v>
          </cell>
          <cell r="AX175">
            <v>283.10000000000002</v>
          </cell>
          <cell r="AY175">
            <v>393.50662693927876</v>
          </cell>
          <cell r="AZ175" t="e">
            <v>#VALUE!</v>
          </cell>
          <cell r="BA175" t="e">
            <v>#VALUE!</v>
          </cell>
          <cell r="BB175">
            <v>-102.53775814240214</v>
          </cell>
          <cell r="BC175" t="e">
            <v>#VALUE!</v>
          </cell>
          <cell r="BD175">
            <v>-0.10274324463166548</v>
          </cell>
          <cell r="BE175">
            <v>290.86612555224497</v>
          </cell>
          <cell r="BF175">
            <v>3868.4</v>
          </cell>
        </row>
        <row r="176">
          <cell r="A176" t="str">
            <v>WIN-T Increment 1</v>
          </cell>
          <cell r="B176" t="b">
            <v>1</v>
          </cell>
          <cell r="C176">
            <v>40878</v>
          </cell>
          <cell r="D176">
            <v>40878</v>
          </cell>
          <cell r="E176">
            <v>3759</v>
          </cell>
          <cell r="F176">
            <v>3759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 t="str">
            <v/>
          </cell>
          <cell r="M176" t="str">
            <v/>
          </cell>
          <cell r="N176">
            <v>0</v>
          </cell>
          <cell r="O176">
            <v>0</v>
          </cell>
          <cell r="P176">
            <v>48</v>
          </cell>
          <cell r="Q176">
            <v>98.3</v>
          </cell>
          <cell r="R176">
            <v>316.2</v>
          </cell>
          <cell r="S176">
            <v>4221.5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 t="str">
            <v/>
          </cell>
          <cell r="Z176" t="str">
            <v/>
          </cell>
          <cell r="AA176">
            <v>0</v>
          </cell>
          <cell r="AB176">
            <v>0</v>
          </cell>
          <cell r="AC176">
            <v>48</v>
          </cell>
          <cell r="AD176">
            <v>96.723408442389058</v>
          </cell>
          <cell r="AE176">
            <v>4075.5445863290056</v>
          </cell>
          <cell r="AF176">
            <v>333.40487176735701</v>
          </cell>
          <cell r="AG176">
            <v>4408.9494580963619</v>
          </cell>
          <cell r="AH176">
            <v>3798</v>
          </cell>
          <cell r="AI176">
            <v>310.7</v>
          </cell>
          <cell r="AJ176">
            <v>4108.7</v>
          </cell>
          <cell r="AK176">
            <v>4.1651580960078149E-3</v>
          </cell>
          <cell r="AL176">
            <v>2.1000000000000001E-2</v>
          </cell>
          <cell r="AM176">
            <v>2007</v>
          </cell>
          <cell r="AN176">
            <v>6.192246325636086E-3</v>
          </cell>
          <cell r="AO176">
            <v>2.5000000000000001E-2</v>
          </cell>
          <cell r="AP176">
            <v>3879.7</v>
          </cell>
          <cell r="AQ176">
            <v>2007</v>
          </cell>
          <cell r="AR176">
            <v>227.8</v>
          </cell>
          <cell r="AS176" t="str">
            <v>-</v>
          </cell>
          <cell r="AT176" t="str">
            <v>-</v>
          </cell>
          <cell r="AU176">
            <v>-186.5</v>
          </cell>
          <cell r="AV176" t="str">
            <v>-</v>
          </cell>
          <cell r="AW176">
            <v>269.39999999999998</v>
          </cell>
          <cell r="AX176">
            <v>310.7</v>
          </cell>
          <cell r="AY176">
            <v>244.44682905891193</v>
          </cell>
          <cell r="AZ176" t="e">
            <v>#VALUE!</v>
          </cell>
          <cell r="BA176" t="e">
            <v>#VALUE!</v>
          </cell>
          <cell r="BB176">
            <v>-200.12876918124263</v>
          </cell>
          <cell r="BC176" t="e">
            <v>#VALUE!</v>
          </cell>
          <cell r="BD176">
            <v>289.08681188968774</v>
          </cell>
          <cell r="BE176">
            <v>333.40487176735701</v>
          </cell>
          <cell r="BF176">
            <v>4221.5</v>
          </cell>
        </row>
        <row r="177">
          <cell r="A177" t="str">
            <v>WIN-T Increment 2</v>
          </cell>
          <cell r="B177" t="b">
            <v>1</v>
          </cell>
          <cell r="C177">
            <v>40878</v>
          </cell>
          <cell r="D177">
            <v>40878</v>
          </cell>
          <cell r="E177">
            <v>1183.7</v>
          </cell>
          <cell r="F177">
            <v>1183.7</v>
          </cell>
          <cell r="G177">
            <v>0</v>
          </cell>
          <cell r="H177" t="str">
            <v/>
          </cell>
          <cell r="I177" t="str">
            <v/>
          </cell>
          <cell r="J177" t="str">
            <v/>
          </cell>
          <cell r="K177">
            <v>0</v>
          </cell>
          <cell r="L177" t="str">
            <v/>
          </cell>
          <cell r="M177" t="str">
            <v/>
          </cell>
          <cell r="N177">
            <v>0</v>
          </cell>
          <cell r="O177">
            <v>0</v>
          </cell>
          <cell r="P177">
            <v>837.4</v>
          </cell>
          <cell r="Q177">
            <v>788.7</v>
          </cell>
          <cell r="R177">
            <v>3651.5</v>
          </cell>
          <cell r="S177">
            <v>6461.3</v>
          </cell>
          <cell r="T177">
            <v>0</v>
          </cell>
          <cell r="U177" t="str">
            <v/>
          </cell>
          <cell r="V177" t="str">
            <v/>
          </cell>
          <cell r="W177" t="str">
            <v/>
          </cell>
          <cell r="X177">
            <v>0</v>
          </cell>
          <cell r="Y177" t="str">
            <v/>
          </cell>
          <cell r="Z177" t="str">
            <v/>
          </cell>
          <cell r="AA177">
            <v>0</v>
          </cell>
          <cell r="AB177">
            <v>0</v>
          </cell>
          <cell r="AC177">
            <v>837.4</v>
          </cell>
          <cell r="AD177">
            <v>776.05037882515012</v>
          </cell>
          <cell r="AE177">
            <v>4814.548443439844</v>
          </cell>
          <cell r="AF177">
            <v>1255.1114764204253</v>
          </cell>
          <cell r="AG177">
            <v>6069.6599198602698</v>
          </cell>
          <cell r="AH177">
            <v>4686</v>
          </cell>
          <cell r="AI177">
            <v>1221.5999999999999</v>
          </cell>
          <cell r="AJ177">
            <v>5907.6</v>
          </cell>
          <cell r="AK177">
            <v>3.0533842239060194E-2</v>
          </cell>
          <cell r="AL177">
            <v>6.2E-2</v>
          </cell>
          <cell r="AM177">
            <v>2010</v>
          </cell>
          <cell r="AN177">
            <v>8.0000000000000071E-2</v>
          </cell>
          <cell r="AO177">
            <v>0.08</v>
          </cell>
          <cell r="AP177">
            <v>4996.8999999999996</v>
          </cell>
          <cell r="AQ177">
            <v>2010</v>
          </cell>
          <cell r="AR177">
            <v>879.1</v>
          </cell>
          <cell r="AS177" t="str">
            <v>-</v>
          </cell>
          <cell r="AT177" t="str">
            <v>-</v>
          </cell>
          <cell r="AU177">
            <v>-78.3</v>
          </cell>
          <cell r="AV177" t="str">
            <v>-</v>
          </cell>
          <cell r="AW177">
            <v>420.8</v>
          </cell>
          <cell r="AX177">
            <v>1221.5999999999999</v>
          </cell>
          <cell r="AY177">
            <v>903.21586355697116</v>
          </cell>
          <cell r="AZ177" t="e">
            <v>#VALUE!</v>
          </cell>
          <cell r="BA177" t="e">
            <v>#VALUE!</v>
          </cell>
          <cell r="BB177">
            <v>-80.447960546594061</v>
          </cell>
          <cell r="BC177" t="e">
            <v>#VALUE!</v>
          </cell>
          <cell r="BD177">
            <v>432.34357341004835</v>
          </cell>
          <cell r="BE177">
            <v>1255.1114764204253</v>
          </cell>
          <cell r="BF177">
            <v>6461.3</v>
          </cell>
        </row>
        <row r="178">
          <cell r="A178" t="str">
            <v>WIN-T Increment 3</v>
          </cell>
          <cell r="B178" t="b">
            <v>1</v>
          </cell>
          <cell r="C178">
            <v>40878</v>
          </cell>
          <cell r="D178">
            <v>40878</v>
          </cell>
          <cell r="E178">
            <v>1260.5</v>
          </cell>
          <cell r="F178">
            <v>1260.5</v>
          </cell>
          <cell r="G178">
            <v>0</v>
          </cell>
          <cell r="H178" t="str">
            <v/>
          </cell>
          <cell r="I178" t="str">
            <v/>
          </cell>
          <cell r="J178" t="str">
            <v/>
          </cell>
          <cell r="K178" t="str">
            <v/>
          </cell>
          <cell r="L178" t="str">
            <v/>
          </cell>
          <cell r="M178" t="str">
            <v/>
          </cell>
          <cell r="N178">
            <v>0</v>
          </cell>
          <cell r="O178">
            <v>0</v>
          </cell>
          <cell r="P178">
            <v>172.8</v>
          </cell>
          <cell r="Q178">
            <v>275.2</v>
          </cell>
          <cell r="R178">
            <v>12747</v>
          </cell>
          <cell r="S178">
            <v>14455.5</v>
          </cell>
          <cell r="T178">
            <v>0</v>
          </cell>
          <cell r="U178" t="str">
            <v/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/>
          </cell>
          <cell r="AA178">
            <v>0</v>
          </cell>
          <cell r="AB178">
            <v>0</v>
          </cell>
          <cell r="AC178">
            <v>172.8</v>
          </cell>
          <cell r="AD178">
            <v>270.78618518154087</v>
          </cell>
          <cell r="AE178">
            <v>16364.285714285714</v>
          </cell>
          <cell r="AF178">
            <v>-3913.3540372670809</v>
          </cell>
          <cell r="AG178">
            <v>12450.931677018634</v>
          </cell>
          <cell r="AH178">
            <v>15807.9</v>
          </cell>
          <cell r="AI178">
            <v>-3780.3</v>
          </cell>
          <cell r="AJ178">
            <v>12027.6</v>
          </cell>
          <cell r="AK178">
            <v>-6.9752253154977129E-2</v>
          </cell>
          <cell r="AL178">
            <v>-0.19500000000000001</v>
          </cell>
          <cell r="AM178">
            <v>2009</v>
          </cell>
          <cell r="AN178">
            <v>-9.611947692186662E-2</v>
          </cell>
          <cell r="AO178">
            <v>-0.183</v>
          </cell>
          <cell r="AP178">
            <v>18813.2</v>
          </cell>
          <cell r="AQ178">
            <v>2009</v>
          </cell>
          <cell r="AR178">
            <v>-869</v>
          </cell>
          <cell r="AS178">
            <v>-13.5</v>
          </cell>
          <cell r="AT178">
            <v>-1850</v>
          </cell>
          <cell r="AU178">
            <v>-1386</v>
          </cell>
          <cell r="AV178" t="str">
            <v>-</v>
          </cell>
          <cell r="AW178">
            <v>338.2</v>
          </cell>
          <cell r="AX178">
            <v>-3780.3</v>
          </cell>
          <cell r="AY178">
            <v>-899.5859213250518</v>
          </cell>
          <cell r="AZ178">
            <v>-13.975155279503106</v>
          </cell>
          <cell r="BA178">
            <v>-1915.1138716356108</v>
          </cell>
          <cell r="BB178">
            <v>-1434.7826086956522</v>
          </cell>
          <cell r="BC178" t="e">
            <v>#VALUE!</v>
          </cell>
          <cell r="BD178">
            <v>350.10351966873708</v>
          </cell>
          <cell r="BE178">
            <v>-3913.3540372670809</v>
          </cell>
          <cell r="BF178">
            <v>14455.5</v>
          </cell>
        </row>
        <row r="179">
          <cell r="A179" t="str">
            <v>Army Subtotal</v>
          </cell>
          <cell r="B179" t="b">
            <v>1</v>
          </cell>
          <cell r="C179">
            <v>40878</v>
          </cell>
          <cell r="D179">
            <v>40878</v>
          </cell>
          <cell r="E179">
            <v>79233.600000000006</v>
          </cell>
          <cell r="F179">
            <v>79233.600000000006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 t="str">
            <v/>
          </cell>
          <cell r="M179">
            <v>0</v>
          </cell>
          <cell r="N179">
            <v>0</v>
          </cell>
          <cell r="O179">
            <v>0</v>
          </cell>
          <cell r="P179">
            <v>9551.4</v>
          </cell>
          <cell r="Q179">
            <v>8297.9</v>
          </cell>
          <cell r="R179">
            <v>68235.5</v>
          </cell>
          <cell r="S179">
            <v>165318.39999999999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 t="str">
            <v/>
          </cell>
          <cell r="Z179">
            <v>0</v>
          </cell>
          <cell r="AA179">
            <v>0</v>
          </cell>
          <cell r="AB179">
            <v>0</v>
          </cell>
          <cell r="AC179">
            <v>9551.4</v>
          </cell>
          <cell r="AD179">
            <v>8164.8135393092589</v>
          </cell>
          <cell r="AE179" t="e">
            <v>#N/A</v>
          </cell>
          <cell r="AF179" t="e">
            <v>#N/A</v>
          </cell>
          <cell r="AG179" t="e">
            <v>#N/A</v>
          </cell>
          <cell r="AH179">
            <v>148933.9</v>
          </cell>
          <cell r="AI179">
            <v>-8243.2999999999993</v>
          </cell>
          <cell r="AJ179">
            <v>140690.6</v>
          </cell>
          <cell r="AK179">
            <v>0</v>
          </cell>
          <cell r="AL179">
            <v>0</v>
          </cell>
          <cell r="AM179">
            <v>0</v>
          </cell>
          <cell r="AN179">
            <v>-9.9552544707837143E-7</v>
          </cell>
          <cell r="AO179">
            <v>-2E-3</v>
          </cell>
          <cell r="AP179">
            <v>179939.4</v>
          </cell>
          <cell r="AQ179">
            <v>0</v>
          </cell>
          <cell r="AR179">
            <v>-8215.6</v>
          </cell>
          <cell r="AS179">
            <v>284.2</v>
          </cell>
          <cell r="AT179">
            <v>3491.7</v>
          </cell>
          <cell r="AU179">
            <v>-4001.6</v>
          </cell>
          <cell r="AV179" t="str">
            <v>-</v>
          </cell>
          <cell r="AW179">
            <v>198</v>
          </cell>
          <cell r="AX179">
            <v>-8243.2999999999993</v>
          </cell>
          <cell r="AY179" t="e">
            <v>#N/A</v>
          </cell>
          <cell r="AZ179" t="e">
            <v>#N/A</v>
          </cell>
          <cell r="BA179" t="e">
            <v>#N/A</v>
          </cell>
          <cell r="BB179" t="e">
            <v>#N/A</v>
          </cell>
          <cell r="BC179" t="e">
            <v>#VALUE!</v>
          </cell>
          <cell r="BD179" t="e">
            <v>#N/A</v>
          </cell>
          <cell r="BE179" t="e">
            <v>#N/A</v>
          </cell>
          <cell r="BF179">
            <v>165318.39999999999</v>
          </cell>
        </row>
        <row r="180">
          <cell r="A180" t="str">
            <v>Navy Subtotal</v>
          </cell>
          <cell r="B180" t="b">
            <v>1</v>
          </cell>
          <cell r="C180">
            <v>40878</v>
          </cell>
          <cell r="D180">
            <v>40878</v>
          </cell>
          <cell r="E180">
            <v>370489</v>
          </cell>
          <cell r="F180">
            <v>370489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 t="str">
            <v/>
          </cell>
          <cell r="M180">
            <v>0</v>
          </cell>
          <cell r="N180">
            <v>0</v>
          </cell>
          <cell r="O180">
            <v>0</v>
          </cell>
          <cell r="P180">
            <v>31945.9</v>
          </cell>
          <cell r="Q180">
            <v>28469.1</v>
          </cell>
          <cell r="R180">
            <v>227226.8</v>
          </cell>
          <cell r="S180">
            <v>658130.80000000005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 t="str">
            <v/>
          </cell>
          <cell r="Z180">
            <v>0</v>
          </cell>
          <cell r="AA180">
            <v>0</v>
          </cell>
          <cell r="AB180">
            <v>0</v>
          </cell>
          <cell r="AC180">
            <v>31945.9</v>
          </cell>
          <cell r="AD180">
            <v>28012.496310144641</v>
          </cell>
          <cell r="AE180" t="e">
            <v>#N/A</v>
          </cell>
          <cell r="AF180" t="e">
            <v>#N/A</v>
          </cell>
          <cell r="AG180" t="e">
            <v>#N/A</v>
          </cell>
          <cell r="AH180">
            <v>462750.3</v>
          </cell>
          <cell r="AI180">
            <v>55867.7</v>
          </cell>
          <cell r="AJ180">
            <v>518618</v>
          </cell>
          <cell r="AK180">
            <v>2.9898022891217124E-5</v>
          </cell>
          <cell r="AL180">
            <v>6.2E-2</v>
          </cell>
          <cell r="AM180">
            <v>0</v>
          </cell>
          <cell r="AN180">
            <v>5.2343742167115792E-5</v>
          </cell>
          <cell r="AO180">
            <v>0.111</v>
          </cell>
          <cell r="AP180">
            <v>551836.30000000005</v>
          </cell>
          <cell r="AQ180">
            <v>0</v>
          </cell>
          <cell r="AR180">
            <v>25412.5</v>
          </cell>
          <cell r="AS180">
            <v>5018.3999999999996</v>
          </cell>
          <cell r="AT180">
            <v>5424.5</v>
          </cell>
          <cell r="AU180">
            <v>13784.3</v>
          </cell>
          <cell r="AV180">
            <v>1781.7</v>
          </cell>
          <cell r="AW180">
            <v>4446.3</v>
          </cell>
          <cell r="AX180">
            <v>55867.7</v>
          </cell>
          <cell r="AY180" t="e">
            <v>#N/A</v>
          </cell>
          <cell r="AZ180" t="e">
            <v>#N/A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E180" t="e">
            <v>#N/A</v>
          </cell>
          <cell r="BF180">
            <v>658130.80000000005</v>
          </cell>
        </row>
        <row r="181">
          <cell r="A181" t="str">
            <v>Air Force Subtotal</v>
          </cell>
          <cell r="B181" t="b">
            <v>1</v>
          </cell>
          <cell r="C181">
            <v>40878</v>
          </cell>
          <cell r="D181">
            <v>40878</v>
          </cell>
          <cell r="E181">
            <v>95872.8</v>
          </cell>
          <cell r="F181">
            <v>95872.8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 t="str">
            <v/>
          </cell>
          <cell r="M181">
            <v>0</v>
          </cell>
          <cell r="N181">
            <v>0</v>
          </cell>
          <cell r="O181">
            <v>0</v>
          </cell>
          <cell r="P181">
            <v>11426.9</v>
          </cell>
          <cell r="Q181">
            <v>9404.6</v>
          </cell>
          <cell r="R181">
            <v>99807.8</v>
          </cell>
          <cell r="S181">
            <v>216512.1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 t="str">
            <v/>
          </cell>
          <cell r="Z181">
            <v>0</v>
          </cell>
          <cell r="AA181">
            <v>0</v>
          </cell>
          <cell r="AB181">
            <v>0</v>
          </cell>
          <cell r="AC181">
            <v>11426.9</v>
          </cell>
          <cell r="AD181">
            <v>9253.7636524648242</v>
          </cell>
          <cell r="AE181" t="e">
            <v>#N/A</v>
          </cell>
          <cell r="AF181" t="e">
            <v>#N/A</v>
          </cell>
          <cell r="AG181" t="e">
            <v>#N/A</v>
          </cell>
          <cell r="AH181">
            <v>144436.9</v>
          </cell>
          <cell r="AI181">
            <v>40147.4</v>
          </cell>
          <cell r="AJ181">
            <v>184584.3</v>
          </cell>
          <cell r="AK181">
            <v>8.3529127029358108E-5</v>
          </cell>
          <cell r="AL181">
            <v>0.183</v>
          </cell>
          <cell r="AM181">
            <v>0</v>
          </cell>
          <cell r="AN181">
            <v>1.0375419617258963E-4</v>
          </cell>
          <cell r="AO181">
            <v>0.23199999999999998</v>
          </cell>
          <cell r="AP181">
            <v>160975.6</v>
          </cell>
          <cell r="AQ181">
            <v>0</v>
          </cell>
          <cell r="AR181">
            <v>11642.2</v>
          </cell>
          <cell r="AS181">
            <v>3294.3</v>
          </cell>
          <cell r="AT181">
            <v>4510.6000000000004</v>
          </cell>
          <cell r="AU181">
            <v>14397.1</v>
          </cell>
          <cell r="AV181">
            <v>41.1</v>
          </cell>
          <cell r="AW181">
            <v>6266.7</v>
          </cell>
          <cell r="AX181">
            <v>40152</v>
          </cell>
          <cell r="AY181" t="e">
            <v>#N/A</v>
          </cell>
          <cell r="AZ181" t="e">
            <v>#N/A</v>
          </cell>
          <cell r="BA181" t="e">
            <v>#N/A</v>
          </cell>
          <cell r="BB181" t="e">
            <v>#N/A</v>
          </cell>
          <cell r="BC181" t="e">
            <v>#N/A</v>
          </cell>
          <cell r="BD181" t="e">
            <v>#N/A</v>
          </cell>
          <cell r="BE181" t="e">
            <v>#N/A</v>
          </cell>
          <cell r="BF181">
            <v>216512.1</v>
          </cell>
        </row>
        <row r="182">
          <cell r="A182" t="str">
            <v>DoD Subtotal</v>
          </cell>
          <cell r="B182" t="b">
            <v>1</v>
          </cell>
          <cell r="C182">
            <v>40878</v>
          </cell>
          <cell r="D182">
            <v>40878</v>
          </cell>
          <cell r="E182">
            <v>178039.6</v>
          </cell>
          <cell r="F182">
            <v>178039.6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 t="str">
            <v/>
          </cell>
          <cell r="M182">
            <v>0</v>
          </cell>
          <cell r="N182">
            <v>0</v>
          </cell>
          <cell r="O182">
            <v>0</v>
          </cell>
          <cell r="P182">
            <v>20636.3</v>
          </cell>
          <cell r="Q182">
            <v>19382.3</v>
          </cell>
          <cell r="R182">
            <v>359529.7</v>
          </cell>
          <cell r="S182">
            <v>577587.9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 t="str">
            <v/>
          </cell>
          <cell r="Z182">
            <v>0</v>
          </cell>
          <cell r="AA182">
            <v>0</v>
          </cell>
          <cell r="AB182">
            <v>0</v>
          </cell>
          <cell r="AC182">
            <v>20636.3</v>
          </cell>
          <cell r="AD182">
            <v>19071.435599724489</v>
          </cell>
          <cell r="AE182" t="e">
            <v>#N/A</v>
          </cell>
          <cell r="AF182" t="e">
            <v>#N/A</v>
          </cell>
          <cell r="AG182" t="e">
            <v>#N/A</v>
          </cell>
          <cell r="AH182">
            <v>338074.9</v>
          </cell>
          <cell r="AI182">
            <v>148477.4</v>
          </cell>
          <cell r="AJ182">
            <v>486552.3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376905.8</v>
          </cell>
          <cell r="AQ182">
            <v>0</v>
          </cell>
          <cell r="AR182">
            <v>-31741</v>
          </cell>
          <cell r="AS182">
            <v>15651.5</v>
          </cell>
          <cell r="AT182">
            <v>54104.5</v>
          </cell>
          <cell r="AU182">
            <v>100306.6</v>
          </cell>
          <cell r="AV182">
            <v>7.6</v>
          </cell>
          <cell r="AW182">
            <v>10148.200000000001</v>
          </cell>
          <cell r="AX182">
            <v>148477.4</v>
          </cell>
          <cell r="AY182" t="e">
            <v>#N/A</v>
          </cell>
          <cell r="AZ182" t="e">
            <v>#N/A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E182" t="e">
            <v>#N/A</v>
          </cell>
          <cell r="BF182">
            <v>577587.9</v>
          </cell>
        </row>
        <row r="183">
          <cell r="A183" t="str">
            <v>Grand Total</v>
          </cell>
          <cell r="B183" t="b">
            <v>1</v>
          </cell>
          <cell r="C183">
            <v>40878</v>
          </cell>
          <cell r="D183">
            <v>40878</v>
          </cell>
          <cell r="E183">
            <v>723635</v>
          </cell>
          <cell r="F183">
            <v>723635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 t="str">
            <v/>
          </cell>
          <cell r="M183">
            <v>0</v>
          </cell>
          <cell r="N183">
            <v>0</v>
          </cell>
          <cell r="O183">
            <v>0</v>
          </cell>
          <cell r="P183">
            <v>73560.5</v>
          </cell>
          <cell r="Q183">
            <v>65553.899999999994</v>
          </cell>
          <cell r="R183">
            <v>754799.8</v>
          </cell>
          <cell r="S183">
            <v>1617549.2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 t="str">
            <v/>
          </cell>
          <cell r="Z183">
            <v>0</v>
          </cell>
          <cell r="AA183">
            <v>0</v>
          </cell>
          <cell r="AB183">
            <v>0</v>
          </cell>
          <cell r="AC183">
            <v>73560.5</v>
          </cell>
          <cell r="AD183">
            <v>64502.509101643212</v>
          </cell>
          <cell r="AE183" t="e">
            <v>#N/A</v>
          </cell>
          <cell r="AF183" t="e">
            <v>#N/A</v>
          </cell>
          <cell r="AG183" t="e">
            <v>#N/A</v>
          </cell>
          <cell r="AH183">
            <v>1094196</v>
          </cell>
          <cell r="AI183">
            <v>236249.2</v>
          </cell>
          <cell r="AJ183">
            <v>1330445.2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1269657.1000000001</v>
          </cell>
          <cell r="AQ183">
            <v>0</v>
          </cell>
          <cell r="AR183">
            <v>-2901.9</v>
          </cell>
          <cell r="AS183">
            <v>24248.400000000001</v>
          </cell>
          <cell r="AT183">
            <v>67531.3</v>
          </cell>
          <cell r="AU183">
            <v>124486.39999999999</v>
          </cell>
          <cell r="AV183">
            <v>1830.4</v>
          </cell>
          <cell r="AW183">
            <v>21059.200000000001</v>
          </cell>
          <cell r="AX183">
            <v>236253.8</v>
          </cell>
          <cell r="AY183" t="e">
            <v>#N/A</v>
          </cell>
          <cell r="AZ183" t="e">
            <v>#N/A</v>
          </cell>
          <cell r="BA183" t="e">
            <v>#N/A</v>
          </cell>
          <cell r="BB183" t="e">
            <v>#N/A</v>
          </cell>
          <cell r="BC183" t="e">
            <v>#N/A</v>
          </cell>
          <cell r="BD183" t="e">
            <v>#N/A</v>
          </cell>
          <cell r="BE183" t="e">
            <v>#N/A</v>
          </cell>
          <cell r="BF183">
            <v>1617549.2</v>
          </cell>
        </row>
      </sheetData>
      <sheetData sheetId="9">
        <row r="2">
          <cell r="A2" t="str">
            <v>Shorthand</v>
          </cell>
          <cell r="B2" t="str">
            <v>Changed Program name in FY2009</v>
          </cell>
          <cell r="C2" t="str">
            <v>PNO</v>
          </cell>
          <cell r="D2" t="str">
            <v>Former PNO</v>
          </cell>
          <cell r="E2" t="str">
            <v>Service Branch</v>
          </cell>
          <cell r="F2" t="str">
            <v>Program type</v>
          </cell>
          <cell r="G2" t="str">
            <v>Prime Contractor comment for uncertain programs</v>
          </cell>
          <cell r="H2" t="str">
            <v>Prime contractor 1</v>
          </cell>
          <cell r="I2" t="str">
            <v>Prime contractor 2</v>
          </cell>
          <cell r="J2" t="str">
            <v>Key contractors according FPDS</v>
          </cell>
          <cell r="K2" t="str">
            <v>Key contractors according to direct sources</v>
          </cell>
          <cell r="M2" t="str">
            <v>Prime contractor 1</v>
          </cell>
          <cell r="N2">
            <v>36861</v>
          </cell>
          <cell r="O2">
            <v>37226</v>
          </cell>
          <cell r="P2">
            <v>37591</v>
          </cell>
          <cell r="Q2">
            <v>37956</v>
          </cell>
          <cell r="R2">
            <v>38322</v>
          </cell>
          <cell r="S2">
            <v>38687</v>
          </cell>
          <cell r="T2">
            <v>39052</v>
          </cell>
          <cell r="U2">
            <v>39417</v>
          </cell>
          <cell r="V2">
            <v>39692</v>
          </cell>
          <cell r="W2">
            <v>40148</v>
          </cell>
          <cell r="X2">
            <v>40513</v>
          </cell>
          <cell r="Y2">
            <v>40878</v>
          </cell>
          <cell r="Z2">
            <v>41244</v>
          </cell>
          <cell r="AA2" t="str">
            <v>Cancelled</v>
          </cell>
          <cell r="AB2" t="str">
            <v>Program name</v>
          </cell>
          <cell r="AC2" t="str">
            <v>Comments</v>
          </cell>
          <cell r="AD2" t="str">
            <v>Dropped</v>
          </cell>
          <cell r="AE2" t="str">
            <v>In Sample</v>
          </cell>
          <cell r="AF2" t="str">
            <v>Latest Included SARs</v>
          </cell>
          <cell r="AG2" t="str">
            <v>Latest Intact SARs</v>
          </cell>
          <cell r="AH2" t="str">
            <v>Base Year</v>
          </cell>
          <cell r="AI2" t="str">
            <v>Baseline Type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  <cell r="P3">
            <v>16</v>
          </cell>
          <cell r="Q3">
            <v>17</v>
          </cell>
          <cell r="R3">
            <v>18</v>
          </cell>
          <cell r="S3">
            <v>19</v>
          </cell>
          <cell r="T3">
            <v>20</v>
          </cell>
          <cell r="U3">
            <v>21</v>
          </cell>
          <cell r="V3">
            <v>22</v>
          </cell>
          <cell r="W3">
            <v>23</v>
          </cell>
          <cell r="X3">
            <v>24</v>
          </cell>
          <cell r="Y3">
            <v>25</v>
          </cell>
          <cell r="Z3">
            <v>26</v>
          </cell>
          <cell r="AA3">
            <v>27</v>
          </cell>
          <cell r="AB3">
            <v>28</v>
          </cell>
          <cell r="AC3">
            <v>29</v>
          </cell>
          <cell r="AD3">
            <v>30</v>
          </cell>
          <cell r="AE3">
            <v>31</v>
          </cell>
          <cell r="AF3">
            <v>32</v>
          </cell>
          <cell r="AG3">
            <v>33</v>
          </cell>
          <cell r="AH3">
            <v>34</v>
          </cell>
          <cell r="AI3">
            <v>35</v>
          </cell>
        </row>
        <row r="4">
          <cell r="A4" t="str">
            <v>AB3 APACHE Block III</v>
          </cell>
          <cell r="C4">
            <v>202</v>
          </cell>
          <cell r="D4" t="str">
            <v>None</v>
          </cell>
          <cell r="E4" t="str">
            <v>Army</v>
          </cell>
          <cell r="F4" t="str">
            <v>Helicopter</v>
          </cell>
          <cell r="H4" t="str">
            <v>Boeing</v>
          </cell>
          <cell r="J4" t="str">
            <v>General Electric</v>
          </cell>
          <cell r="L4" t="str">
            <v>http://www.army-technology.com/projects/apache/</v>
          </cell>
          <cell r="M4" t="str">
            <v>Boeing</v>
          </cell>
          <cell r="N4" t="b">
            <v>0</v>
          </cell>
          <cell r="O4" t="b">
            <v>0</v>
          </cell>
          <cell r="P4" t="b">
            <v>0</v>
          </cell>
          <cell r="Q4" t="b">
            <v>0</v>
          </cell>
          <cell r="R4" t="b">
            <v>0</v>
          </cell>
          <cell r="S4" t="b">
            <v>0</v>
          </cell>
          <cell r="T4" t="b">
            <v>1</v>
          </cell>
          <cell r="U4" t="b">
            <v>1</v>
          </cell>
          <cell r="V4" t="b">
            <v>1</v>
          </cell>
          <cell r="W4" t="b">
            <v>1</v>
          </cell>
          <cell r="X4" t="b">
            <v>0</v>
          </cell>
          <cell r="Y4" t="b">
            <v>0</v>
          </cell>
          <cell r="Z4" t="b">
            <v>0</v>
          </cell>
          <cell r="AD4" t="b">
            <v>0</v>
          </cell>
          <cell r="AE4" t="b">
            <v>0</v>
          </cell>
          <cell r="AF4">
            <v>40148</v>
          </cell>
          <cell r="AG4">
            <v>40148</v>
          </cell>
          <cell r="AH4">
            <v>2006</v>
          </cell>
          <cell r="AI4" t="str">
            <v>DE</v>
          </cell>
        </row>
        <row r="5">
          <cell r="A5" t="str">
            <v>AB3A REMANUFACTURE</v>
          </cell>
          <cell r="H5" t="str">
            <v>Boeing</v>
          </cell>
          <cell r="I5" t="str">
            <v>Northrop Grumman, Lockheed Martin</v>
          </cell>
          <cell r="N5" t="b">
            <v>0</v>
          </cell>
          <cell r="O5" t="b">
            <v>0</v>
          </cell>
          <cell r="P5" t="b">
            <v>0</v>
          </cell>
          <cell r="Q5" t="b">
            <v>0</v>
          </cell>
          <cell r="R5" t="b">
            <v>0</v>
          </cell>
          <cell r="S5" t="b">
            <v>0</v>
          </cell>
          <cell r="T5" t="b">
            <v>0</v>
          </cell>
          <cell r="U5" t="b">
            <v>0</v>
          </cell>
          <cell r="V5" t="b">
            <v>0</v>
          </cell>
          <cell r="W5" t="b">
            <v>0</v>
          </cell>
          <cell r="X5" t="b">
            <v>1</v>
          </cell>
          <cell r="Y5" t="b">
            <v>1</v>
          </cell>
          <cell r="Z5" t="b">
            <v>0</v>
          </cell>
          <cell r="AD5" t="b">
            <v>0</v>
          </cell>
          <cell r="AE5" t="b">
            <v>1</v>
          </cell>
          <cell r="AF5">
            <v>40878</v>
          </cell>
          <cell r="AG5">
            <v>40878</v>
          </cell>
          <cell r="AH5">
            <v>2010</v>
          </cell>
          <cell r="AI5" t="str">
            <v>PdE</v>
          </cell>
        </row>
        <row r="6">
          <cell r="A6" t="str">
            <v>AB3B NEW BUILD</v>
          </cell>
          <cell r="H6" t="str">
            <v>Boeing</v>
          </cell>
          <cell r="I6" t="str">
            <v>Longbow Limited (LBL)</v>
          </cell>
          <cell r="N6" t="b">
            <v>0</v>
          </cell>
          <cell r="O6" t="b">
            <v>0</v>
          </cell>
          <cell r="P6" t="b">
            <v>0</v>
          </cell>
          <cell r="Q6" t="b">
            <v>0</v>
          </cell>
          <cell r="R6" t="b">
            <v>0</v>
          </cell>
          <cell r="S6" t="b">
            <v>0</v>
          </cell>
          <cell r="T6" t="b">
            <v>0</v>
          </cell>
          <cell r="U6" t="b">
            <v>0</v>
          </cell>
          <cell r="V6" t="b">
            <v>0</v>
          </cell>
          <cell r="W6" t="b">
            <v>0</v>
          </cell>
          <cell r="X6" t="b">
            <v>1</v>
          </cell>
          <cell r="Y6" t="b">
            <v>1</v>
          </cell>
          <cell r="Z6" t="b">
            <v>0</v>
          </cell>
          <cell r="AD6" t="b">
            <v>0</v>
          </cell>
          <cell r="AE6" t="b">
            <v>1</v>
          </cell>
          <cell r="AF6">
            <v>40878</v>
          </cell>
          <cell r="AG6">
            <v>40878</v>
          </cell>
          <cell r="AH6">
            <v>2010</v>
          </cell>
          <cell r="AI6" t="str">
            <v>PdE</v>
          </cell>
        </row>
        <row r="7">
          <cell r="A7" t="str">
            <v>ACS</v>
          </cell>
          <cell r="C7">
            <v>371</v>
          </cell>
          <cell r="D7" t="str">
            <v>None</v>
          </cell>
          <cell r="E7" t="str">
            <v>Army</v>
          </cell>
          <cell r="H7" t="str">
            <v>Lockheed Martin</v>
          </cell>
          <cell r="N7" t="b">
            <v>0</v>
          </cell>
          <cell r="O7" t="b">
            <v>0</v>
          </cell>
          <cell r="P7" t="b">
            <v>0</v>
          </cell>
          <cell r="Q7" t="b">
            <v>0</v>
          </cell>
          <cell r="R7" t="b">
            <v>1</v>
          </cell>
          <cell r="S7" t="b">
            <v>1</v>
          </cell>
          <cell r="T7" t="b">
            <v>0</v>
          </cell>
          <cell r="U7" t="b">
            <v>0</v>
          </cell>
          <cell r="V7" t="b">
            <v>0</v>
          </cell>
          <cell r="W7" t="b">
            <v>0</v>
          </cell>
          <cell r="X7" t="b">
            <v>0</v>
          </cell>
          <cell r="Y7" t="b">
            <v>0</v>
          </cell>
          <cell r="Z7" t="b">
            <v>0</v>
          </cell>
          <cell r="AD7" t="b">
            <v>0</v>
          </cell>
          <cell r="AE7" t="b">
            <v>0</v>
          </cell>
          <cell r="AF7">
            <v>38687</v>
          </cell>
          <cell r="AG7">
            <v>38687</v>
          </cell>
          <cell r="AH7">
            <v>2003</v>
          </cell>
          <cell r="AI7" t="str">
            <v>DE</v>
          </cell>
        </row>
        <row r="8">
          <cell r="A8" t="str">
            <v>ADS Increment Alpha</v>
          </cell>
          <cell r="N8" t="b">
            <v>0</v>
          </cell>
          <cell r="O8" t="b">
            <v>0</v>
          </cell>
          <cell r="P8" t="b">
            <v>0</v>
          </cell>
          <cell r="Q8" t="b">
            <v>0</v>
          </cell>
          <cell r="R8" t="b">
            <v>0</v>
          </cell>
          <cell r="S8" t="b">
            <v>0</v>
          </cell>
          <cell r="T8" t="b">
            <v>1</v>
          </cell>
          <cell r="U8" t="b">
            <v>1</v>
          </cell>
          <cell r="V8" t="b">
            <v>0</v>
          </cell>
          <cell r="W8" t="b">
            <v>0</v>
          </cell>
          <cell r="X8" t="b">
            <v>0</v>
          </cell>
          <cell r="Y8" t="b">
            <v>0</v>
          </cell>
          <cell r="Z8" t="b">
            <v>0</v>
          </cell>
          <cell r="AD8" t="b">
            <v>0</v>
          </cell>
          <cell r="AE8" t="b">
            <v>0</v>
          </cell>
          <cell r="AF8">
            <v>39417</v>
          </cell>
          <cell r="AG8">
            <v>39417</v>
          </cell>
          <cell r="AH8">
            <v>2005</v>
          </cell>
          <cell r="AI8" t="str">
            <v>DE</v>
          </cell>
        </row>
        <row r="9">
          <cell r="A9" t="str">
            <v>AEHF</v>
          </cell>
          <cell r="C9">
            <v>261</v>
          </cell>
          <cell r="D9" t="str">
            <v>None</v>
          </cell>
          <cell r="E9" t="str">
            <v>Air Force</v>
          </cell>
          <cell r="H9" t="str">
            <v>Lockheed Martin / TRW Systems (Northrop Grumman)</v>
          </cell>
          <cell r="I9" t="str">
            <v xml:space="preserve">Boeing </v>
          </cell>
          <cell r="J9" t="str">
            <v>Northrop Grumman, SAIC, Raytheon</v>
          </cell>
          <cell r="M9" t="str">
            <v>Lockheed Martin</v>
          </cell>
          <cell r="N9" t="b">
            <v>0</v>
          </cell>
          <cell r="O9" t="b">
            <v>1</v>
          </cell>
          <cell r="P9" t="b">
            <v>1</v>
          </cell>
          <cell r="Q9" t="b">
            <v>1</v>
          </cell>
          <cell r="R9" t="b">
            <v>1</v>
          </cell>
          <cell r="S9" t="b">
            <v>1</v>
          </cell>
          <cell r="T9" t="b">
            <v>1</v>
          </cell>
          <cell r="U9" t="b">
            <v>1</v>
          </cell>
          <cell r="V9" t="b">
            <v>1</v>
          </cell>
          <cell r="W9" t="b">
            <v>1</v>
          </cell>
          <cell r="X9" t="b">
            <v>1</v>
          </cell>
          <cell r="Y9" t="b">
            <v>1</v>
          </cell>
          <cell r="Z9" t="b">
            <v>0</v>
          </cell>
          <cell r="AD9" t="b">
            <v>0</v>
          </cell>
          <cell r="AE9" t="b">
            <v>1</v>
          </cell>
          <cell r="AF9">
            <v>40878</v>
          </cell>
          <cell r="AG9">
            <v>40878</v>
          </cell>
          <cell r="AH9">
            <v>2002</v>
          </cell>
          <cell r="AI9" t="str">
            <v>PdE</v>
          </cell>
        </row>
        <row r="10">
          <cell r="A10" t="str">
            <v>AESA</v>
          </cell>
          <cell r="H10" t="str">
            <v xml:space="preserve">Northrop Grumman </v>
          </cell>
          <cell r="I10" t="str">
            <v>Raytheon</v>
          </cell>
          <cell r="N10" t="b">
            <v>0</v>
          </cell>
          <cell r="O10" t="b">
            <v>1</v>
          </cell>
          <cell r="P10" t="b">
            <v>1</v>
          </cell>
          <cell r="Q10" t="b">
            <v>1</v>
          </cell>
          <cell r="R10" t="b">
            <v>1</v>
          </cell>
          <cell r="S10" t="b">
            <v>1</v>
          </cell>
          <cell r="T10" t="b">
            <v>0</v>
          </cell>
          <cell r="U10" t="b">
            <v>0</v>
          </cell>
          <cell r="V10" t="b">
            <v>0</v>
          </cell>
          <cell r="W10" t="b">
            <v>0</v>
          </cell>
          <cell r="X10" t="b">
            <v>0</v>
          </cell>
          <cell r="Y10" t="b">
            <v>0</v>
          </cell>
          <cell r="Z10" t="b">
            <v>0</v>
          </cell>
          <cell r="AD10" t="b">
            <v>0</v>
          </cell>
          <cell r="AE10" t="b">
            <v>0</v>
          </cell>
          <cell r="AF10">
            <v>38687</v>
          </cell>
          <cell r="AG10">
            <v>38687</v>
          </cell>
          <cell r="AH10">
            <v>2000</v>
          </cell>
          <cell r="AI10" t="str">
            <v>PE</v>
          </cell>
        </row>
        <row r="11">
          <cell r="A11" t="str">
            <v>AGM-88E</v>
          </cell>
          <cell r="C11">
            <v>368</v>
          </cell>
          <cell r="D11" t="str">
            <v>None</v>
          </cell>
          <cell r="E11" t="str">
            <v>Navy</v>
          </cell>
          <cell r="F11" t="str">
            <v>Munitions</v>
          </cell>
          <cell r="H11" t="str">
            <v>Alliant Tech Systems (ATK) Missile Systems  (Raytheon makes AGM-88 HARM)</v>
          </cell>
          <cell r="M11" t="str">
            <v>Raytheon</v>
          </cell>
          <cell r="N11" t="b">
            <v>0</v>
          </cell>
          <cell r="O11" t="b">
            <v>0</v>
          </cell>
          <cell r="P11" t="b">
            <v>0</v>
          </cell>
          <cell r="Q11" t="b">
            <v>1</v>
          </cell>
          <cell r="R11" t="b">
            <v>1</v>
          </cell>
          <cell r="S11" t="b">
            <v>1</v>
          </cell>
          <cell r="T11" t="b">
            <v>1</v>
          </cell>
          <cell r="U11" t="b">
            <v>1</v>
          </cell>
          <cell r="V11" t="b">
            <v>1</v>
          </cell>
          <cell r="W11" t="b">
            <v>1</v>
          </cell>
          <cell r="X11" t="b">
            <v>1</v>
          </cell>
          <cell r="Y11" t="b">
            <v>1</v>
          </cell>
          <cell r="Z11" t="b">
            <v>0</v>
          </cell>
          <cell r="AD11" t="b">
            <v>0</v>
          </cell>
          <cell r="AE11" t="b">
            <v>1</v>
          </cell>
          <cell r="AF11">
            <v>40878</v>
          </cell>
          <cell r="AG11">
            <v>40878</v>
          </cell>
          <cell r="AH11">
            <v>2003</v>
          </cell>
          <cell r="AI11" t="str">
            <v>PdE</v>
          </cell>
        </row>
        <row r="12">
          <cell r="A12" t="str">
            <v>AIM-9X</v>
          </cell>
          <cell r="C12">
            <v>581</v>
          </cell>
          <cell r="D12" t="str">
            <v>None</v>
          </cell>
          <cell r="E12" t="str">
            <v>Navy</v>
          </cell>
          <cell r="F12" t="str">
            <v>Munitions</v>
          </cell>
          <cell r="H12" t="str">
            <v>Raytheon</v>
          </cell>
          <cell r="J12" t="str">
            <v>ATK</v>
          </cell>
          <cell r="M12" t="str">
            <v>Raytheon</v>
          </cell>
          <cell r="N12" t="b">
            <v>0</v>
          </cell>
          <cell r="O12" t="b">
            <v>1</v>
          </cell>
          <cell r="P12" t="b">
            <v>1</v>
          </cell>
          <cell r="Q12" t="b">
            <v>1</v>
          </cell>
          <cell r="R12" t="b">
            <v>1</v>
          </cell>
          <cell r="S12" t="b">
            <v>1</v>
          </cell>
          <cell r="T12" t="b">
            <v>1</v>
          </cell>
          <cell r="U12" t="b">
            <v>1</v>
          </cell>
          <cell r="V12" t="b">
            <v>1</v>
          </cell>
          <cell r="W12" t="b">
            <v>1</v>
          </cell>
          <cell r="X12" t="b">
            <v>1</v>
          </cell>
          <cell r="Y12" t="b">
            <v>0</v>
          </cell>
          <cell r="Z12" t="b">
            <v>0</v>
          </cell>
          <cell r="AD12" t="b">
            <v>0</v>
          </cell>
          <cell r="AE12" t="b">
            <v>0</v>
          </cell>
          <cell r="AF12">
            <v>40513</v>
          </cell>
          <cell r="AG12">
            <v>40513</v>
          </cell>
          <cell r="AH12">
            <v>1997</v>
          </cell>
          <cell r="AI12" t="str">
            <v>PdE</v>
          </cell>
        </row>
        <row r="13">
          <cell r="A13" t="str">
            <v>AIM-9X Block I</v>
          </cell>
          <cell r="N13" t="b">
            <v>0</v>
          </cell>
          <cell r="O13" t="b">
            <v>0</v>
          </cell>
          <cell r="P13" t="b">
            <v>0</v>
          </cell>
          <cell r="Q13" t="b">
            <v>0</v>
          </cell>
          <cell r="R13" t="b">
            <v>0</v>
          </cell>
          <cell r="S13" t="b">
            <v>0</v>
          </cell>
          <cell r="T13" t="b">
            <v>0</v>
          </cell>
          <cell r="U13" t="b">
            <v>0</v>
          </cell>
          <cell r="V13" t="b">
            <v>0</v>
          </cell>
          <cell r="W13" t="b">
            <v>0</v>
          </cell>
          <cell r="X13" t="b">
            <v>0</v>
          </cell>
          <cell r="Y13" t="b">
            <v>1</v>
          </cell>
          <cell r="Z13" t="b">
            <v>0</v>
          </cell>
          <cell r="AD13" t="b">
            <v>1</v>
          </cell>
          <cell r="AE13" t="b">
            <v>1</v>
          </cell>
          <cell r="AF13">
            <v>40878</v>
          </cell>
          <cell r="AG13">
            <v>40878</v>
          </cell>
          <cell r="AH13">
            <v>1997</v>
          </cell>
          <cell r="AI13" t="str">
            <v>PdE</v>
          </cell>
        </row>
        <row r="14">
          <cell r="A14" t="str">
            <v>AMF JTRS</v>
          </cell>
          <cell r="C14">
            <v>380</v>
          </cell>
          <cell r="D14" t="str">
            <v>None</v>
          </cell>
          <cell r="E14" t="str">
            <v>DoD-wide</v>
          </cell>
          <cell r="F14" t="str">
            <v>Electronic</v>
          </cell>
          <cell r="H14" t="str">
            <v>Lockheed Martin</v>
          </cell>
          <cell r="J14" t="str">
            <v>BAE,  General Dynamics, Northrop Grumman, Raytheon, Booz Allen Hamilton, Rockwell Collins</v>
          </cell>
          <cell r="L14" t="str">
            <v>http://www.defenselink.mil/contracts/contract.aspx?contractid=2842, GAO report</v>
          </cell>
          <cell r="M14" t="str">
            <v>Lockheed Martin</v>
          </cell>
          <cell r="N14" t="b">
            <v>0</v>
          </cell>
          <cell r="O14" t="b">
            <v>0</v>
          </cell>
          <cell r="P14" t="b">
            <v>0</v>
          </cell>
          <cell r="Q14" t="b">
            <v>0</v>
          </cell>
          <cell r="R14" t="b">
            <v>0</v>
          </cell>
          <cell r="S14" t="b">
            <v>0</v>
          </cell>
          <cell r="T14" t="b">
            <v>0</v>
          </cell>
          <cell r="U14" t="b">
            <v>0</v>
          </cell>
          <cell r="V14" t="b">
            <v>0</v>
          </cell>
          <cell r="W14" t="b">
            <v>0</v>
          </cell>
          <cell r="X14" t="b">
            <v>1</v>
          </cell>
          <cell r="Y14" t="b">
            <v>1</v>
          </cell>
          <cell r="Z14" t="b">
            <v>0</v>
          </cell>
          <cell r="AD14" t="b">
            <v>0</v>
          </cell>
          <cell r="AE14" t="b">
            <v>1</v>
          </cell>
          <cell r="AF14">
            <v>40878</v>
          </cell>
          <cell r="AG14">
            <v>40878</v>
          </cell>
          <cell r="AH14">
            <v>2008</v>
          </cell>
          <cell r="AI14" t="str">
            <v>DE</v>
          </cell>
        </row>
        <row r="15">
          <cell r="A15" t="str">
            <v>AMRAAM</v>
          </cell>
          <cell r="C15">
            <v>185</v>
          </cell>
          <cell r="D15" t="str">
            <v>None</v>
          </cell>
          <cell r="E15" t="str">
            <v>Air Force</v>
          </cell>
          <cell r="F15" t="str">
            <v>Munitions</v>
          </cell>
          <cell r="H15" t="str">
            <v>Raytheon</v>
          </cell>
          <cell r="J15" t="str">
            <v>Boeing, L-3</v>
          </cell>
          <cell r="M15" t="str">
            <v>Raytheon</v>
          </cell>
          <cell r="N15" t="b">
            <v>0</v>
          </cell>
          <cell r="O15" t="b">
            <v>1</v>
          </cell>
          <cell r="P15" t="b">
            <v>1</v>
          </cell>
          <cell r="Q15" t="b">
            <v>1</v>
          </cell>
          <cell r="R15" t="b">
            <v>1</v>
          </cell>
          <cell r="S15" t="b">
            <v>1</v>
          </cell>
          <cell r="T15" t="b">
            <v>1</v>
          </cell>
          <cell r="U15" t="b">
            <v>1</v>
          </cell>
          <cell r="V15" t="b">
            <v>1</v>
          </cell>
          <cell r="W15" t="b">
            <v>1</v>
          </cell>
          <cell r="X15" t="b">
            <v>1</v>
          </cell>
          <cell r="Y15" t="b">
            <v>1</v>
          </cell>
          <cell r="Z15" t="b">
            <v>0</v>
          </cell>
          <cell r="AD15" t="b">
            <v>0</v>
          </cell>
          <cell r="AE15" t="b">
            <v>1</v>
          </cell>
          <cell r="AF15">
            <v>40878</v>
          </cell>
          <cell r="AG15">
            <v>40878</v>
          </cell>
          <cell r="AH15">
            <v>1992</v>
          </cell>
          <cell r="AI15" t="str">
            <v>PdE</v>
          </cell>
        </row>
        <row r="16">
          <cell r="A16" t="str">
            <v>ARH</v>
          </cell>
          <cell r="C16">
            <v>179</v>
          </cell>
          <cell r="D16" t="str">
            <v>None</v>
          </cell>
          <cell r="E16" t="str">
            <v>Army</v>
          </cell>
          <cell r="F16" t="str">
            <v>Helicopter</v>
          </cell>
          <cell r="H16" t="str">
            <v>Bell Helicopter (Textron)</v>
          </cell>
          <cell r="J16" t="str">
            <v>Rockwell Collins</v>
          </cell>
          <cell r="L16" t="str">
            <v xml:space="preserve">http://www.defensenews.com/story.php?i=3775612&amp;c=AME&amp;s=AIR </v>
          </cell>
          <cell r="M16" t="str">
            <v xml:space="preserve">Bell Helicopter (Textron) </v>
          </cell>
          <cell r="N16" t="b">
            <v>0</v>
          </cell>
          <cell r="O16" t="b">
            <v>0</v>
          </cell>
          <cell r="P16" t="b">
            <v>0</v>
          </cell>
          <cell r="Q16" t="b">
            <v>0</v>
          </cell>
          <cell r="R16" t="b">
            <v>0</v>
          </cell>
          <cell r="S16" t="b">
            <v>1</v>
          </cell>
          <cell r="T16" t="b">
            <v>1</v>
          </cell>
          <cell r="U16" t="b">
            <v>1</v>
          </cell>
          <cell r="V16" t="b">
            <v>1</v>
          </cell>
          <cell r="W16" t="b">
            <v>0</v>
          </cell>
          <cell r="X16" t="b">
            <v>0</v>
          </cell>
          <cell r="Y16" t="b">
            <v>0</v>
          </cell>
          <cell r="Z16" t="b">
            <v>0</v>
          </cell>
          <cell r="AD16" t="b">
            <v>0</v>
          </cell>
          <cell r="AE16" t="b">
            <v>0</v>
          </cell>
          <cell r="AF16">
            <v>39692</v>
          </cell>
          <cell r="AG16">
            <v>39692</v>
          </cell>
          <cell r="AH16">
            <v>2005</v>
          </cell>
          <cell r="AI16" t="str">
            <v>DE</v>
          </cell>
        </row>
        <row r="17">
          <cell r="A17" t="str">
            <v>ASDS</v>
          </cell>
          <cell r="C17" t="str">
            <v>None</v>
          </cell>
          <cell r="D17" t="str">
            <v>None</v>
          </cell>
          <cell r="E17" t="str">
            <v>Army</v>
          </cell>
          <cell r="H17" t="str">
            <v>Northrop Grumman</v>
          </cell>
          <cell r="N17" t="b">
            <v>0</v>
          </cell>
          <cell r="O17" t="b">
            <v>0</v>
          </cell>
          <cell r="P17" t="b">
            <v>0</v>
          </cell>
          <cell r="Q17" t="b">
            <v>1</v>
          </cell>
          <cell r="R17" t="b">
            <v>1</v>
          </cell>
          <cell r="S17" t="b">
            <v>1</v>
          </cell>
          <cell r="T17" t="b">
            <v>0</v>
          </cell>
          <cell r="U17" t="b">
            <v>0</v>
          </cell>
          <cell r="V17" t="b">
            <v>0</v>
          </cell>
          <cell r="W17" t="b">
            <v>0</v>
          </cell>
          <cell r="X17" t="b">
            <v>0</v>
          </cell>
          <cell r="Y17" t="b">
            <v>0</v>
          </cell>
          <cell r="Z17" t="b">
            <v>0</v>
          </cell>
          <cell r="AD17" t="b">
            <v>0</v>
          </cell>
          <cell r="AE17" t="b">
            <v>0</v>
          </cell>
          <cell r="AF17">
            <v>38687</v>
          </cell>
          <cell r="AG17">
            <v>38687</v>
          </cell>
          <cell r="AH17">
            <v>2003</v>
          </cell>
          <cell r="AI17" t="str">
            <v>DE</v>
          </cell>
        </row>
        <row r="18">
          <cell r="A18" t="str">
            <v>ASIP</v>
          </cell>
          <cell r="C18">
            <v>375</v>
          </cell>
          <cell r="D18" t="str">
            <v>None</v>
          </cell>
          <cell r="E18" t="str">
            <v>Air Force</v>
          </cell>
          <cell r="H18" t="str">
            <v xml:space="preserve">Northrop Grumman, Lockheed, L-3 Communications, Raytheon </v>
          </cell>
          <cell r="K18" t="str">
            <v>Lockheed Martin, L-3, Raytheon</v>
          </cell>
          <cell r="L18" t="str">
            <v>http://www.irconnect.com/noc/press/pages/news_releases.html?d=111244</v>
          </cell>
          <cell r="M18" t="str">
            <v>Northrop Grumman</v>
          </cell>
          <cell r="N18" t="b">
            <v>0</v>
          </cell>
          <cell r="O18" t="b">
            <v>0</v>
          </cell>
          <cell r="P18" t="b">
            <v>0</v>
          </cell>
          <cell r="Q18" t="b">
            <v>0</v>
          </cell>
          <cell r="R18" t="b">
            <v>0</v>
          </cell>
          <cell r="S18" t="b">
            <v>0</v>
          </cell>
          <cell r="T18" t="b">
            <v>0</v>
          </cell>
          <cell r="U18" t="b">
            <v>0</v>
          </cell>
          <cell r="V18" t="b">
            <v>0</v>
          </cell>
          <cell r="W18" t="b">
            <v>0</v>
          </cell>
          <cell r="X18" t="b">
            <v>1</v>
          </cell>
          <cell r="Y18" t="b">
            <v>0</v>
          </cell>
          <cell r="Z18" t="b">
            <v>0</v>
          </cell>
          <cell r="AD18" t="b">
            <v>0</v>
          </cell>
          <cell r="AE18" t="b">
            <v>0</v>
          </cell>
          <cell r="AF18">
            <v>40513</v>
          </cell>
          <cell r="AG18">
            <v>40513</v>
          </cell>
          <cell r="AH18">
            <v>2010</v>
          </cell>
          <cell r="AI18" t="str">
            <v>DE</v>
          </cell>
        </row>
        <row r="19">
          <cell r="A19" t="str">
            <v>ATACMS-BAT</v>
          </cell>
          <cell r="N19" t="b">
            <v>0</v>
          </cell>
          <cell r="O19" t="b">
            <v>1</v>
          </cell>
          <cell r="P19" t="b">
            <v>1</v>
          </cell>
          <cell r="Q19" t="b">
            <v>0</v>
          </cell>
          <cell r="R19" t="b">
            <v>0</v>
          </cell>
          <cell r="S19" t="b">
            <v>0</v>
          </cell>
          <cell r="T19" t="b">
            <v>0</v>
          </cell>
          <cell r="U19" t="b">
            <v>0</v>
          </cell>
          <cell r="V19" t="b">
            <v>0</v>
          </cell>
          <cell r="W19" t="b">
            <v>0</v>
          </cell>
          <cell r="X19" t="b">
            <v>0</v>
          </cell>
          <cell r="Y19" t="b">
            <v>0</v>
          </cell>
          <cell r="Z19" t="b">
            <v>0</v>
          </cell>
          <cell r="AD19" t="b">
            <v>0</v>
          </cell>
          <cell r="AE19" t="b">
            <v>0</v>
          </cell>
          <cell r="AF19">
            <v>37591</v>
          </cell>
          <cell r="AG19">
            <v>37591</v>
          </cell>
          <cell r="AH19">
            <v>1991</v>
          </cell>
          <cell r="AI19" t="str">
            <v>DE</v>
          </cell>
        </row>
        <row r="20">
          <cell r="A20" t="str">
            <v>ATIRCM/CMWS</v>
          </cell>
          <cell r="C20">
            <v>219</v>
          </cell>
          <cell r="D20" t="str">
            <v>None</v>
          </cell>
          <cell r="E20" t="str">
            <v>Army</v>
          </cell>
          <cell r="F20" t="str">
            <v>Electronic</v>
          </cell>
          <cell r="H20" t="str">
            <v xml:space="preserve">BAE Systems (North America) </v>
          </cell>
          <cell r="J20" t="str">
            <v>Lockheed Martin, Northrop Grumman, BAE, Boeing</v>
          </cell>
          <cell r="M20" t="str">
            <v>BAE</v>
          </cell>
          <cell r="N20" t="b">
            <v>0</v>
          </cell>
          <cell r="O20" t="b">
            <v>1</v>
          </cell>
          <cell r="P20" t="b">
            <v>1</v>
          </cell>
          <cell r="Q20" t="b">
            <v>1</v>
          </cell>
          <cell r="R20" t="b">
            <v>1</v>
          </cell>
          <cell r="S20" t="b">
            <v>1</v>
          </cell>
          <cell r="T20" t="b">
            <v>1</v>
          </cell>
          <cell r="U20" t="b">
            <v>1</v>
          </cell>
          <cell r="V20" t="b">
            <v>1</v>
          </cell>
          <cell r="W20" t="b">
            <v>0</v>
          </cell>
          <cell r="X20" t="b">
            <v>0</v>
          </cell>
          <cell r="Y20" t="b">
            <v>0</v>
          </cell>
          <cell r="Z20" t="b">
            <v>0</v>
          </cell>
          <cell r="AD20" t="b">
            <v>0</v>
          </cell>
          <cell r="AE20" t="b">
            <v>0</v>
          </cell>
          <cell r="AF20">
            <v>39692</v>
          </cell>
          <cell r="AG20">
            <v>39692</v>
          </cell>
          <cell r="AH20">
            <v>2003</v>
          </cell>
          <cell r="AI20" t="str">
            <v>PdE</v>
          </cell>
        </row>
        <row r="21">
          <cell r="A21" t="str">
            <v>ATIRCM/CMWS SPLIT</v>
          </cell>
          <cell r="N21" t="b">
            <v>0</v>
          </cell>
          <cell r="O21" t="b">
            <v>0</v>
          </cell>
          <cell r="P21" t="b">
            <v>0</v>
          </cell>
          <cell r="Q21" t="b">
            <v>0</v>
          </cell>
          <cell r="R21" t="b">
            <v>0</v>
          </cell>
          <cell r="S21" t="b">
            <v>0</v>
          </cell>
          <cell r="T21" t="b">
            <v>0</v>
          </cell>
          <cell r="U21" t="b">
            <v>0</v>
          </cell>
          <cell r="V21" t="b">
            <v>0</v>
          </cell>
          <cell r="W21" t="b">
            <v>1</v>
          </cell>
          <cell r="X21" t="b">
            <v>1</v>
          </cell>
          <cell r="Y21" t="b">
            <v>0</v>
          </cell>
          <cell r="Z21" t="b">
            <v>0</v>
          </cell>
          <cell r="AD21" t="b">
            <v>0</v>
          </cell>
          <cell r="AE21" t="b">
            <v>0</v>
          </cell>
          <cell r="AF21">
            <v>40513</v>
          </cell>
          <cell r="AG21">
            <v>40513</v>
          </cell>
          <cell r="AH21">
            <v>2003</v>
          </cell>
          <cell r="AI21" t="str">
            <v>PdE/DE</v>
          </cell>
        </row>
        <row r="22">
          <cell r="A22" t="str">
            <v>ATIRCM/CMWS SPLIT</v>
          </cell>
          <cell r="N22" t="b">
            <v>0</v>
          </cell>
          <cell r="O22" t="b">
            <v>0</v>
          </cell>
          <cell r="P22" t="b">
            <v>0</v>
          </cell>
          <cell r="Q22" t="b">
            <v>0</v>
          </cell>
          <cell r="R22" t="b">
            <v>0</v>
          </cell>
          <cell r="S22" t="b">
            <v>0</v>
          </cell>
          <cell r="T22" t="b">
            <v>0</v>
          </cell>
          <cell r="U22" t="b">
            <v>0</v>
          </cell>
          <cell r="V22" t="b">
            <v>0</v>
          </cell>
          <cell r="W22" t="b">
            <v>1</v>
          </cell>
          <cell r="X22" t="b">
            <v>1</v>
          </cell>
          <cell r="Y22" t="b">
            <v>0</v>
          </cell>
          <cell r="Z22" t="b">
            <v>0</v>
          </cell>
          <cell r="AD22" t="b">
            <v>0</v>
          </cell>
          <cell r="AE22" t="b">
            <v>0</v>
          </cell>
          <cell r="AF22">
            <v>40513</v>
          </cell>
          <cell r="AG22">
            <v>40513</v>
          </cell>
          <cell r="AH22">
            <v>2003</v>
          </cell>
          <cell r="AI22" t="str">
            <v>PdE/DE</v>
          </cell>
        </row>
        <row r="23">
          <cell r="A23" t="str">
            <v>AV-8B REMANUFACTURE</v>
          </cell>
          <cell r="N23" t="b">
            <v>0</v>
          </cell>
          <cell r="O23" t="b">
            <v>1</v>
          </cell>
          <cell r="P23" t="b">
            <v>1</v>
          </cell>
          <cell r="Q23" t="b">
            <v>0</v>
          </cell>
          <cell r="R23" t="b">
            <v>0</v>
          </cell>
          <cell r="S23" t="b">
            <v>0</v>
          </cell>
          <cell r="T23" t="b">
            <v>0</v>
          </cell>
          <cell r="U23" t="b">
            <v>0</v>
          </cell>
          <cell r="V23" t="b">
            <v>0</v>
          </cell>
          <cell r="W23" t="b">
            <v>0</v>
          </cell>
          <cell r="X23" t="b">
            <v>0</v>
          </cell>
          <cell r="Y23" t="b">
            <v>0</v>
          </cell>
          <cell r="Z23" t="b">
            <v>0</v>
          </cell>
          <cell r="AD23" t="b">
            <v>0</v>
          </cell>
          <cell r="AE23" t="b">
            <v>0</v>
          </cell>
          <cell r="AF23">
            <v>37591</v>
          </cell>
          <cell r="AG23">
            <v>37591</v>
          </cell>
          <cell r="AH23">
            <v>1994</v>
          </cell>
          <cell r="AI23" t="str">
            <v>PdE</v>
          </cell>
        </row>
        <row r="24">
          <cell r="A24" t="str">
            <v>AWACS Upgrade</v>
          </cell>
          <cell r="C24">
            <v>277</v>
          </cell>
          <cell r="D24" t="str">
            <v>None</v>
          </cell>
          <cell r="F24" t="str">
            <v>Electronic</v>
          </cell>
          <cell r="H24" t="str">
            <v>Boeing</v>
          </cell>
          <cell r="J24" t="str">
            <v>Northrop Grumman, BAE, DRS, Raytheon, L-3</v>
          </cell>
          <cell r="M24" t="str">
            <v>Boeing</v>
          </cell>
          <cell r="N24" t="b">
            <v>0</v>
          </cell>
          <cell r="O24" t="b">
            <v>1</v>
          </cell>
          <cell r="P24" t="b">
            <v>1</v>
          </cell>
          <cell r="Q24" t="b">
            <v>1</v>
          </cell>
          <cell r="R24" t="b">
            <v>0</v>
          </cell>
          <cell r="S24" t="b">
            <v>0</v>
          </cell>
          <cell r="T24" t="b">
            <v>0</v>
          </cell>
          <cell r="U24" t="b">
            <v>0</v>
          </cell>
          <cell r="V24" t="b">
            <v>0</v>
          </cell>
          <cell r="W24" t="b">
            <v>0</v>
          </cell>
          <cell r="X24" t="b">
            <v>0</v>
          </cell>
          <cell r="Y24" t="b">
            <v>0</v>
          </cell>
          <cell r="Z24" t="b">
            <v>0</v>
          </cell>
          <cell r="AD24" t="b">
            <v>0</v>
          </cell>
          <cell r="AE24" t="b">
            <v>0</v>
          </cell>
          <cell r="AF24">
            <v>37956</v>
          </cell>
          <cell r="AG24">
            <v>37956</v>
          </cell>
          <cell r="AH24">
            <v>1997</v>
          </cell>
          <cell r="AI24" t="str">
            <v>PdE</v>
          </cell>
        </row>
        <row r="25">
          <cell r="A25" t="str">
            <v>B-1B CMUP</v>
          </cell>
          <cell r="H25" t="str">
            <v xml:space="preserve">Boeing </v>
          </cell>
          <cell r="N25" t="b">
            <v>0</v>
          </cell>
          <cell r="O25" t="b">
            <v>0</v>
          </cell>
          <cell r="P25" t="b">
            <v>1</v>
          </cell>
          <cell r="Q25" t="b">
            <v>1</v>
          </cell>
          <cell r="R25" t="b">
            <v>1</v>
          </cell>
          <cell r="S25" t="b">
            <v>0</v>
          </cell>
          <cell r="T25" t="b">
            <v>0</v>
          </cell>
          <cell r="U25" t="b">
            <v>0</v>
          </cell>
          <cell r="V25" t="b">
            <v>0</v>
          </cell>
          <cell r="W25" t="b">
            <v>0</v>
          </cell>
          <cell r="X25" t="b">
            <v>0</v>
          </cell>
          <cell r="Y25" t="b">
            <v>0</v>
          </cell>
          <cell r="Z25" t="b">
            <v>0</v>
          </cell>
          <cell r="AD25" t="b">
            <v>0</v>
          </cell>
          <cell r="AE25" t="b">
            <v>0</v>
          </cell>
          <cell r="AF25">
            <v>38322</v>
          </cell>
          <cell r="AG25">
            <v>38322</v>
          </cell>
          <cell r="AH25">
            <v>2003</v>
          </cell>
          <cell r="AI25" t="str">
            <v>PdE</v>
          </cell>
        </row>
        <row r="26">
          <cell r="A26" t="str">
            <v>B-2 EHF Increment I</v>
          </cell>
          <cell r="C26">
            <v>224</v>
          </cell>
          <cell r="D26" t="str">
            <v>None</v>
          </cell>
          <cell r="E26" t="str">
            <v>Air Force</v>
          </cell>
          <cell r="F26" t="str">
            <v>Fixed Wing</v>
          </cell>
          <cell r="H26" t="str">
            <v>Northrop Grumman</v>
          </cell>
          <cell r="J26" t="str">
            <v>Canadian Commerical Corporation, Boeing, Lockheed Martin, Hamilton Sundstrand, Honeywell</v>
          </cell>
          <cell r="M26" t="str">
            <v>Northrop Grumman</v>
          </cell>
          <cell r="N26" t="b">
            <v>0</v>
          </cell>
          <cell r="O26" t="b">
            <v>0</v>
          </cell>
          <cell r="P26" t="b">
            <v>0</v>
          </cell>
          <cell r="Q26" t="b">
            <v>0</v>
          </cell>
          <cell r="R26" t="b">
            <v>0</v>
          </cell>
          <cell r="S26" t="b">
            <v>0</v>
          </cell>
          <cell r="T26" t="b">
            <v>0</v>
          </cell>
          <cell r="U26" t="b">
            <v>1</v>
          </cell>
          <cell r="V26" t="b">
            <v>1</v>
          </cell>
          <cell r="W26" t="b">
            <v>1</v>
          </cell>
          <cell r="X26" t="b">
            <v>1</v>
          </cell>
          <cell r="Y26" t="b">
            <v>1</v>
          </cell>
          <cell r="Z26" t="b">
            <v>0</v>
          </cell>
          <cell r="AD26" t="b">
            <v>0</v>
          </cell>
          <cell r="AE26" t="b">
            <v>1</v>
          </cell>
          <cell r="AF26">
            <v>40878</v>
          </cell>
          <cell r="AG26">
            <v>40878</v>
          </cell>
          <cell r="AH26">
            <v>2007</v>
          </cell>
          <cell r="AI26" t="str">
            <v>DE</v>
          </cell>
        </row>
        <row r="27">
          <cell r="A27" t="str">
            <v>B-2 RMP</v>
          </cell>
          <cell r="C27">
            <v>376</v>
          </cell>
          <cell r="D27" t="str">
            <v>None</v>
          </cell>
          <cell r="E27" t="str">
            <v>Air Force</v>
          </cell>
          <cell r="F27" t="str">
            <v>Fixed Wing</v>
          </cell>
          <cell r="H27" t="str">
            <v>Northrop Grumman</v>
          </cell>
          <cell r="J27" t="str">
            <v>Lockheed Martin, Honeywell</v>
          </cell>
          <cell r="M27" t="str">
            <v>Northrop Grumman</v>
          </cell>
          <cell r="N27" t="b">
            <v>0</v>
          </cell>
          <cell r="O27" t="b">
            <v>0</v>
          </cell>
          <cell r="P27" t="b">
            <v>0</v>
          </cell>
          <cell r="Q27" t="b">
            <v>0</v>
          </cell>
          <cell r="R27" t="b">
            <v>1</v>
          </cell>
          <cell r="S27" t="b">
            <v>1</v>
          </cell>
          <cell r="T27" t="b">
            <v>1</v>
          </cell>
          <cell r="U27" t="b">
            <v>1</v>
          </cell>
          <cell r="V27" t="b">
            <v>1</v>
          </cell>
          <cell r="W27" t="b">
            <v>1</v>
          </cell>
          <cell r="X27" t="b">
            <v>1</v>
          </cell>
          <cell r="Y27" t="b">
            <v>0</v>
          </cell>
          <cell r="Z27" t="b">
            <v>0</v>
          </cell>
          <cell r="AD27" t="b">
            <v>0</v>
          </cell>
          <cell r="AE27" t="b">
            <v>0</v>
          </cell>
          <cell r="AF27">
            <v>40513</v>
          </cell>
          <cell r="AG27">
            <v>40513</v>
          </cell>
          <cell r="AH27">
            <v>2008</v>
          </cell>
          <cell r="AI27" t="str">
            <v>PdE</v>
          </cell>
        </row>
        <row r="28">
          <cell r="A28" t="str">
            <v>BAMS</v>
          </cell>
          <cell r="C28">
            <v>373</v>
          </cell>
          <cell r="D28" t="str">
            <v>None</v>
          </cell>
          <cell r="E28" t="str">
            <v>Navy</v>
          </cell>
          <cell r="H28" t="str">
            <v>Northrop Grumman</v>
          </cell>
          <cell r="J28" t="str">
            <v>Teledyne</v>
          </cell>
          <cell r="M28" t="str">
            <v>Northrop Grumman</v>
          </cell>
          <cell r="N28" t="b">
            <v>0</v>
          </cell>
          <cell r="O28" t="b">
            <v>0</v>
          </cell>
          <cell r="P28" t="b">
            <v>0</v>
          </cell>
          <cell r="Q28" t="b">
            <v>0</v>
          </cell>
          <cell r="R28" t="b">
            <v>0</v>
          </cell>
          <cell r="S28" t="b">
            <v>0</v>
          </cell>
          <cell r="T28" t="b">
            <v>0</v>
          </cell>
          <cell r="U28" t="b">
            <v>0</v>
          </cell>
          <cell r="V28" t="b">
            <v>0</v>
          </cell>
          <cell r="W28" t="b">
            <v>0</v>
          </cell>
          <cell r="X28" t="b">
            <v>1</v>
          </cell>
          <cell r="Y28" t="b">
            <v>1</v>
          </cell>
          <cell r="Z28" t="b">
            <v>0</v>
          </cell>
          <cell r="AD28" t="b">
            <v>0</v>
          </cell>
          <cell r="AE28" t="b">
            <v>1</v>
          </cell>
          <cell r="AF28">
            <v>40878</v>
          </cell>
          <cell r="AG28">
            <v>40878</v>
          </cell>
          <cell r="AH28">
            <v>2008</v>
          </cell>
          <cell r="AI28" t="str">
            <v>DE</v>
          </cell>
        </row>
        <row r="29">
          <cell r="A29" t="str">
            <v>BMDS</v>
          </cell>
          <cell r="C29">
            <v>362</v>
          </cell>
          <cell r="D29" t="str">
            <v>None</v>
          </cell>
          <cell r="E29" t="str">
            <v>DoD-wide</v>
          </cell>
          <cell r="H29" t="str">
            <v>Boeing, Lockheed Martin, Northrop Grumman, Raytheon, TRW Systems (Northrop Grumman)</v>
          </cell>
          <cell r="J29" t="str">
            <v>General Dynamics, Textron,  BAE</v>
          </cell>
          <cell r="M29" t="str">
            <v>Boeing, Lockheed Martin, Northrop Grumman, Raytheon</v>
          </cell>
          <cell r="N29" t="b">
            <v>0</v>
          </cell>
          <cell r="O29" t="b">
            <v>0</v>
          </cell>
          <cell r="P29" t="b">
            <v>0</v>
          </cell>
          <cell r="Q29" t="b">
            <v>0</v>
          </cell>
          <cell r="R29" t="b">
            <v>0</v>
          </cell>
          <cell r="S29" t="b">
            <v>1</v>
          </cell>
          <cell r="T29" t="b">
            <v>1</v>
          </cell>
          <cell r="U29" t="b">
            <v>1</v>
          </cell>
          <cell r="V29" t="b">
            <v>1</v>
          </cell>
          <cell r="W29" t="b">
            <v>1</v>
          </cell>
          <cell r="X29" t="b">
            <v>1</v>
          </cell>
          <cell r="Y29" t="b">
            <v>1</v>
          </cell>
          <cell r="Z29" t="b">
            <v>0</v>
          </cell>
          <cell r="AD29" t="b">
            <v>0</v>
          </cell>
          <cell r="AE29" t="b">
            <v>1</v>
          </cell>
          <cell r="AF29">
            <v>40878</v>
          </cell>
          <cell r="AG29">
            <v>40878</v>
          </cell>
          <cell r="AH29">
            <v>2002</v>
          </cell>
          <cell r="AI29" t="str">
            <v>PE</v>
          </cell>
        </row>
        <row r="30">
          <cell r="A30" t="str">
            <v>BDMS (RDT&amp;E)</v>
          </cell>
          <cell r="N30" t="b">
            <v>0</v>
          </cell>
          <cell r="O30" t="b">
            <v>0</v>
          </cell>
          <cell r="P30" t="b">
            <v>0</v>
          </cell>
          <cell r="Q30" t="b">
            <v>1</v>
          </cell>
          <cell r="R30" t="b">
            <v>1</v>
          </cell>
          <cell r="S30" t="b">
            <v>0</v>
          </cell>
          <cell r="T30" t="b">
            <v>0</v>
          </cell>
          <cell r="U30" t="b">
            <v>0</v>
          </cell>
          <cell r="V30" t="b">
            <v>0</v>
          </cell>
          <cell r="W30" t="b">
            <v>0</v>
          </cell>
          <cell r="X30" t="b">
            <v>0</v>
          </cell>
          <cell r="Y30" t="b">
            <v>0</v>
          </cell>
          <cell r="Z30" t="b">
            <v>0</v>
          </cell>
          <cell r="AD30" t="b">
            <v>0</v>
          </cell>
          <cell r="AE30" t="b">
            <v>0</v>
          </cell>
          <cell r="AF30">
            <v>38322</v>
          </cell>
          <cell r="AG30">
            <v>38322</v>
          </cell>
          <cell r="AH30">
            <v>2002</v>
          </cell>
          <cell r="AI30" t="str">
            <v>PE</v>
          </cell>
        </row>
        <row r="31">
          <cell r="A31" t="str">
            <v>BRADLEY UPGRADE</v>
          </cell>
          <cell r="C31">
            <v>601</v>
          </cell>
          <cell r="D31" t="str">
            <v>None</v>
          </cell>
          <cell r="E31" t="str">
            <v>Army</v>
          </cell>
          <cell r="F31" t="str">
            <v>AFV</v>
          </cell>
          <cell r="H31" t="str">
            <v>BAE</v>
          </cell>
          <cell r="J31" t="str">
            <v>DRS, Raytheon</v>
          </cell>
          <cell r="M31" t="str">
            <v>BAE</v>
          </cell>
          <cell r="N31" t="b">
            <v>0</v>
          </cell>
          <cell r="O31" t="b">
            <v>1</v>
          </cell>
          <cell r="P31" t="b">
            <v>1</v>
          </cell>
          <cell r="Q31" t="b">
            <v>1</v>
          </cell>
          <cell r="R31" t="b">
            <v>1</v>
          </cell>
          <cell r="S31" t="b">
            <v>1</v>
          </cell>
          <cell r="T31" t="b">
            <v>1</v>
          </cell>
          <cell r="U31" t="b">
            <v>1</v>
          </cell>
          <cell r="V31" t="b">
            <v>1</v>
          </cell>
          <cell r="W31" t="b">
            <v>1</v>
          </cell>
          <cell r="X31" t="b">
            <v>0</v>
          </cell>
          <cell r="Y31" t="b">
            <v>0</v>
          </cell>
          <cell r="Z31" t="b">
            <v>0</v>
          </cell>
          <cell r="AD31" t="b">
            <v>0</v>
          </cell>
          <cell r="AE31" t="b">
            <v>0</v>
          </cell>
          <cell r="AF31">
            <v>40148</v>
          </cell>
          <cell r="AG31">
            <v>40148</v>
          </cell>
          <cell r="AH31">
            <v>2001</v>
          </cell>
          <cell r="AI31" t="str">
            <v>PdE</v>
          </cell>
        </row>
        <row r="32">
          <cell r="A32" t="str">
            <v>C-130AMP</v>
          </cell>
          <cell r="C32">
            <v>298</v>
          </cell>
          <cell r="D32" t="str">
            <v>None</v>
          </cell>
          <cell r="E32" t="str">
            <v>Air Force</v>
          </cell>
          <cell r="F32" t="str">
            <v>Fixed Wing</v>
          </cell>
          <cell r="H32" t="str">
            <v>Boeing</v>
          </cell>
          <cell r="J32" t="str">
            <v>BAE, L-3, Lockheed Martin, Honeywell, Hamilton Sunstrand (UTC), General Electric</v>
          </cell>
          <cell r="M32" t="str">
            <v>Boeing</v>
          </cell>
          <cell r="N32" t="b">
            <v>0</v>
          </cell>
          <cell r="O32" t="b">
            <v>0</v>
          </cell>
          <cell r="P32" t="b">
            <v>1</v>
          </cell>
          <cell r="Q32" t="b">
            <v>1</v>
          </cell>
          <cell r="R32" t="b">
            <v>1</v>
          </cell>
          <cell r="S32" t="b">
            <v>1</v>
          </cell>
          <cell r="T32" t="b">
            <v>1</v>
          </cell>
          <cell r="U32" t="b">
            <v>1</v>
          </cell>
          <cell r="V32" t="b">
            <v>1</v>
          </cell>
          <cell r="W32" t="b">
            <v>1</v>
          </cell>
          <cell r="X32" t="b">
            <v>1</v>
          </cell>
          <cell r="Y32" t="b">
            <v>1</v>
          </cell>
          <cell r="Z32" t="b">
            <v>0</v>
          </cell>
          <cell r="AD32" t="b">
            <v>0</v>
          </cell>
          <cell r="AE32" t="b">
            <v>1</v>
          </cell>
          <cell r="AF32">
            <v>40878</v>
          </cell>
          <cell r="AG32">
            <v>40878</v>
          </cell>
          <cell r="AH32">
            <v>2010</v>
          </cell>
          <cell r="AI32" t="str">
            <v>PdE</v>
          </cell>
        </row>
        <row r="33">
          <cell r="A33" t="str">
            <v>C-130J</v>
          </cell>
          <cell r="C33">
            <v>220</v>
          </cell>
          <cell r="D33" t="str">
            <v>None</v>
          </cell>
          <cell r="E33" t="str">
            <v>Air Force</v>
          </cell>
          <cell r="F33" t="str">
            <v>Fixed Wing</v>
          </cell>
          <cell r="H33" t="str">
            <v>Lockheed Martin</v>
          </cell>
          <cell r="J33" t="str">
            <v>Rolls-Royce, General Electric, Honeywell, BAE, SAIC, Boeing</v>
          </cell>
          <cell r="M33" t="str">
            <v>Lockheed Martin</v>
          </cell>
          <cell r="N33" t="b">
            <v>0</v>
          </cell>
          <cell r="O33" t="b">
            <v>1</v>
          </cell>
          <cell r="P33" t="b">
            <v>1</v>
          </cell>
          <cell r="Q33" t="b">
            <v>1</v>
          </cell>
          <cell r="R33" t="b">
            <v>1</v>
          </cell>
          <cell r="S33" t="b">
            <v>1</v>
          </cell>
          <cell r="T33" t="b">
            <v>1</v>
          </cell>
          <cell r="U33" t="b">
            <v>1</v>
          </cell>
          <cell r="V33" t="b">
            <v>1</v>
          </cell>
          <cell r="W33" t="b">
            <v>1</v>
          </cell>
          <cell r="X33" t="b">
            <v>1</v>
          </cell>
          <cell r="Y33" t="b">
            <v>1</v>
          </cell>
          <cell r="Z33" t="b">
            <v>0</v>
          </cell>
          <cell r="AD33" t="b">
            <v>0</v>
          </cell>
          <cell r="AE33" t="b">
            <v>1</v>
          </cell>
          <cell r="AF33">
            <v>40878</v>
          </cell>
          <cell r="AG33">
            <v>40878</v>
          </cell>
          <cell r="AH33">
            <v>1996</v>
          </cell>
          <cell r="AI33" t="str">
            <v>PdE</v>
          </cell>
        </row>
        <row r="34">
          <cell r="A34" t="str">
            <v>C-17A</v>
          </cell>
          <cell r="C34">
            <v>200</v>
          </cell>
          <cell r="D34" t="str">
            <v>None</v>
          </cell>
          <cell r="E34" t="str">
            <v>Air Force</v>
          </cell>
          <cell r="F34" t="str">
            <v>Fixed Wing</v>
          </cell>
          <cell r="H34" t="str">
            <v>Boeing</v>
          </cell>
          <cell r="J34" t="str">
            <v>Pratt and Whitney (UTC), BAE, Honeywell, Lockheed Martin, Harris, Rockwell Collins</v>
          </cell>
          <cell r="M34" t="str">
            <v>Boeing</v>
          </cell>
          <cell r="N34" t="b">
            <v>0</v>
          </cell>
          <cell r="O34" t="b">
            <v>1</v>
          </cell>
          <cell r="P34" t="b">
            <v>1</v>
          </cell>
          <cell r="Q34" t="b">
            <v>1</v>
          </cell>
          <cell r="R34" t="b">
            <v>1</v>
          </cell>
          <cell r="S34" t="b">
            <v>1</v>
          </cell>
          <cell r="T34" t="b">
            <v>1</v>
          </cell>
          <cell r="U34" t="b">
            <v>1</v>
          </cell>
          <cell r="V34" t="b">
            <v>1</v>
          </cell>
          <cell r="W34" t="b">
            <v>1</v>
          </cell>
          <cell r="X34" t="b">
            <v>0</v>
          </cell>
          <cell r="Y34" t="b">
            <v>0</v>
          </cell>
          <cell r="Z34" t="b">
            <v>0</v>
          </cell>
          <cell r="AD34" t="b">
            <v>0</v>
          </cell>
          <cell r="AE34" t="b">
            <v>0</v>
          </cell>
          <cell r="AF34">
            <v>40148</v>
          </cell>
          <cell r="AG34">
            <v>40148</v>
          </cell>
          <cell r="AH34">
            <v>1996</v>
          </cell>
          <cell r="AI34" t="str">
            <v>PdE</v>
          </cell>
        </row>
        <row r="35">
          <cell r="A35" t="str">
            <v>C-5 AMP</v>
          </cell>
          <cell r="C35">
            <v>273</v>
          </cell>
          <cell r="D35" t="str">
            <v>None</v>
          </cell>
          <cell r="E35" t="str">
            <v>Air Force</v>
          </cell>
          <cell r="F35" t="str">
            <v>Fixed Wing</v>
          </cell>
          <cell r="H35" t="str">
            <v>Lockheed Martin</v>
          </cell>
          <cell r="J35" t="str">
            <v>Honeywell, BAE</v>
          </cell>
          <cell r="M35" t="str">
            <v>Lockheed Martin</v>
          </cell>
          <cell r="N35" t="b">
            <v>0</v>
          </cell>
          <cell r="O35" t="b">
            <v>0</v>
          </cell>
          <cell r="P35" t="b">
            <v>0</v>
          </cell>
          <cell r="Q35" t="b">
            <v>0</v>
          </cell>
          <cell r="R35" t="b">
            <v>0</v>
          </cell>
          <cell r="S35" t="b">
            <v>0</v>
          </cell>
          <cell r="T35" t="b">
            <v>1</v>
          </cell>
          <cell r="U35" t="b">
            <v>1</v>
          </cell>
          <cell r="V35" t="b">
            <v>1</v>
          </cell>
          <cell r="W35" t="b">
            <v>1</v>
          </cell>
          <cell r="X35" t="b">
            <v>1</v>
          </cell>
          <cell r="Y35" t="b">
            <v>0</v>
          </cell>
          <cell r="Z35" t="b">
            <v>0</v>
          </cell>
          <cell r="AD35" t="b">
            <v>0</v>
          </cell>
          <cell r="AE35" t="b">
            <v>0</v>
          </cell>
          <cell r="AF35">
            <v>40513</v>
          </cell>
          <cell r="AG35">
            <v>40513</v>
          </cell>
          <cell r="AH35">
            <v>2006</v>
          </cell>
          <cell r="AI35" t="str">
            <v>PdE</v>
          </cell>
        </row>
        <row r="36">
          <cell r="A36" t="str">
            <v>C-5 RERP</v>
          </cell>
          <cell r="C36">
            <v>327</v>
          </cell>
          <cell r="D36" t="str">
            <v>None</v>
          </cell>
          <cell r="E36" t="str">
            <v>Air Force</v>
          </cell>
          <cell r="F36" t="str">
            <v>Fixed Wing</v>
          </cell>
          <cell r="H36" t="str">
            <v>Lockheed Martin</v>
          </cell>
          <cell r="M36" t="str">
            <v>Lockheed Martin</v>
          </cell>
          <cell r="N36" t="b">
            <v>0</v>
          </cell>
          <cell r="O36" t="b">
            <v>0</v>
          </cell>
          <cell r="P36" t="b">
            <v>1</v>
          </cell>
          <cell r="Q36" t="b">
            <v>1</v>
          </cell>
          <cell r="R36" t="b">
            <v>1</v>
          </cell>
          <cell r="S36" t="b">
            <v>1</v>
          </cell>
          <cell r="T36" t="b">
            <v>1</v>
          </cell>
          <cell r="U36" t="b">
            <v>1</v>
          </cell>
          <cell r="V36" t="b">
            <v>1</v>
          </cell>
          <cell r="W36" t="b">
            <v>1</v>
          </cell>
          <cell r="X36" t="b">
            <v>1</v>
          </cell>
          <cell r="Y36" t="b">
            <v>1</v>
          </cell>
          <cell r="Z36" t="b">
            <v>0</v>
          </cell>
          <cell r="AD36" t="b">
            <v>0</v>
          </cell>
          <cell r="AE36" t="b">
            <v>1</v>
          </cell>
          <cell r="AF36">
            <v>40878</v>
          </cell>
          <cell r="AG36">
            <v>40878</v>
          </cell>
          <cell r="AH36">
            <v>2008</v>
          </cell>
          <cell r="AI36" t="str">
            <v>PdE</v>
          </cell>
        </row>
        <row r="37">
          <cell r="A37" t="str">
            <v>CEC</v>
          </cell>
          <cell r="C37">
            <v>582</v>
          </cell>
          <cell r="D37" t="str">
            <v>None</v>
          </cell>
          <cell r="E37" t="str">
            <v>Navy</v>
          </cell>
          <cell r="H37" t="str">
            <v>Raytheon</v>
          </cell>
          <cell r="J37" t="str">
            <v>General Dynamics, CACI</v>
          </cell>
          <cell r="M37" t="str">
            <v>Raytheon</v>
          </cell>
          <cell r="N37" t="b">
            <v>0</v>
          </cell>
          <cell r="O37" t="b">
            <v>1</v>
          </cell>
          <cell r="P37" t="b">
            <v>1</v>
          </cell>
          <cell r="Q37" t="b">
            <v>1</v>
          </cell>
          <cell r="R37" t="b">
            <v>1</v>
          </cell>
          <cell r="S37" t="b">
            <v>1</v>
          </cell>
          <cell r="T37" t="b">
            <v>1</v>
          </cell>
          <cell r="U37" t="b">
            <v>1</v>
          </cell>
          <cell r="V37" t="b">
            <v>1</v>
          </cell>
          <cell r="W37" t="b">
            <v>1</v>
          </cell>
          <cell r="X37" t="b">
            <v>1</v>
          </cell>
          <cell r="Y37" t="b">
            <v>1</v>
          </cell>
          <cell r="Z37" t="b">
            <v>0</v>
          </cell>
          <cell r="AD37" t="b">
            <v>0</v>
          </cell>
          <cell r="AE37" t="b">
            <v>1</v>
          </cell>
          <cell r="AF37">
            <v>40878</v>
          </cell>
          <cell r="AG37">
            <v>40878</v>
          </cell>
          <cell r="AH37">
            <v>2002</v>
          </cell>
          <cell r="AI37" t="str">
            <v>PdE</v>
          </cell>
        </row>
        <row r="38">
          <cell r="A38" t="str">
            <v>CH-47F</v>
          </cell>
          <cell r="C38">
            <v>278</v>
          </cell>
          <cell r="D38" t="str">
            <v>None</v>
          </cell>
          <cell r="E38" t="str">
            <v>Army</v>
          </cell>
          <cell r="F38" t="str">
            <v>Helicopter</v>
          </cell>
          <cell r="H38" t="str">
            <v>Boeing</v>
          </cell>
          <cell r="J38" t="str">
            <v>Rockwell Collins, General Electric, Goodrich</v>
          </cell>
          <cell r="M38" t="str">
            <v>Boeing</v>
          </cell>
          <cell r="N38" t="b">
            <v>0</v>
          </cell>
          <cell r="O38" t="b">
            <v>1</v>
          </cell>
          <cell r="P38" t="b">
            <v>1</v>
          </cell>
          <cell r="Q38" t="b">
            <v>1</v>
          </cell>
          <cell r="R38" t="b">
            <v>1</v>
          </cell>
          <cell r="S38" t="b">
            <v>1</v>
          </cell>
          <cell r="T38" t="b">
            <v>1</v>
          </cell>
          <cell r="U38" t="b">
            <v>1</v>
          </cell>
          <cell r="V38" t="b">
            <v>1</v>
          </cell>
          <cell r="W38" t="b">
            <v>1</v>
          </cell>
          <cell r="X38" t="b">
            <v>1</v>
          </cell>
          <cell r="Y38" t="b">
            <v>1</v>
          </cell>
          <cell r="Z38" t="b">
            <v>0</v>
          </cell>
          <cell r="AD38" t="b">
            <v>0</v>
          </cell>
          <cell r="AE38" t="b">
            <v>1</v>
          </cell>
          <cell r="AF38">
            <v>40878</v>
          </cell>
          <cell r="AG38">
            <v>40878</v>
          </cell>
          <cell r="AH38">
            <v>2005</v>
          </cell>
          <cell r="AI38" t="str">
            <v>PdE</v>
          </cell>
        </row>
        <row r="39">
          <cell r="A39" t="str">
            <v>CH-53K</v>
          </cell>
          <cell r="C39">
            <v>390</v>
          </cell>
          <cell r="D39" t="str">
            <v>None</v>
          </cell>
          <cell r="E39" t="str">
            <v>Navy</v>
          </cell>
          <cell r="F39" t="str">
            <v>Helicopter</v>
          </cell>
          <cell r="H39" t="str">
            <v>Sikorsky Aircraft Corporation (UTC)</v>
          </cell>
          <cell r="M39" t="str">
            <v>Sikorsky (UTC)</v>
          </cell>
          <cell r="N39" t="b">
            <v>0</v>
          </cell>
          <cell r="O39" t="b">
            <v>0</v>
          </cell>
          <cell r="P39" t="b">
            <v>0</v>
          </cell>
          <cell r="Q39" t="b">
            <v>0</v>
          </cell>
          <cell r="R39" t="b">
            <v>0</v>
          </cell>
          <cell r="S39" t="b">
            <v>0</v>
          </cell>
          <cell r="T39" t="b">
            <v>1</v>
          </cell>
          <cell r="U39" t="b">
            <v>1</v>
          </cell>
          <cell r="V39" t="b">
            <v>1</v>
          </cell>
          <cell r="W39" t="b">
            <v>1</v>
          </cell>
          <cell r="X39" t="b">
            <v>1</v>
          </cell>
          <cell r="Y39" t="b">
            <v>1</v>
          </cell>
          <cell r="Z39" t="b">
            <v>0</v>
          </cell>
          <cell r="AD39" t="b">
            <v>0</v>
          </cell>
          <cell r="AE39" t="b">
            <v>1</v>
          </cell>
          <cell r="AF39">
            <v>40878</v>
          </cell>
          <cell r="AG39">
            <v>40878</v>
          </cell>
          <cell r="AH39">
            <v>2006</v>
          </cell>
          <cell r="AI39" t="str">
            <v>DE</v>
          </cell>
        </row>
        <row r="40">
          <cell r="A40" t="str">
            <v>CHEM DEMIL-ACWA</v>
          </cell>
          <cell r="C40">
            <v>243</v>
          </cell>
          <cell r="D40" t="str">
            <v>None</v>
          </cell>
          <cell r="E40" t="str">
            <v>DoD-wide</v>
          </cell>
          <cell r="H40" t="str">
            <v>Bechtel National &amp; Bechtel/Parsons JV</v>
          </cell>
          <cell r="J40" t="str">
            <v>Edgerton, Germeshausen and Grier, Westinghouse, Washington Demilitarization Company, Bechtel, Parsons, General Physics Corporation, Stone &amp; Webster, C2HM Hill Demilitarization Incorporated, Teledyne Brown Engineering, Alpha Management Solutions</v>
          </cell>
          <cell r="M40" t="str">
            <v>Bechtel</v>
          </cell>
          <cell r="N40" t="b">
            <v>0</v>
          </cell>
          <cell r="O40" t="b">
            <v>0</v>
          </cell>
          <cell r="P40" t="b">
            <v>0</v>
          </cell>
          <cell r="Q40" t="b">
            <v>0</v>
          </cell>
          <cell r="R40" t="b">
            <v>1</v>
          </cell>
          <cell r="S40" t="b">
            <v>1</v>
          </cell>
          <cell r="T40" t="b">
            <v>1</v>
          </cell>
          <cell r="U40" t="b">
            <v>1</v>
          </cell>
          <cell r="V40" t="b">
            <v>1</v>
          </cell>
          <cell r="W40" t="b">
            <v>1</v>
          </cell>
          <cell r="X40" t="b">
            <v>1</v>
          </cell>
          <cell r="Y40" t="b">
            <v>1</v>
          </cell>
          <cell r="Z40" t="b">
            <v>0</v>
          </cell>
          <cell r="AD40" t="b">
            <v>0</v>
          </cell>
          <cell r="AE40" t="b">
            <v>1</v>
          </cell>
          <cell r="AF40">
            <v>40878</v>
          </cell>
          <cell r="AG40">
            <v>40878</v>
          </cell>
          <cell r="AH40">
            <v>2011</v>
          </cell>
          <cell r="AI40" t="str">
            <v>PdE/DE</v>
          </cell>
        </row>
        <row r="41">
          <cell r="A41" t="str">
            <v>CHEM DEMIL-CMA</v>
          </cell>
          <cell r="C41">
            <v>285</v>
          </cell>
          <cell r="D41" t="str">
            <v>None</v>
          </cell>
          <cell r="E41" t="str">
            <v>DoD-wide</v>
          </cell>
          <cell r="H41" t="str">
            <v>NA (agency withing DOD)</v>
          </cell>
          <cell r="L41" t="str">
            <v>http://www.cma.army.mil/aboutcma.aspx</v>
          </cell>
          <cell r="M41" t="str">
            <v>No prime</v>
          </cell>
          <cell r="N41" t="b">
            <v>0</v>
          </cell>
          <cell r="O41" t="b">
            <v>0</v>
          </cell>
          <cell r="P41" t="b">
            <v>0</v>
          </cell>
          <cell r="Q41" t="b">
            <v>0</v>
          </cell>
          <cell r="R41" t="b">
            <v>1</v>
          </cell>
          <cell r="S41" t="b">
            <v>1</v>
          </cell>
          <cell r="T41" t="b">
            <v>1</v>
          </cell>
          <cell r="U41" t="b">
            <v>1</v>
          </cell>
          <cell r="V41" t="b">
            <v>1</v>
          </cell>
          <cell r="W41" t="b">
            <v>1</v>
          </cell>
          <cell r="X41" t="b">
            <v>1</v>
          </cell>
          <cell r="Y41" t="b">
            <v>1</v>
          </cell>
          <cell r="Z41" t="b">
            <v>0</v>
          </cell>
          <cell r="AD41" t="b">
            <v>0</v>
          </cell>
          <cell r="AE41" t="b">
            <v>1</v>
          </cell>
          <cell r="AF41">
            <v>40878</v>
          </cell>
          <cell r="AG41">
            <v>40878</v>
          </cell>
          <cell r="AH41">
            <v>1994</v>
          </cell>
          <cell r="AI41" t="str">
            <v>PdE</v>
          </cell>
        </row>
        <row r="42">
          <cell r="A42" t="str">
            <v>CHEM DEMIL-NEWPORT</v>
          </cell>
          <cell r="N42" t="b">
            <v>0</v>
          </cell>
          <cell r="O42" t="b">
            <v>0</v>
          </cell>
          <cell r="P42" t="b">
            <v>0</v>
          </cell>
          <cell r="Q42" t="b">
            <v>0</v>
          </cell>
          <cell r="R42" t="b">
            <v>1</v>
          </cell>
          <cell r="S42" t="b">
            <v>1</v>
          </cell>
          <cell r="T42" t="b">
            <v>1</v>
          </cell>
          <cell r="U42" t="b">
            <v>0</v>
          </cell>
          <cell r="V42" t="b">
            <v>0</v>
          </cell>
          <cell r="W42" t="b">
            <v>0</v>
          </cell>
          <cell r="X42" t="b">
            <v>0</v>
          </cell>
          <cell r="Y42" t="b">
            <v>0</v>
          </cell>
          <cell r="Z42" t="b">
            <v>0</v>
          </cell>
          <cell r="AD42" t="b">
            <v>0</v>
          </cell>
          <cell r="AE42" t="b">
            <v>0</v>
          </cell>
          <cell r="AF42">
            <v>39052</v>
          </cell>
          <cell r="AG42">
            <v>39052</v>
          </cell>
          <cell r="AH42">
            <v>1994</v>
          </cell>
          <cell r="AI42" t="str">
            <v>PdE</v>
          </cell>
        </row>
        <row r="43">
          <cell r="A43" t="str">
            <v>COBRA JUDY REPLACEMENT</v>
          </cell>
          <cell r="C43">
            <v>365</v>
          </cell>
          <cell r="D43" t="str">
            <v>None</v>
          </cell>
          <cell r="E43" t="str">
            <v>Navy</v>
          </cell>
          <cell r="F43" t="str">
            <v>Helicopter</v>
          </cell>
          <cell r="H43" t="str">
            <v>Raytheon</v>
          </cell>
          <cell r="J43" t="str">
            <v>BAE, Northrop Grumman, Teledyne</v>
          </cell>
          <cell r="M43" t="str">
            <v>Raytheon</v>
          </cell>
          <cell r="N43" t="b">
            <v>0</v>
          </cell>
          <cell r="O43" t="b">
            <v>0</v>
          </cell>
          <cell r="P43" t="b">
            <v>0</v>
          </cell>
          <cell r="Q43" t="b">
            <v>0</v>
          </cell>
          <cell r="R43" t="b">
            <v>1</v>
          </cell>
          <cell r="S43" t="b">
            <v>1</v>
          </cell>
          <cell r="T43" t="b">
            <v>1</v>
          </cell>
          <cell r="U43" t="b">
            <v>1</v>
          </cell>
          <cell r="V43" t="b">
            <v>1</v>
          </cell>
          <cell r="W43" t="b">
            <v>1</v>
          </cell>
          <cell r="X43" t="b">
            <v>1</v>
          </cell>
          <cell r="Y43" t="b">
            <v>1</v>
          </cell>
          <cell r="Z43" t="b">
            <v>0</v>
          </cell>
          <cell r="AD43" t="b">
            <v>0</v>
          </cell>
          <cell r="AE43" t="b">
            <v>1</v>
          </cell>
          <cell r="AF43">
            <v>40878</v>
          </cell>
          <cell r="AG43">
            <v>40878</v>
          </cell>
          <cell r="AH43">
            <v>2003</v>
          </cell>
          <cell r="AI43" t="str">
            <v>DE</v>
          </cell>
        </row>
        <row r="44">
          <cell r="A44" t="str">
            <v>COMANCHE</v>
          </cell>
          <cell r="C44" t="str">
            <v>NONE</v>
          </cell>
          <cell r="D44" t="str">
            <v>None</v>
          </cell>
          <cell r="E44" t="str">
            <v>Army</v>
          </cell>
          <cell r="H44" t="str">
            <v>Boeing/Sikorsky JV</v>
          </cell>
          <cell r="N44" t="b">
            <v>0</v>
          </cell>
          <cell r="O44" t="b">
            <v>1</v>
          </cell>
          <cell r="P44" t="b">
            <v>1</v>
          </cell>
          <cell r="Q44" t="b">
            <v>1</v>
          </cell>
          <cell r="R44" t="b">
            <v>0</v>
          </cell>
          <cell r="S44" t="b">
            <v>0</v>
          </cell>
          <cell r="T44" t="b">
            <v>0</v>
          </cell>
          <cell r="U44" t="b">
            <v>0</v>
          </cell>
          <cell r="V44" t="b">
            <v>0</v>
          </cell>
          <cell r="W44" t="b">
            <v>0</v>
          </cell>
          <cell r="X44" t="b">
            <v>0</v>
          </cell>
          <cell r="Y44" t="b">
            <v>0</v>
          </cell>
          <cell r="Z44" t="b">
            <v>0</v>
          </cell>
          <cell r="AD44" t="b">
            <v>0</v>
          </cell>
          <cell r="AE44" t="b">
            <v>0</v>
          </cell>
          <cell r="AF44">
            <v>37956</v>
          </cell>
          <cell r="AG44">
            <v>37956</v>
          </cell>
          <cell r="AH44">
            <v>2000</v>
          </cell>
          <cell r="AI44" t="str">
            <v>DE</v>
          </cell>
        </row>
        <row r="45">
          <cell r="A45" t="str">
            <v>CRUSADER</v>
          </cell>
          <cell r="C45" t="str">
            <v>AFF</v>
          </cell>
          <cell r="D45" t="str">
            <v>2AFF</v>
          </cell>
          <cell r="E45" t="str">
            <v>Army</v>
          </cell>
          <cell r="H45" t="str">
            <v>United Defense, LP (BAE)</v>
          </cell>
          <cell r="J45" t="str">
            <v>General Dynamics (major subcontractor)</v>
          </cell>
          <cell r="N45" t="b">
            <v>0</v>
          </cell>
          <cell r="O45" t="b">
            <v>1</v>
          </cell>
          <cell r="P45" t="b">
            <v>0</v>
          </cell>
          <cell r="Q45" t="b">
            <v>0</v>
          </cell>
          <cell r="R45" t="b">
            <v>0</v>
          </cell>
          <cell r="S45" t="b">
            <v>0</v>
          </cell>
          <cell r="T45" t="b">
            <v>0</v>
          </cell>
          <cell r="U45" t="b">
            <v>0</v>
          </cell>
          <cell r="V45" t="b">
            <v>0</v>
          </cell>
          <cell r="W45" t="b">
            <v>0</v>
          </cell>
          <cell r="X45" t="b">
            <v>0</v>
          </cell>
          <cell r="Y45" t="b">
            <v>0</v>
          </cell>
          <cell r="Z45" t="b">
            <v>0</v>
          </cell>
          <cell r="AD45" t="b">
            <v>0</v>
          </cell>
          <cell r="AE45" t="b">
            <v>0</v>
          </cell>
          <cell r="AF45">
            <v>37226</v>
          </cell>
          <cell r="AG45">
            <v>37226</v>
          </cell>
          <cell r="AH45">
            <v>1995</v>
          </cell>
          <cell r="AI45" t="str">
            <v>PE</v>
          </cell>
        </row>
        <row r="46">
          <cell r="A46" t="str">
            <v>CSAR-X</v>
          </cell>
          <cell r="H46" t="str">
            <v>Boeing</v>
          </cell>
          <cell r="N46" t="b">
            <v>0</v>
          </cell>
          <cell r="O46" t="b">
            <v>0</v>
          </cell>
          <cell r="P46" t="b">
            <v>0</v>
          </cell>
          <cell r="Q46" t="b">
            <v>0</v>
          </cell>
          <cell r="R46" t="b">
            <v>0</v>
          </cell>
          <cell r="S46" t="b">
            <v>0</v>
          </cell>
          <cell r="T46" t="b">
            <v>0</v>
          </cell>
          <cell r="U46" t="b">
            <v>0</v>
          </cell>
          <cell r="V46" t="b">
            <v>0</v>
          </cell>
          <cell r="W46" t="b">
            <v>0</v>
          </cell>
          <cell r="X46" t="b">
            <v>0</v>
          </cell>
          <cell r="Y46" t="b">
            <v>0</v>
          </cell>
          <cell r="Z46" t="b">
            <v>0</v>
          </cell>
          <cell r="AD46" t="b">
            <v>0</v>
          </cell>
          <cell r="AE46" t="b">
            <v>0</v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</row>
        <row r="47">
          <cell r="A47" t="str">
            <v>CVN 21</v>
          </cell>
          <cell r="C47">
            <v>223</v>
          </cell>
          <cell r="D47" t="str">
            <v>None</v>
          </cell>
          <cell r="E47" t="str">
            <v>Navy</v>
          </cell>
          <cell r="F47" t="str">
            <v>Ship / Sub</v>
          </cell>
          <cell r="H47" t="str">
            <v>Northrop Grumman</v>
          </cell>
          <cell r="M47" t="str">
            <v>Northrop Grumman</v>
          </cell>
          <cell r="N47" t="b">
            <v>0</v>
          </cell>
          <cell r="O47" t="b">
            <v>0</v>
          </cell>
          <cell r="P47" t="b">
            <v>1</v>
          </cell>
          <cell r="Q47" t="b">
            <v>1</v>
          </cell>
          <cell r="R47" t="b">
            <v>1</v>
          </cell>
          <cell r="S47" t="b">
            <v>1</v>
          </cell>
          <cell r="T47" t="b">
            <v>1</v>
          </cell>
          <cell r="U47" t="b">
            <v>1</v>
          </cell>
          <cell r="V47" t="b">
            <v>1</v>
          </cell>
          <cell r="W47" t="b">
            <v>0</v>
          </cell>
          <cell r="X47" t="b">
            <v>0</v>
          </cell>
          <cell r="Y47" t="b">
            <v>0</v>
          </cell>
          <cell r="Z47" t="b">
            <v>0</v>
          </cell>
          <cell r="AD47" t="b">
            <v>0</v>
          </cell>
          <cell r="AE47" t="b">
            <v>0</v>
          </cell>
          <cell r="AF47">
            <v>39692</v>
          </cell>
          <cell r="AG47">
            <v>39692</v>
          </cell>
          <cell r="AH47">
            <v>2000</v>
          </cell>
          <cell r="AI47" t="str">
            <v>DE</v>
          </cell>
        </row>
        <row r="48">
          <cell r="A48" t="str">
            <v>CVN 68</v>
          </cell>
          <cell r="C48">
            <v>161</v>
          </cell>
          <cell r="D48" t="str">
            <v>None</v>
          </cell>
          <cell r="E48" t="str">
            <v>Navy</v>
          </cell>
          <cell r="F48" t="str">
            <v>Ship / Sub</v>
          </cell>
          <cell r="H48" t="str">
            <v>Huntington Ingalls Industries (HII)</v>
          </cell>
          <cell r="M48" t="str">
            <v>Northrop Grumman</v>
          </cell>
          <cell r="N48" t="b">
            <v>0</v>
          </cell>
          <cell r="O48" t="b">
            <v>1</v>
          </cell>
          <cell r="P48" t="b">
            <v>1</v>
          </cell>
          <cell r="Q48" t="b">
            <v>1</v>
          </cell>
          <cell r="R48" t="b">
            <v>1</v>
          </cell>
          <cell r="S48" t="b">
            <v>1</v>
          </cell>
          <cell r="T48" t="b">
            <v>1</v>
          </cell>
          <cell r="U48" t="b">
            <v>1</v>
          </cell>
          <cell r="V48" t="b">
            <v>1</v>
          </cell>
          <cell r="W48" t="b">
            <v>1</v>
          </cell>
          <cell r="X48" t="b">
            <v>0</v>
          </cell>
          <cell r="Y48" t="b">
            <v>0</v>
          </cell>
          <cell r="Z48" t="b">
            <v>0</v>
          </cell>
          <cell r="AD48" t="b">
            <v>0</v>
          </cell>
          <cell r="AE48" t="b">
            <v>0</v>
          </cell>
          <cell r="AF48">
            <v>40148</v>
          </cell>
          <cell r="AG48">
            <v>40148</v>
          </cell>
          <cell r="AH48">
            <v>1995</v>
          </cell>
          <cell r="AI48" t="str">
            <v>PdE</v>
          </cell>
        </row>
        <row r="49">
          <cell r="A49" t="str">
            <v>CVN 78</v>
          </cell>
          <cell r="N49" t="b">
            <v>0</v>
          </cell>
          <cell r="O49" t="b">
            <v>1</v>
          </cell>
          <cell r="P49" t="b">
            <v>0</v>
          </cell>
          <cell r="Q49" t="b">
            <v>0</v>
          </cell>
          <cell r="R49" t="b">
            <v>0</v>
          </cell>
          <cell r="S49" t="b">
            <v>0</v>
          </cell>
          <cell r="T49" t="b">
            <v>0</v>
          </cell>
          <cell r="U49" t="b">
            <v>0</v>
          </cell>
          <cell r="V49" t="b">
            <v>0</v>
          </cell>
          <cell r="W49" t="b">
            <v>1</v>
          </cell>
          <cell r="X49" t="b">
            <v>1</v>
          </cell>
          <cell r="Y49" t="b">
            <v>1</v>
          </cell>
          <cell r="Z49" t="b">
            <v>0</v>
          </cell>
          <cell r="AD49" t="b">
            <v>0</v>
          </cell>
          <cell r="AE49" t="b">
            <v>1</v>
          </cell>
          <cell r="AF49">
            <v>40878</v>
          </cell>
          <cell r="AG49">
            <v>40878</v>
          </cell>
          <cell r="AH49">
            <v>2000</v>
          </cell>
          <cell r="AI49" t="str">
            <v>DE</v>
          </cell>
        </row>
        <row r="50">
          <cell r="A50" t="str">
            <v>DDG 1000</v>
          </cell>
          <cell r="C50">
            <v>197</v>
          </cell>
          <cell r="D50" t="str">
            <v>None</v>
          </cell>
          <cell r="E50" t="str">
            <v>Navy</v>
          </cell>
          <cell r="F50" t="str">
            <v>Ship / Sub</v>
          </cell>
          <cell r="H50" t="str">
            <v>Bath Iron Works (General Dynamics)</v>
          </cell>
          <cell r="I50" t="str">
            <v>Raytheon (Combat Systems)</v>
          </cell>
          <cell r="J50" t="str">
            <v>Raytheon, BAE, L-3</v>
          </cell>
          <cell r="M50" t="str">
            <v>General Dynamics</v>
          </cell>
          <cell r="N50" t="b">
            <v>0</v>
          </cell>
          <cell r="O50" t="b">
            <v>0</v>
          </cell>
          <cell r="P50" t="b">
            <v>0</v>
          </cell>
          <cell r="Q50" t="b">
            <v>0</v>
          </cell>
          <cell r="R50" t="b">
            <v>0</v>
          </cell>
          <cell r="S50" t="b">
            <v>1</v>
          </cell>
          <cell r="T50" t="b">
            <v>1</v>
          </cell>
          <cell r="U50" t="b">
            <v>1</v>
          </cell>
          <cell r="V50" t="b">
            <v>1</v>
          </cell>
          <cell r="W50" t="b">
            <v>1</v>
          </cell>
          <cell r="X50" t="b">
            <v>1</v>
          </cell>
          <cell r="Y50" t="b">
            <v>1</v>
          </cell>
          <cell r="Z50" t="b">
            <v>0</v>
          </cell>
          <cell r="AD50" t="b">
            <v>0</v>
          </cell>
          <cell r="AE50" t="b">
            <v>1</v>
          </cell>
          <cell r="AF50">
            <v>40878</v>
          </cell>
          <cell r="AG50">
            <v>40878</v>
          </cell>
          <cell r="AH50">
            <v>2005</v>
          </cell>
          <cell r="AI50" t="str">
            <v>DE</v>
          </cell>
        </row>
        <row r="51">
          <cell r="A51" t="str">
            <v>DDG 1000 (RDT&amp;E)</v>
          </cell>
          <cell r="N51" t="b">
            <v>0</v>
          </cell>
          <cell r="O51" t="b">
            <v>0</v>
          </cell>
          <cell r="P51" t="b">
            <v>1</v>
          </cell>
          <cell r="Q51" t="b">
            <v>1</v>
          </cell>
          <cell r="R51" t="b">
            <v>1</v>
          </cell>
          <cell r="S51" t="b">
            <v>0</v>
          </cell>
          <cell r="T51" t="b">
            <v>0</v>
          </cell>
          <cell r="U51" t="b">
            <v>0</v>
          </cell>
          <cell r="V51" t="b">
            <v>0</v>
          </cell>
          <cell r="W51" t="b">
            <v>0</v>
          </cell>
          <cell r="X51" t="b">
            <v>0</v>
          </cell>
          <cell r="Y51" t="b">
            <v>0</v>
          </cell>
          <cell r="Z51" t="b">
            <v>0</v>
          </cell>
          <cell r="AD51" t="b">
            <v>0</v>
          </cell>
          <cell r="AE51" t="b">
            <v>0</v>
          </cell>
          <cell r="AF51">
            <v>38322</v>
          </cell>
          <cell r="AG51">
            <v>38322</v>
          </cell>
          <cell r="AH51">
            <v>1996</v>
          </cell>
          <cell r="AI51" t="str">
            <v>PE</v>
          </cell>
        </row>
        <row r="52">
          <cell r="A52" t="str">
            <v>DDG 51</v>
          </cell>
          <cell r="C52">
            <v>180</v>
          </cell>
          <cell r="D52" t="str">
            <v>None</v>
          </cell>
          <cell r="E52" t="str">
            <v>Navy</v>
          </cell>
          <cell r="F52" t="str">
            <v>Ship / Sub</v>
          </cell>
          <cell r="H52" t="str">
            <v>Huntington Ingalls Industries (HII)</v>
          </cell>
          <cell r="I52" t="str">
            <v>*Bath Iron Works (General Dynamics) finishing</v>
          </cell>
          <cell r="J52" t="str">
            <v>BAE, Raytheon, Boeing, Northrop Grumman, Aglient, ITT</v>
          </cell>
          <cell r="M52" t="str">
            <v>Northrop Grumman</v>
          </cell>
          <cell r="N52" t="b">
            <v>0</v>
          </cell>
          <cell r="O52" t="b">
            <v>1</v>
          </cell>
          <cell r="P52" t="b">
            <v>1</v>
          </cell>
          <cell r="Q52" t="b">
            <v>1</v>
          </cell>
          <cell r="R52" t="b">
            <v>1</v>
          </cell>
          <cell r="S52" t="b">
            <v>1</v>
          </cell>
          <cell r="T52" t="b">
            <v>1</v>
          </cell>
          <cell r="U52" t="b">
            <v>1</v>
          </cell>
          <cell r="V52" t="b">
            <v>1</v>
          </cell>
          <cell r="W52" t="b">
            <v>1</v>
          </cell>
          <cell r="X52" t="b">
            <v>1</v>
          </cell>
          <cell r="Y52" t="b">
            <v>1</v>
          </cell>
          <cell r="Z52" t="b">
            <v>0</v>
          </cell>
          <cell r="AD52" t="b">
            <v>0</v>
          </cell>
          <cell r="AE52" t="b">
            <v>1</v>
          </cell>
          <cell r="AF52">
            <v>40878</v>
          </cell>
          <cell r="AG52">
            <v>40878</v>
          </cell>
          <cell r="AH52">
            <v>1987</v>
          </cell>
          <cell r="AI52" t="str">
            <v>PdE</v>
          </cell>
        </row>
        <row r="53">
          <cell r="A53" t="str">
            <v>DIMHRS</v>
          </cell>
          <cell r="C53" t="str">
            <v>M26</v>
          </cell>
          <cell r="D53" t="str">
            <v>None</v>
          </cell>
          <cell r="E53" t="str">
            <v>DoD-wide</v>
          </cell>
          <cell r="H53" t="str">
            <v>Northrop Grumman</v>
          </cell>
          <cell r="I53" t="str">
            <v>PeopleSoft</v>
          </cell>
          <cell r="J53" t="str">
            <v>Oracle, Novonics, Ampio, ICF Inc.</v>
          </cell>
          <cell r="M53" t="str">
            <v>Northrop Grumman</v>
          </cell>
          <cell r="N53" t="b">
            <v>0</v>
          </cell>
          <cell r="O53" t="b">
            <v>0</v>
          </cell>
          <cell r="P53" t="b">
            <v>0</v>
          </cell>
          <cell r="Q53" t="b">
            <v>0</v>
          </cell>
          <cell r="R53" t="b">
            <v>0</v>
          </cell>
          <cell r="S53" t="b">
            <v>0</v>
          </cell>
          <cell r="T53" t="b">
            <v>0</v>
          </cell>
          <cell r="U53" t="b">
            <v>1</v>
          </cell>
          <cell r="V53" t="b">
            <v>0</v>
          </cell>
          <cell r="W53" t="b">
            <v>0</v>
          </cell>
          <cell r="X53" t="b">
            <v>0</v>
          </cell>
          <cell r="Y53" t="b">
            <v>0</v>
          </cell>
          <cell r="Z53" t="b">
            <v>0</v>
          </cell>
          <cell r="AD53" t="b">
            <v>0</v>
          </cell>
          <cell r="AE53" t="b">
            <v>0</v>
          </cell>
          <cell r="AF53">
            <v>39417</v>
          </cell>
          <cell r="AG53">
            <v>39417</v>
          </cell>
          <cell r="AH53">
            <v>2007</v>
          </cell>
          <cell r="AI53" t="str">
            <v>DE</v>
          </cell>
        </row>
        <row r="54">
          <cell r="A54" t="str">
            <v>DON-LAIRCM</v>
          </cell>
          <cell r="C54">
            <v>426</v>
          </cell>
          <cell r="D54" t="str">
            <v>None</v>
          </cell>
          <cell r="M54" t="str">
            <v>Northrop Grumman</v>
          </cell>
          <cell r="N54" t="b">
            <v>0</v>
          </cell>
          <cell r="O54" t="b">
            <v>0</v>
          </cell>
          <cell r="P54" t="b">
            <v>0</v>
          </cell>
          <cell r="Q54" t="b">
            <v>0</v>
          </cell>
          <cell r="R54" t="b">
            <v>0</v>
          </cell>
          <cell r="S54" t="b">
            <v>0</v>
          </cell>
          <cell r="T54" t="b">
            <v>0</v>
          </cell>
          <cell r="U54" t="b">
            <v>0</v>
          </cell>
          <cell r="V54" t="b">
            <v>0</v>
          </cell>
          <cell r="W54" t="b">
            <v>0</v>
          </cell>
          <cell r="X54" t="b">
            <v>0</v>
          </cell>
          <cell r="Y54" t="b">
            <v>0</v>
          </cell>
          <cell r="Z54" t="b">
            <v>0</v>
          </cell>
          <cell r="AD54" t="b">
            <v>0</v>
          </cell>
          <cell r="AE54" t="b">
            <v>0</v>
          </cell>
          <cell r="AF54" t="str">
            <v/>
          </cell>
          <cell r="AG54" t="str">
            <v/>
          </cell>
          <cell r="AH54" t="str">
            <v/>
          </cell>
          <cell r="AI54" t="str">
            <v/>
          </cell>
        </row>
        <row r="55">
          <cell r="A55" t="str">
            <v>E-2C REPRODUCTION</v>
          </cell>
          <cell r="N55" t="b">
            <v>0</v>
          </cell>
          <cell r="O55" t="b">
            <v>1</v>
          </cell>
          <cell r="P55" t="b">
            <v>1</v>
          </cell>
          <cell r="Q55" t="b">
            <v>1</v>
          </cell>
          <cell r="R55" t="b">
            <v>1</v>
          </cell>
          <cell r="S55" t="b">
            <v>1</v>
          </cell>
          <cell r="T55" t="b">
            <v>1</v>
          </cell>
          <cell r="U55" t="b">
            <v>0</v>
          </cell>
          <cell r="V55" t="b">
            <v>0</v>
          </cell>
          <cell r="W55" t="b">
            <v>0</v>
          </cell>
          <cell r="X55" t="b">
            <v>0</v>
          </cell>
          <cell r="Y55" t="b">
            <v>0</v>
          </cell>
          <cell r="Z55" t="b">
            <v>0</v>
          </cell>
          <cell r="AD55" t="b">
            <v>0</v>
          </cell>
          <cell r="AE55" t="b">
            <v>0</v>
          </cell>
          <cell r="AF55">
            <v>39052</v>
          </cell>
          <cell r="AG55">
            <v>39052</v>
          </cell>
          <cell r="AH55">
            <v>1994</v>
          </cell>
          <cell r="AI55" t="str">
            <v>PdE</v>
          </cell>
        </row>
        <row r="56">
          <cell r="A56" t="str">
            <v>E-2D AHE</v>
          </cell>
          <cell r="C56">
            <v>364</v>
          </cell>
          <cell r="D56" t="str">
            <v>None</v>
          </cell>
          <cell r="E56" t="str">
            <v>Navy</v>
          </cell>
          <cell r="F56" t="str">
            <v>Fixed Wing</v>
          </cell>
          <cell r="H56" t="str">
            <v>Northrop Grumman</v>
          </cell>
          <cell r="J56" t="str">
            <v>General Dynamics, Lockheed Martin, Rolls-Royce</v>
          </cell>
          <cell r="M56" t="str">
            <v>Northrop Grumman</v>
          </cell>
          <cell r="N56" t="b">
            <v>0</v>
          </cell>
          <cell r="O56" t="b">
            <v>0</v>
          </cell>
          <cell r="P56" t="b">
            <v>0</v>
          </cell>
          <cell r="Q56" t="b">
            <v>1</v>
          </cell>
          <cell r="R56" t="b">
            <v>1</v>
          </cell>
          <cell r="S56" t="b">
            <v>1</v>
          </cell>
          <cell r="T56" t="b">
            <v>1</v>
          </cell>
          <cell r="U56" t="b">
            <v>1</v>
          </cell>
          <cell r="V56" t="b">
            <v>1</v>
          </cell>
          <cell r="W56" t="b">
            <v>1</v>
          </cell>
          <cell r="X56" t="b">
            <v>1</v>
          </cell>
          <cell r="Y56" t="b">
            <v>1</v>
          </cell>
          <cell r="Z56" t="b">
            <v>0</v>
          </cell>
          <cell r="AD56" t="b">
            <v>0</v>
          </cell>
          <cell r="AE56" t="b">
            <v>1</v>
          </cell>
          <cell r="AF56">
            <v>40878</v>
          </cell>
          <cell r="AG56">
            <v>40878</v>
          </cell>
          <cell r="AH56">
            <v>2009</v>
          </cell>
          <cell r="AI56" t="str">
            <v>PdE</v>
          </cell>
        </row>
        <row r="57">
          <cell r="A57" t="str">
            <v>E-8 JSTARS</v>
          </cell>
          <cell r="H57" t="str">
            <v>Northrop Grumman</v>
          </cell>
          <cell r="N57" t="b">
            <v>0</v>
          </cell>
          <cell r="O57" t="b">
            <v>1</v>
          </cell>
          <cell r="P57" t="b">
            <v>1</v>
          </cell>
          <cell r="Q57" t="b">
            <v>1</v>
          </cell>
          <cell r="R57" t="b">
            <v>0</v>
          </cell>
          <cell r="S57" t="b">
            <v>0</v>
          </cell>
          <cell r="T57" t="b">
            <v>0</v>
          </cell>
          <cell r="U57" t="b">
            <v>0</v>
          </cell>
          <cell r="V57" t="b">
            <v>0</v>
          </cell>
          <cell r="W57" t="b">
            <v>0</v>
          </cell>
          <cell r="X57" t="b">
            <v>0</v>
          </cell>
          <cell r="Y57" t="b">
            <v>0</v>
          </cell>
          <cell r="Z57" t="b">
            <v>0</v>
          </cell>
          <cell r="AD57" t="b">
            <v>0</v>
          </cell>
          <cell r="AE57" t="b">
            <v>0</v>
          </cell>
          <cell r="AF57">
            <v>37956</v>
          </cell>
          <cell r="AG57">
            <v>37956</v>
          </cell>
          <cell r="AH57">
            <v>1998</v>
          </cell>
          <cell r="AI57" t="str">
            <v>PdE</v>
          </cell>
        </row>
        <row r="58">
          <cell r="A58" t="str">
            <v>EA-18G</v>
          </cell>
          <cell r="C58">
            <v>378</v>
          </cell>
          <cell r="D58" t="str">
            <v>None</v>
          </cell>
          <cell r="E58" t="str">
            <v>Navy</v>
          </cell>
          <cell r="F58" t="str">
            <v>Fixed Wing</v>
          </cell>
          <cell r="H58" t="str">
            <v>Boeing</v>
          </cell>
          <cell r="J58" t="str">
            <v>General Electric</v>
          </cell>
          <cell r="M58" t="str">
            <v>Boeing</v>
          </cell>
          <cell r="N58" t="b">
            <v>0</v>
          </cell>
          <cell r="O58" t="b">
            <v>0</v>
          </cell>
          <cell r="P58" t="b">
            <v>0</v>
          </cell>
          <cell r="Q58" t="b">
            <v>1</v>
          </cell>
          <cell r="R58" t="b">
            <v>1</v>
          </cell>
          <cell r="S58" t="b">
            <v>1</v>
          </cell>
          <cell r="T58" t="b">
            <v>1</v>
          </cell>
          <cell r="U58" t="b">
            <v>1</v>
          </cell>
          <cell r="V58" t="b">
            <v>1</v>
          </cell>
          <cell r="W58" t="b">
            <v>1</v>
          </cell>
          <cell r="X58" t="b">
            <v>1</v>
          </cell>
          <cell r="Y58" t="b">
            <v>1</v>
          </cell>
          <cell r="Z58" t="b">
            <v>0</v>
          </cell>
          <cell r="AD58" t="b">
            <v>0</v>
          </cell>
          <cell r="AE58" t="b">
            <v>1</v>
          </cell>
          <cell r="AF58">
            <v>40878</v>
          </cell>
          <cell r="AG58">
            <v>40878</v>
          </cell>
          <cell r="AH58">
            <v>2004</v>
          </cell>
          <cell r="AI58" t="str">
            <v>PdE</v>
          </cell>
        </row>
        <row r="59">
          <cell r="A59" t="str">
            <v>EA-6B ICAP III</v>
          </cell>
          <cell r="C59">
            <v>418</v>
          </cell>
          <cell r="D59">
            <v>102</v>
          </cell>
          <cell r="E59" t="str">
            <v>Navy</v>
          </cell>
          <cell r="F59" t="str">
            <v>Fixed Wing</v>
          </cell>
          <cell r="H59" t="str">
            <v>Northrop Grumman</v>
          </cell>
          <cell r="J59" t="str">
            <v>Lockheed Martin, Boeing, Raytheon, BAE, Goodrich, Honeywell, Hamilton Sundstrand</v>
          </cell>
          <cell r="M59" t="str">
            <v>Northrop Grumman</v>
          </cell>
          <cell r="N59" t="b">
            <v>0</v>
          </cell>
          <cell r="O59" t="b">
            <v>0</v>
          </cell>
          <cell r="P59" t="b">
            <v>0</v>
          </cell>
          <cell r="Q59" t="b">
            <v>0</v>
          </cell>
          <cell r="R59" t="b">
            <v>0</v>
          </cell>
          <cell r="S59" t="b">
            <v>0</v>
          </cell>
          <cell r="T59" t="b">
            <v>0</v>
          </cell>
          <cell r="U59" t="b">
            <v>0</v>
          </cell>
          <cell r="V59" t="b">
            <v>1</v>
          </cell>
          <cell r="W59" t="b">
            <v>1</v>
          </cell>
          <cell r="X59" t="b">
            <v>0</v>
          </cell>
          <cell r="Y59" t="b">
            <v>0</v>
          </cell>
          <cell r="Z59" t="b">
            <v>0</v>
          </cell>
          <cell r="AD59" t="b">
            <v>0</v>
          </cell>
          <cell r="AE59" t="b">
            <v>0</v>
          </cell>
          <cell r="AF59">
            <v>40148</v>
          </cell>
          <cell r="AG59">
            <v>40148</v>
          </cell>
          <cell r="AH59">
            <v>2008</v>
          </cell>
          <cell r="AI59" t="str">
            <v>PdE</v>
          </cell>
        </row>
        <row r="60">
          <cell r="A60" t="str">
            <v>EELV</v>
          </cell>
          <cell r="H60" t="str">
            <v>United Launch Alliance (Boeing and Lockheed JV)</v>
          </cell>
          <cell r="N60" t="b">
            <v>0</v>
          </cell>
          <cell r="O60" t="b">
            <v>1</v>
          </cell>
          <cell r="P60" t="b">
            <v>1</v>
          </cell>
          <cell r="Q60" t="b">
            <v>1</v>
          </cell>
          <cell r="R60" t="b">
            <v>1</v>
          </cell>
          <cell r="S60" t="b">
            <v>1</v>
          </cell>
          <cell r="T60" t="b">
            <v>1</v>
          </cell>
          <cell r="U60" t="b">
            <v>0</v>
          </cell>
          <cell r="V60" t="b">
            <v>0</v>
          </cell>
          <cell r="W60" t="b">
            <v>0</v>
          </cell>
          <cell r="X60" t="b">
            <v>0</v>
          </cell>
          <cell r="Y60" t="b">
            <v>0</v>
          </cell>
          <cell r="Z60" t="b">
            <v>0</v>
          </cell>
          <cell r="AD60" t="b">
            <v>0</v>
          </cell>
          <cell r="AE60" t="b">
            <v>0</v>
          </cell>
          <cell r="AF60">
            <v>39052</v>
          </cell>
          <cell r="AG60">
            <v>39052</v>
          </cell>
          <cell r="AH60">
            <v>1995</v>
          </cell>
          <cell r="AI60" t="str">
            <v>DE</v>
          </cell>
        </row>
        <row r="61">
          <cell r="A61" t="str">
            <v>EFV</v>
          </cell>
          <cell r="C61">
            <v>515</v>
          </cell>
          <cell r="D61" t="str">
            <v>None</v>
          </cell>
          <cell r="E61" t="str">
            <v>Navy</v>
          </cell>
          <cell r="F61" t="str">
            <v>AFV</v>
          </cell>
          <cell r="H61" t="str">
            <v>General Dynamics</v>
          </cell>
          <cell r="M61" t="str">
            <v>General Dynamics</v>
          </cell>
          <cell r="N61" t="b">
            <v>0</v>
          </cell>
          <cell r="O61" t="b">
            <v>1</v>
          </cell>
          <cell r="P61" t="b">
            <v>1</v>
          </cell>
          <cell r="Q61" t="b">
            <v>1</v>
          </cell>
          <cell r="R61" t="b">
            <v>1</v>
          </cell>
          <cell r="S61" t="b">
            <v>1</v>
          </cell>
          <cell r="T61" t="b">
            <v>1</v>
          </cell>
          <cell r="U61" t="b">
            <v>1</v>
          </cell>
          <cell r="V61" t="b">
            <v>1</v>
          </cell>
          <cell r="W61" t="b">
            <v>1</v>
          </cell>
          <cell r="X61" t="b">
            <v>1</v>
          </cell>
          <cell r="Y61" t="b">
            <v>0</v>
          </cell>
          <cell r="Z61" t="b">
            <v>0</v>
          </cell>
          <cell r="AD61" t="b">
            <v>0</v>
          </cell>
          <cell r="AE61" t="b">
            <v>0</v>
          </cell>
          <cell r="AF61">
            <v>40513</v>
          </cell>
          <cell r="AG61">
            <v>40513</v>
          </cell>
          <cell r="AH61">
            <v>2007</v>
          </cell>
          <cell r="AI61" t="str">
            <v>DE</v>
          </cell>
        </row>
        <row r="62">
          <cell r="A62" t="str">
            <v>E-IBCT</v>
          </cell>
          <cell r="C62" t="str">
            <v>None</v>
          </cell>
          <cell r="D62" t="str">
            <v>None</v>
          </cell>
          <cell r="E62" t="str">
            <v>Army</v>
          </cell>
          <cell r="H62" t="str">
            <v>Boeing</v>
          </cell>
          <cell r="I62" t="str">
            <v xml:space="preserve">SAIC </v>
          </cell>
          <cell r="N62" t="b">
            <v>0</v>
          </cell>
          <cell r="O62" t="b">
            <v>0</v>
          </cell>
          <cell r="P62" t="b">
            <v>0</v>
          </cell>
          <cell r="Q62" t="b">
            <v>0</v>
          </cell>
          <cell r="R62" t="b">
            <v>0</v>
          </cell>
          <cell r="S62" t="b">
            <v>0</v>
          </cell>
          <cell r="T62" t="b">
            <v>0</v>
          </cell>
          <cell r="U62" t="b">
            <v>0</v>
          </cell>
          <cell r="V62" t="b">
            <v>0</v>
          </cell>
          <cell r="W62" t="b">
            <v>0</v>
          </cell>
          <cell r="X62" t="b">
            <v>1</v>
          </cell>
          <cell r="Y62" t="b">
            <v>0</v>
          </cell>
          <cell r="Z62" t="b">
            <v>0</v>
          </cell>
          <cell r="AD62" t="b">
            <v>0</v>
          </cell>
          <cell r="AE62" t="b">
            <v>0</v>
          </cell>
          <cell r="AF62">
            <v>40513</v>
          </cell>
          <cell r="AG62">
            <v>40513</v>
          </cell>
          <cell r="AH62">
            <v>2010</v>
          </cell>
          <cell r="AI62" t="str">
            <v>PdE</v>
          </cell>
        </row>
        <row r="63">
          <cell r="A63" t="str">
            <v>ER/MP UAS</v>
          </cell>
          <cell r="C63">
            <v>353</v>
          </cell>
          <cell r="D63" t="str">
            <v>None</v>
          </cell>
          <cell r="E63" t="str">
            <v>Army</v>
          </cell>
          <cell r="H63" t="str">
            <v>General Atomics Aeronautical Systems</v>
          </cell>
          <cell r="M63" t="str">
            <v>General Atomics Aeronautical Systems</v>
          </cell>
          <cell r="N63" t="b">
            <v>0</v>
          </cell>
          <cell r="O63" t="b">
            <v>0</v>
          </cell>
          <cell r="P63" t="b">
            <v>0</v>
          </cell>
          <cell r="Q63" t="b">
            <v>0</v>
          </cell>
          <cell r="R63" t="b">
            <v>0</v>
          </cell>
          <cell r="S63" t="b">
            <v>0</v>
          </cell>
          <cell r="T63" t="b">
            <v>0</v>
          </cell>
          <cell r="U63" t="b">
            <v>0</v>
          </cell>
          <cell r="V63" t="b">
            <v>0</v>
          </cell>
          <cell r="W63" t="b">
            <v>0</v>
          </cell>
          <cell r="X63" t="b">
            <v>0</v>
          </cell>
          <cell r="Y63" t="b">
            <v>0</v>
          </cell>
          <cell r="Z63" t="b">
            <v>0</v>
          </cell>
          <cell r="AD63" t="b">
            <v>0</v>
          </cell>
          <cell r="AE63" t="b">
            <v>0</v>
          </cell>
          <cell r="AF63" t="str">
            <v/>
          </cell>
          <cell r="AG63" t="str">
            <v/>
          </cell>
          <cell r="AH63" t="str">
            <v/>
          </cell>
          <cell r="AI63" t="str">
            <v/>
          </cell>
        </row>
        <row r="64">
          <cell r="A64" t="str">
            <v>ERM</v>
          </cell>
          <cell r="C64">
            <v>256</v>
          </cell>
          <cell r="D64" t="str">
            <v>None</v>
          </cell>
          <cell r="E64" t="str">
            <v>Navy</v>
          </cell>
          <cell r="F64" t="str">
            <v>Munitions</v>
          </cell>
          <cell r="H64" t="str">
            <v>Raytheon</v>
          </cell>
          <cell r="M64" t="str">
            <v xml:space="preserve">Raytheon </v>
          </cell>
          <cell r="N64" t="b">
            <v>0</v>
          </cell>
          <cell r="O64" t="b">
            <v>0</v>
          </cell>
          <cell r="P64" t="b">
            <v>0</v>
          </cell>
          <cell r="Q64" t="b">
            <v>0</v>
          </cell>
          <cell r="R64" t="b">
            <v>0</v>
          </cell>
          <cell r="S64" t="b">
            <v>0</v>
          </cell>
          <cell r="T64" t="b">
            <v>0</v>
          </cell>
          <cell r="U64" t="b">
            <v>1</v>
          </cell>
          <cell r="V64" t="b">
            <v>0</v>
          </cell>
          <cell r="W64" t="b">
            <v>0</v>
          </cell>
          <cell r="X64" t="b">
            <v>0</v>
          </cell>
          <cell r="Y64" t="b">
            <v>0</v>
          </cell>
          <cell r="Z64" t="b">
            <v>0</v>
          </cell>
          <cell r="AD64" t="b">
            <v>0</v>
          </cell>
          <cell r="AE64" t="b">
            <v>0</v>
          </cell>
          <cell r="AF64">
            <v>39417</v>
          </cell>
          <cell r="AG64">
            <v>39417</v>
          </cell>
          <cell r="AH64">
            <v>2005</v>
          </cell>
          <cell r="AI64" t="str">
            <v>DE</v>
          </cell>
        </row>
        <row r="65">
          <cell r="A65" t="str">
            <v>EXCALIBUR</v>
          </cell>
          <cell r="C65">
            <v>366</v>
          </cell>
          <cell r="D65" t="str">
            <v>None</v>
          </cell>
          <cell r="E65" t="str">
            <v>Army</v>
          </cell>
          <cell r="H65" t="str">
            <v>Raytheon</v>
          </cell>
          <cell r="I65" t="str">
            <v>BAE Bofors</v>
          </cell>
          <cell r="J65" t="str">
            <v>General Dynamics, Bofors Defence</v>
          </cell>
          <cell r="M65" t="str">
            <v>Raytheon</v>
          </cell>
          <cell r="N65" t="b">
            <v>0</v>
          </cell>
          <cell r="O65" t="b">
            <v>0</v>
          </cell>
          <cell r="P65" t="b">
            <v>0</v>
          </cell>
          <cell r="Q65" t="b">
            <v>1</v>
          </cell>
          <cell r="R65" t="b">
            <v>1</v>
          </cell>
          <cell r="S65" t="b">
            <v>1</v>
          </cell>
          <cell r="T65" t="b">
            <v>1</v>
          </cell>
          <cell r="U65" t="b">
            <v>1</v>
          </cell>
          <cell r="V65" t="b">
            <v>1</v>
          </cell>
          <cell r="W65" t="b">
            <v>1</v>
          </cell>
          <cell r="X65" t="b">
            <v>1</v>
          </cell>
          <cell r="Y65" t="b">
            <v>1</v>
          </cell>
          <cell r="Z65" t="b">
            <v>0</v>
          </cell>
          <cell r="AD65" t="b">
            <v>0</v>
          </cell>
          <cell r="AE65" t="b">
            <v>1</v>
          </cell>
          <cell r="AF65">
            <v>40878</v>
          </cell>
          <cell r="AG65">
            <v>40878</v>
          </cell>
          <cell r="AH65">
            <v>2007</v>
          </cell>
          <cell r="AI65" t="str">
            <v>PdE</v>
          </cell>
        </row>
        <row r="66">
          <cell r="A66" t="str">
            <v>F/A-18E/F</v>
          </cell>
          <cell r="C66">
            <v>549</v>
          </cell>
          <cell r="D66" t="str">
            <v>None</v>
          </cell>
          <cell r="E66" t="str">
            <v>Navy</v>
          </cell>
          <cell r="F66" t="str">
            <v>Fixed Wing</v>
          </cell>
          <cell r="H66" t="str">
            <v>Boeing</v>
          </cell>
          <cell r="I66" t="str">
            <v>(Northrop Grumman, GE Aviation, Raytheon all contribute)</v>
          </cell>
          <cell r="J66" t="str">
            <v>General Electric, Raytheon, BAE, Honeywell, Harris, Dyncorp, Northrop Grumman</v>
          </cell>
          <cell r="M66" t="str">
            <v>Boeing</v>
          </cell>
          <cell r="N66" t="b">
            <v>0</v>
          </cell>
          <cell r="O66" t="b">
            <v>1</v>
          </cell>
          <cell r="P66" t="b">
            <v>1</v>
          </cell>
          <cell r="Q66" t="b">
            <v>1</v>
          </cell>
          <cell r="R66" t="b">
            <v>1</v>
          </cell>
          <cell r="S66" t="b">
            <v>1</v>
          </cell>
          <cell r="T66" t="b">
            <v>1</v>
          </cell>
          <cell r="U66" t="b">
            <v>1</v>
          </cell>
          <cell r="V66" t="b">
            <v>1</v>
          </cell>
          <cell r="W66" t="b">
            <v>1</v>
          </cell>
          <cell r="X66" t="b">
            <v>1</v>
          </cell>
          <cell r="Y66" t="b">
            <v>1</v>
          </cell>
          <cell r="Z66" t="b">
            <v>0</v>
          </cell>
          <cell r="AD66" t="b">
            <v>0</v>
          </cell>
          <cell r="AE66" t="b">
            <v>1</v>
          </cell>
          <cell r="AF66">
            <v>40878</v>
          </cell>
          <cell r="AG66">
            <v>40878</v>
          </cell>
          <cell r="AH66">
            <v>2000</v>
          </cell>
          <cell r="AI66" t="str">
            <v>PdE</v>
          </cell>
        </row>
        <row r="67">
          <cell r="A67" t="str">
            <v>F-22</v>
          </cell>
          <cell r="C67">
            <v>265</v>
          </cell>
          <cell r="D67" t="str">
            <v>None</v>
          </cell>
          <cell r="E67" t="str">
            <v>Air Force</v>
          </cell>
          <cell r="F67" t="str">
            <v>Fixed Wing</v>
          </cell>
          <cell r="H67" t="str">
            <v>Lockheed Martin, Boeing, Pratt &amp; Whitney</v>
          </cell>
          <cell r="J67" t="str">
            <v>Boeing, Pratt and Whitney (UTC), Rockwell Collins, ITT</v>
          </cell>
          <cell r="M67" t="str">
            <v>Lockheed Martin</v>
          </cell>
          <cell r="N67" t="b">
            <v>0</v>
          </cell>
          <cell r="O67" t="b">
            <v>1</v>
          </cell>
          <cell r="P67" t="b">
            <v>1</v>
          </cell>
          <cell r="Q67" t="b">
            <v>1</v>
          </cell>
          <cell r="R67" t="b">
            <v>1</v>
          </cell>
          <cell r="S67" t="b">
            <v>1</v>
          </cell>
          <cell r="T67" t="b">
            <v>1</v>
          </cell>
          <cell r="U67" t="b">
            <v>1</v>
          </cell>
          <cell r="V67" t="b">
            <v>1</v>
          </cell>
          <cell r="W67" t="b">
            <v>1</v>
          </cell>
          <cell r="X67" t="b">
            <v>1</v>
          </cell>
          <cell r="Y67" t="b">
            <v>0</v>
          </cell>
          <cell r="Z67" t="b">
            <v>0</v>
          </cell>
          <cell r="AD67" t="b">
            <v>0</v>
          </cell>
          <cell r="AE67" t="b">
            <v>0</v>
          </cell>
          <cell r="AF67">
            <v>40513</v>
          </cell>
          <cell r="AG67">
            <v>40513</v>
          </cell>
          <cell r="AH67">
            <v>2005</v>
          </cell>
          <cell r="AI67" t="str">
            <v>PdE</v>
          </cell>
        </row>
        <row r="68">
          <cell r="A68" t="str">
            <v>F-35</v>
          </cell>
          <cell r="C68">
            <v>198</v>
          </cell>
          <cell r="D68" t="str">
            <v>None</v>
          </cell>
          <cell r="E68" t="str">
            <v>DoD-wide</v>
          </cell>
          <cell r="F68" t="str">
            <v>Fixed Wing</v>
          </cell>
          <cell r="H68" t="str">
            <v>Lockheed Martin</v>
          </cell>
          <cell r="J68" t="str">
            <v>Pratt and Whitney (UTC), General Electric/Rolls-Royce, BAE, Rockwell Collins, Boeing, Northrop Grumman</v>
          </cell>
          <cell r="M68" t="str">
            <v>Lockheed Martin</v>
          </cell>
          <cell r="N68" t="b">
            <v>0</v>
          </cell>
          <cell r="O68" t="b">
            <v>1</v>
          </cell>
          <cell r="P68" t="b">
            <v>1</v>
          </cell>
          <cell r="Q68" t="b">
            <v>1</v>
          </cell>
          <cell r="R68" t="b">
            <v>1</v>
          </cell>
          <cell r="S68" t="b">
            <v>1</v>
          </cell>
          <cell r="T68" t="b">
            <v>1</v>
          </cell>
          <cell r="U68" t="b">
            <v>1</v>
          </cell>
          <cell r="V68" t="b">
            <v>1</v>
          </cell>
          <cell r="W68" t="b">
            <v>1</v>
          </cell>
          <cell r="X68" t="b">
            <v>1</v>
          </cell>
          <cell r="Y68" t="b">
            <v>0</v>
          </cell>
          <cell r="Z68" t="b">
            <v>0</v>
          </cell>
          <cell r="AD68" t="b">
            <v>0</v>
          </cell>
          <cell r="AE68" t="b">
            <v>0</v>
          </cell>
          <cell r="AF68">
            <v>40513</v>
          </cell>
          <cell r="AG68">
            <v>40513</v>
          </cell>
          <cell r="AH68">
            <v>2002</v>
          </cell>
          <cell r="AI68" t="str">
            <v>DE</v>
          </cell>
        </row>
        <row r="69">
          <cell r="A69" t="str">
            <v>F-35 Aircraft</v>
          </cell>
          <cell r="N69" t="b">
            <v>0</v>
          </cell>
          <cell r="O69" t="b">
            <v>0</v>
          </cell>
          <cell r="P69" t="b">
            <v>0</v>
          </cell>
          <cell r="Q69" t="b">
            <v>0</v>
          </cell>
          <cell r="R69" t="b">
            <v>0</v>
          </cell>
          <cell r="S69" t="b">
            <v>0</v>
          </cell>
          <cell r="T69" t="b">
            <v>0</v>
          </cell>
          <cell r="U69" t="b">
            <v>0</v>
          </cell>
          <cell r="V69" t="b">
            <v>0</v>
          </cell>
          <cell r="W69" t="b">
            <v>0</v>
          </cell>
          <cell r="X69" t="b">
            <v>0</v>
          </cell>
          <cell r="Y69" t="b">
            <v>1</v>
          </cell>
          <cell r="Z69" t="b">
            <v>0</v>
          </cell>
          <cell r="AD69" t="b">
            <v>1</v>
          </cell>
          <cell r="AE69" t="b">
            <v>1</v>
          </cell>
          <cell r="AF69">
            <v>40878</v>
          </cell>
          <cell r="AG69">
            <v>40878</v>
          </cell>
          <cell r="AH69">
            <v>2012</v>
          </cell>
          <cell r="AI69" t="str">
            <v>DE</v>
          </cell>
        </row>
        <row r="70">
          <cell r="A70" t="str">
            <v>F-35 Engine</v>
          </cell>
          <cell r="N70" t="b">
            <v>0</v>
          </cell>
          <cell r="O70" t="b">
            <v>0</v>
          </cell>
          <cell r="P70" t="b">
            <v>0</v>
          </cell>
          <cell r="Q70" t="b">
            <v>0</v>
          </cell>
          <cell r="R70" t="b">
            <v>0</v>
          </cell>
          <cell r="S70" t="b">
            <v>0</v>
          </cell>
          <cell r="T70" t="b">
            <v>0</v>
          </cell>
          <cell r="U70" t="b">
            <v>0</v>
          </cell>
          <cell r="V70" t="b">
            <v>0</v>
          </cell>
          <cell r="W70" t="b">
            <v>0</v>
          </cell>
          <cell r="X70" t="b">
            <v>0</v>
          </cell>
          <cell r="Y70" t="b">
            <v>1</v>
          </cell>
          <cell r="Z70" t="b">
            <v>0</v>
          </cell>
          <cell r="AD70" t="b">
            <v>1</v>
          </cell>
          <cell r="AE70" t="b">
            <v>1</v>
          </cell>
          <cell r="AF70">
            <v>40878</v>
          </cell>
          <cell r="AG70">
            <v>40878</v>
          </cell>
          <cell r="AH70">
            <v>2012</v>
          </cell>
          <cell r="AI70" t="str">
            <v>DE</v>
          </cell>
        </row>
        <row r="71">
          <cell r="A71" t="str">
            <v>FAB-T</v>
          </cell>
          <cell r="C71">
            <v>199</v>
          </cell>
          <cell r="D71" t="str">
            <v>None</v>
          </cell>
          <cell r="E71" t="str">
            <v>Air Force</v>
          </cell>
          <cell r="H71" t="str">
            <v>Boeing</v>
          </cell>
          <cell r="J71" t="str">
            <v xml:space="preserve">               </v>
          </cell>
          <cell r="M71" t="str">
            <v>Boeing</v>
          </cell>
          <cell r="N71" t="b">
            <v>0</v>
          </cell>
          <cell r="O71" t="b">
            <v>0</v>
          </cell>
          <cell r="P71" t="b">
            <v>0</v>
          </cell>
          <cell r="Q71" t="b">
            <v>0</v>
          </cell>
          <cell r="R71" t="b">
            <v>0</v>
          </cell>
          <cell r="S71" t="b">
            <v>0</v>
          </cell>
          <cell r="T71" t="b">
            <v>0</v>
          </cell>
          <cell r="U71" t="b">
            <v>1</v>
          </cell>
          <cell r="V71" t="b">
            <v>1</v>
          </cell>
          <cell r="W71" t="b">
            <v>1</v>
          </cell>
          <cell r="X71" t="b">
            <v>1</v>
          </cell>
          <cell r="Y71" t="b">
            <v>1</v>
          </cell>
          <cell r="Z71" t="b">
            <v>0</v>
          </cell>
          <cell r="AD71" t="b">
            <v>0</v>
          </cell>
          <cell r="AE71" t="b">
            <v>1</v>
          </cell>
          <cell r="AF71">
            <v>40878</v>
          </cell>
          <cell r="AG71">
            <v>40878</v>
          </cell>
          <cell r="AH71">
            <v>2002</v>
          </cell>
          <cell r="AI71" t="str">
            <v>DE</v>
          </cell>
        </row>
        <row r="72">
          <cell r="A72" t="str">
            <v>FBCB2</v>
          </cell>
          <cell r="C72">
            <v>294</v>
          </cell>
          <cell r="D72" t="str">
            <v>None</v>
          </cell>
          <cell r="E72" t="str">
            <v>Army</v>
          </cell>
          <cell r="H72" t="str">
            <v>Northrop Grumman</v>
          </cell>
          <cell r="J72" t="str">
            <v xml:space="preserve">DRS </v>
          </cell>
          <cell r="M72" t="str">
            <v>Northrop Grumman</v>
          </cell>
          <cell r="N72" t="b">
            <v>0</v>
          </cell>
          <cell r="O72" t="b">
            <v>1</v>
          </cell>
          <cell r="P72" t="b">
            <v>1</v>
          </cell>
          <cell r="Q72" t="b">
            <v>1</v>
          </cell>
          <cell r="R72" t="b">
            <v>1</v>
          </cell>
          <cell r="S72" t="b">
            <v>1</v>
          </cell>
          <cell r="T72" t="b">
            <v>1</v>
          </cell>
          <cell r="U72" t="b">
            <v>1</v>
          </cell>
          <cell r="V72" t="b">
            <v>1</v>
          </cell>
          <cell r="W72" t="b">
            <v>1</v>
          </cell>
          <cell r="X72" t="b">
            <v>1</v>
          </cell>
          <cell r="Y72" t="b">
            <v>0</v>
          </cell>
          <cell r="Z72" t="b">
            <v>0</v>
          </cell>
          <cell r="AD72" t="b">
            <v>0</v>
          </cell>
          <cell r="AE72" t="b">
            <v>0</v>
          </cell>
          <cell r="AF72">
            <v>40513</v>
          </cell>
          <cell r="AG72">
            <v>40513</v>
          </cell>
          <cell r="AH72">
            <v>2005</v>
          </cell>
          <cell r="AI72" t="str">
            <v>PdE</v>
          </cell>
        </row>
        <row r="73">
          <cell r="A73" t="str">
            <v>FCS</v>
          </cell>
          <cell r="C73">
            <v>301</v>
          </cell>
          <cell r="D73" t="str">
            <v>None</v>
          </cell>
          <cell r="E73" t="str">
            <v>Army</v>
          </cell>
          <cell r="H73" t="str">
            <v>Boeing</v>
          </cell>
          <cell r="I73" t="str">
            <v>SAIC</v>
          </cell>
          <cell r="J73" t="str">
            <v>BAE, General Dynamics</v>
          </cell>
          <cell r="M73" t="str">
            <v>Boeing</v>
          </cell>
          <cell r="N73" t="b">
            <v>0</v>
          </cell>
          <cell r="O73" t="b">
            <v>0</v>
          </cell>
          <cell r="P73" t="b">
            <v>0</v>
          </cell>
          <cell r="Q73" t="b">
            <v>1</v>
          </cell>
          <cell r="R73" t="b">
            <v>1</v>
          </cell>
          <cell r="S73" t="b">
            <v>1</v>
          </cell>
          <cell r="T73" t="b">
            <v>1</v>
          </cell>
          <cell r="U73" t="b">
            <v>1</v>
          </cell>
          <cell r="V73" t="b">
            <v>1</v>
          </cell>
          <cell r="W73" t="b">
            <v>0</v>
          </cell>
          <cell r="X73" t="b">
            <v>0</v>
          </cell>
          <cell r="Y73" t="b">
            <v>0</v>
          </cell>
          <cell r="Z73" t="b">
            <v>0</v>
          </cell>
          <cell r="AD73" t="b">
            <v>0</v>
          </cell>
          <cell r="AE73" t="b">
            <v>0</v>
          </cell>
          <cell r="AF73">
            <v>39692</v>
          </cell>
          <cell r="AG73">
            <v>39692</v>
          </cell>
          <cell r="AH73">
            <v>2003</v>
          </cell>
          <cell r="AI73" t="str">
            <v>DE</v>
          </cell>
        </row>
        <row r="74">
          <cell r="A74" t="str">
            <v>FMTV</v>
          </cell>
          <cell r="C74">
            <v>746</v>
          </cell>
          <cell r="D74" t="str">
            <v>None</v>
          </cell>
          <cell r="E74" t="str">
            <v>Army</v>
          </cell>
          <cell r="F74" t="str">
            <v>Vehicle</v>
          </cell>
          <cell r="H74" t="str">
            <v>Oshkosh (2011)</v>
          </cell>
          <cell r="J74" t="str">
            <v xml:space="preserve">BAE, Cummins, </v>
          </cell>
          <cell r="M74" t="str">
            <v>Stewart and Stevenson (BAE)</v>
          </cell>
          <cell r="N74" t="b">
            <v>0</v>
          </cell>
          <cell r="O74" t="b">
            <v>1</v>
          </cell>
          <cell r="P74" t="b">
            <v>1</v>
          </cell>
          <cell r="Q74" t="b">
            <v>1</v>
          </cell>
          <cell r="R74" t="b">
            <v>1</v>
          </cell>
          <cell r="S74" t="b">
            <v>1</v>
          </cell>
          <cell r="T74" t="b">
            <v>1</v>
          </cell>
          <cell r="U74" t="b">
            <v>1</v>
          </cell>
          <cell r="V74" t="b">
            <v>1</v>
          </cell>
          <cell r="W74" t="b">
            <v>1</v>
          </cell>
          <cell r="X74" t="b">
            <v>1</v>
          </cell>
          <cell r="Y74" t="b">
            <v>1</v>
          </cell>
          <cell r="Z74" t="b">
            <v>0</v>
          </cell>
          <cell r="AD74" t="b">
            <v>0</v>
          </cell>
          <cell r="AE74" t="b">
            <v>1</v>
          </cell>
          <cell r="AF74">
            <v>40878</v>
          </cell>
          <cell r="AG74">
            <v>40878</v>
          </cell>
          <cell r="AH74">
            <v>1996</v>
          </cell>
          <cell r="AI74" t="str">
            <v>PdE</v>
          </cell>
        </row>
        <row r="75">
          <cell r="A75" t="str">
            <v>GBS</v>
          </cell>
          <cell r="C75">
            <v>237</v>
          </cell>
          <cell r="D75" t="str">
            <v>None</v>
          </cell>
          <cell r="E75" t="str">
            <v>Air Force</v>
          </cell>
          <cell r="H75" t="str">
            <v>Raytheon</v>
          </cell>
          <cell r="J75" t="str">
            <v>BAE, Booz Allen Hamilton</v>
          </cell>
          <cell r="M75" t="str">
            <v>Raytheon</v>
          </cell>
          <cell r="N75" t="b">
            <v>0</v>
          </cell>
          <cell r="O75" t="b">
            <v>1</v>
          </cell>
          <cell r="P75" t="b">
            <v>1</v>
          </cell>
          <cell r="Q75" t="b">
            <v>1</v>
          </cell>
          <cell r="R75" t="b">
            <v>1</v>
          </cell>
          <cell r="S75" t="b">
            <v>1</v>
          </cell>
          <cell r="T75" t="b">
            <v>1</v>
          </cell>
          <cell r="U75" t="b">
            <v>1</v>
          </cell>
          <cell r="V75" t="b">
            <v>1</v>
          </cell>
          <cell r="W75" t="b">
            <v>1</v>
          </cell>
          <cell r="X75" t="b">
            <v>1</v>
          </cell>
          <cell r="Y75" t="b">
            <v>1</v>
          </cell>
          <cell r="Z75" t="b">
            <v>0</v>
          </cell>
          <cell r="AD75" t="b">
            <v>0</v>
          </cell>
          <cell r="AE75" t="b">
            <v>1</v>
          </cell>
          <cell r="AF75">
            <v>40878</v>
          </cell>
          <cell r="AG75">
            <v>40878</v>
          </cell>
          <cell r="AH75">
            <v>1997</v>
          </cell>
          <cell r="AI75" t="str">
            <v>DE</v>
          </cell>
        </row>
        <row r="76">
          <cell r="A76" t="str">
            <v>GCSS Army</v>
          </cell>
          <cell r="C76">
            <v>347</v>
          </cell>
          <cell r="D76" t="str">
            <v>None</v>
          </cell>
          <cell r="H76" t="str">
            <v xml:space="preserve">Northrop Grumman </v>
          </cell>
          <cell r="M76" t="str">
            <v xml:space="preserve">SAP </v>
          </cell>
          <cell r="N76" t="b">
            <v>0</v>
          </cell>
          <cell r="O76" t="b">
            <v>0</v>
          </cell>
          <cell r="P76" t="b">
            <v>0</v>
          </cell>
          <cell r="Q76" t="b">
            <v>0</v>
          </cell>
          <cell r="R76" t="b">
            <v>0</v>
          </cell>
          <cell r="S76" t="b">
            <v>0</v>
          </cell>
          <cell r="T76" t="b">
            <v>0</v>
          </cell>
          <cell r="U76" t="b">
            <v>0</v>
          </cell>
          <cell r="V76" t="b">
            <v>0</v>
          </cell>
          <cell r="W76" t="b">
            <v>0</v>
          </cell>
          <cell r="X76" t="b">
            <v>0</v>
          </cell>
          <cell r="Y76" t="b">
            <v>0</v>
          </cell>
          <cell r="Z76" t="b">
            <v>0</v>
          </cell>
          <cell r="AD76" t="b">
            <v>0</v>
          </cell>
          <cell r="AE76" t="b">
            <v>0</v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</row>
        <row r="77">
          <cell r="A77" t="str">
            <v>GMLRS</v>
          </cell>
          <cell r="C77">
            <v>260</v>
          </cell>
          <cell r="D77" t="str">
            <v>None</v>
          </cell>
          <cell r="E77" t="str">
            <v>Army</v>
          </cell>
          <cell r="F77" t="str">
            <v>Munitions</v>
          </cell>
          <cell r="H77" t="str">
            <v>Lockheed Martin</v>
          </cell>
          <cell r="J77" t="str">
            <v>Titan Dynamics Systems, Honeywell</v>
          </cell>
          <cell r="M77" t="str">
            <v>Lockheed Martin</v>
          </cell>
          <cell r="N77" t="b">
            <v>0</v>
          </cell>
          <cell r="O77" t="b">
            <v>0</v>
          </cell>
          <cell r="P77" t="b">
            <v>1</v>
          </cell>
          <cell r="Q77" t="b">
            <v>1</v>
          </cell>
          <cell r="R77" t="b">
            <v>1</v>
          </cell>
          <cell r="S77" t="b">
            <v>1</v>
          </cell>
          <cell r="T77" t="b">
            <v>1</v>
          </cell>
          <cell r="U77" t="b">
            <v>1</v>
          </cell>
          <cell r="V77" t="b">
            <v>1</v>
          </cell>
          <cell r="W77" t="b">
            <v>1</v>
          </cell>
          <cell r="X77" t="b">
            <v>1</v>
          </cell>
          <cell r="Y77" t="b">
            <v>1</v>
          </cell>
          <cell r="Z77" t="b">
            <v>0</v>
          </cell>
          <cell r="AD77" t="b">
            <v>0</v>
          </cell>
          <cell r="AE77" t="b">
            <v>1</v>
          </cell>
          <cell r="AF77">
            <v>40878</v>
          </cell>
          <cell r="AG77">
            <v>40878</v>
          </cell>
          <cell r="AH77">
            <v>2003</v>
          </cell>
          <cell r="AI77" t="str">
            <v>PdE</v>
          </cell>
        </row>
        <row r="78">
          <cell r="A78" t="str">
            <v>GPS IIIA</v>
          </cell>
          <cell r="C78">
            <v>292</v>
          </cell>
          <cell r="D78" t="str">
            <v>None</v>
          </cell>
          <cell r="E78" t="str">
            <v>Air Force</v>
          </cell>
          <cell r="H78" t="str">
            <v>Lockheed Martin</v>
          </cell>
          <cell r="J78" t="str">
            <v>ITT, General Dynamics, SNECMA (SAFRAN), CFM, General Electric</v>
          </cell>
          <cell r="L78" t="str">
            <v>http://www.lockheedmartin.com/products/GPS/index.html</v>
          </cell>
          <cell r="M78" t="str">
            <v>Lockheed Martin</v>
          </cell>
          <cell r="N78" t="b">
            <v>0</v>
          </cell>
          <cell r="O78" t="b">
            <v>0</v>
          </cell>
          <cell r="P78" t="b">
            <v>0</v>
          </cell>
          <cell r="Q78" t="b">
            <v>0</v>
          </cell>
          <cell r="R78" t="b">
            <v>0</v>
          </cell>
          <cell r="S78" t="b">
            <v>0</v>
          </cell>
          <cell r="T78" t="b">
            <v>0</v>
          </cell>
          <cell r="U78" t="b">
            <v>0</v>
          </cell>
          <cell r="V78" t="b">
            <v>1</v>
          </cell>
          <cell r="W78" t="b">
            <v>1</v>
          </cell>
          <cell r="X78" t="b">
            <v>1</v>
          </cell>
          <cell r="Y78" t="b">
            <v>1</v>
          </cell>
          <cell r="Z78" t="b">
            <v>0</v>
          </cell>
          <cell r="AD78" t="b">
            <v>0</v>
          </cell>
          <cell r="AE78" t="b">
            <v>1</v>
          </cell>
          <cell r="AF78">
            <v>40878</v>
          </cell>
          <cell r="AG78">
            <v>40878</v>
          </cell>
          <cell r="AH78">
            <v>2010</v>
          </cell>
          <cell r="AI78" t="str">
            <v>PdE</v>
          </cell>
        </row>
        <row r="79">
          <cell r="A79" t="str">
            <v>H-1 Upgrades</v>
          </cell>
          <cell r="C79">
            <v>101</v>
          </cell>
          <cell r="D79" t="str">
            <v>None</v>
          </cell>
          <cell r="E79" t="str">
            <v>Navy</v>
          </cell>
          <cell r="F79" t="str">
            <v>Helicopter</v>
          </cell>
          <cell r="H79" t="str">
            <v>Bell Helicopter (Textron)</v>
          </cell>
          <cell r="J79" t="str">
            <v>Thales, Boeing, Lockheed Martin, AT&amp;T, General Electric</v>
          </cell>
          <cell r="M79" t="str">
            <v>Bell Helicopter (Textron)</v>
          </cell>
          <cell r="N79" t="b">
            <v>0</v>
          </cell>
          <cell r="O79" t="b">
            <v>1</v>
          </cell>
          <cell r="P79" t="b">
            <v>1</v>
          </cell>
          <cell r="Q79" t="b">
            <v>1</v>
          </cell>
          <cell r="R79" t="b">
            <v>1</v>
          </cell>
          <cell r="S79" t="b">
            <v>1</v>
          </cell>
          <cell r="T79" t="b">
            <v>1</v>
          </cell>
          <cell r="U79" t="b">
            <v>1</v>
          </cell>
          <cell r="V79" t="b">
            <v>1</v>
          </cell>
          <cell r="W79" t="b">
            <v>1</v>
          </cell>
          <cell r="X79" t="b">
            <v>1</v>
          </cell>
          <cell r="Y79" t="b">
            <v>1</v>
          </cell>
          <cell r="Z79" t="b">
            <v>0</v>
          </cell>
          <cell r="AD79" t="b">
            <v>0</v>
          </cell>
          <cell r="AE79" t="b">
            <v>1</v>
          </cell>
          <cell r="AF79">
            <v>40878</v>
          </cell>
          <cell r="AG79">
            <v>40878</v>
          </cell>
          <cell r="AH79">
            <v>2008</v>
          </cell>
          <cell r="AI79" t="str">
            <v>PdE</v>
          </cell>
        </row>
        <row r="80">
          <cell r="A80" t="str">
            <v>HC/MC-130 RECAP</v>
          </cell>
          <cell r="N80" t="b">
            <v>0</v>
          </cell>
          <cell r="O80" t="b">
            <v>0</v>
          </cell>
          <cell r="P80" t="b">
            <v>0</v>
          </cell>
          <cell r="Q80" t="b">
            <v>0</v>
          </cell>
          <cell r="R80" t="b">
            <v>0</v>
          </cell>
          <cell r="S80" t="b">
            <v>0</v>
          </cell>
          <cell r="T80" t="b">
            <v>0</v>
          </cell>
          <cell r="U80" t="b">
            <v>0</v>
          </cell>
          <cell r="V80" t="b">
            <v>0</v>
          </cell>
          <cell r="W80" t="b">
            <v>0</v>
          </cell>
          <cell r="X80" t="b">
            <v>1</v>
          </cell>
          <cell r="Y80" t="b">
            <v>1</v>
          </cell>
          <cell r="Z80" t="b">
            <v>0</v>
          </cell>
          <cell r="AD80" t="b">
            <v>0</v>
          </cell>
          <cell r="AE80" t="b">
            <v>1</v>
          </cell>
          <cell r="AF80">
            <v>40878</v>
          </cell>
          <cell r="AG80">
            <v>40878</v>
          </cell>
          <cell r="AH80">
            <v>2009</v>
          </cell>
          <cell r="AI80" t="str">
            <v>PdE</v>
          </cell>
        </row>
        <row r="81">
          <cell r="A81" t="str">
            <v>HIMARS</v>
          </cell>
          <cell r="C81">
            <v>367</v>
          </cell>
          <cell r="D81" t="str">
            <v>None</v>
          </cell>
          <cell r="E81" t="str">
            <v>Army</v>
          </cell>
          <cell r="H81" t="str">
            <v>Lockheed Martin</v>
          </cell>
          <cell r="J81" t="str">
            <v>Harris, L-3</v>
          </cell>
          <cell r="M81" t="str">
            <v>Lockheed Martin</v>
          </cell>
          <cell r="N81" t="b">
            <v>0</v>
          </cell>
          <cell r="O81" t="b">
            <v>0</v>
          </cell>
          <cell r="P81" t="b">
            <v>0</v>
          </cell>
          <cell r="Q81" t="b">
            <v>1</v>
          </cell>
          <cell r="R81" t="b">
            <v>1</v>
          </cell>
          <cell r="S81" t="b">
            <v>1</v>
          </cell>
          <cell r="T81" t="b">
            <v>1</v>
          </cell>
          <cell r="U81" t="b">
            <v>1</v>
          </cell>
          <cell r="V81" t="b">
            <v>1</v>
          </cell>
          <cell r="W81" t="b">
            <v>1</v>
          </cell>
          <cell r="X81" t="b">
            <v>1</v>
          </cell>
          <cell r="Y81" t="b">
            <v>1</v>
          </cell>
          <cell r="Z81" t="b">
            <v>0</v>
          </cell>
          <cell r="AD81" t="b">
            <v>0</v>
          </cell>
          <cell r="AE81" t="b">
            <v>1</v>
          </cell>
          <cell r="AF81">
            <v>40878</v>
          </cell>
          <cell r="AG81">
            <v>40878</v>
          </cell>
          <cell r="AH81">
            <v>2003</v>
          </cell>
          <cell r="AI81" t="str">
            <v>PdE</v>
          </cell>
        </row>
        <row r="82">
          <cell r="A82" t="str">
            <v>HLR</v>
          </cell>
          <cell r="H82" t="str">
            <v>Sikorsky Aircraft Corporation (UTC)</v>
          </cell>
          <cell r="N82" t="b">
            <v>0</v>
          </cell>
          <cell r="O82" t="b">
            <v>0</v>
          </cell>
          <cell r="P82" t="b">
            <v>0</v>
          </cell>
          <cell r="Q82" t="b">
            <v>0</v>
          </cell>
          <cell r="R82" t="b">
            <v>0</v>
          </cell>
          <cell r="S82" t="b">
            <v>0</v>
          </cell>
          <cell r="T82" t="b">
            <v>0</v>
          </cell>
          <cell r="U82" t="b">
            <v>0</v>
          </cell>
          <cell r="V82" t="b">
            <v>0</v>
          </cell>
          <cell r="W82" t="b">
            <v>0</v>
          </cell>
          <cell r="X82" t="b">
            <v>0</v>
          </cell>
          <cell r="Y82" t="b">
            <v>0</v>
          </cell>
          <cell r="Z82" t="b">
            <v>0</v>
          </cell>
          <cell r="AD82" t="b">
            <v>0</v>
          </cell>
          <cell r="AE82" t="b">
            <v>0</v>
          </cell>
          <cell r="AF82" t="str">
            <v/>
          </cell>
          <cell r="AG82" t="str">
            <v/>
          </cell>
          <cell r="AH82" t="str">
            <v/>
          </cell>
          <cell r="AI82" t="str">
            <v/>
          </cell>
        </row>
        <row r="83">
          <cell r="A83" t="str">
            <v>HPCM</v>
          </cell>
          <cell r="C83">
            <v>352</v>
          </cell>
          <cell r="D83" t="str">
            <v>None</v>
          </cell>
          <cell r="F83" t="str">
            <v>Electronic</v>
          </cell>
          <cell r="H83" t="str">
            <v>Various</v>
          </cell>
          <cell r="J83" t="str">
            <v>AT&amp;T, Microsoft</v>
          </cell>
          <cell r="K83" t="str">
            <v xml:space="preserve">Lockheed Martin, Verizon, numerous others, highly diversified </v>
          </cell>
          <cell r="L83" t="str">
            <v>See: http://www.hpcmo.hpc.mil/index.php  High Performance Computing Modernization Program Office HPCM Director Cray Henry, Phone: 703-812-4400</v>
          </cell>
          <cell r="M83" t="str">
            <v>Various</v>
          </cell>
          <cell r="N83" t="b">
            <v>0</v>
          </cell>
          <cell r="O83" t="b">
            <v>0</v>
          </cell>
          <cell r="P83" t="b">
            <v>0</v>
          </cell>
          <cell r="Q83" t="b">
            <v>0</v>
          </cell>
          <cell r="R83" t="b">
            <v>0</v>
          </cell>
          <cell r="S83" t="b">
            <v>0</v>
          </cell>
          <cell r="T83" t="b">
            <v>0</v>
          </cell>
          <cell r="U83" t="b">
            <v>0</v>
          </cell>
          <cell r="V83" t="b">
            <v>0</v>
          </cell>
          <cell r="W83" t="b">
            <v>0</v>
          </cell>
          <cell r="X83" t="b">
            <v>0</v>
          </cell>
          <cell r="Y83" t="b">
            <v>0</v>
          </cell>
          <cell r="Z83" t="b">
            <v>0</v>
          </cell>
          <cell r="AD83" t="b">
            <v>0</v>
          </cell>
          <cell r="AE83" t="b">
            <v>0</v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</row>
        <row r="84">
          <cell r="A84" t="str">
            <v>IAMD</v>
          </cell>
          <cell r="C84" t="str">
            <v>None</v>
          </cell>
          <cell r="D84" t="str">
            <v>None</v>
          </cell>
          <cell r="E84" t="str">
            <v>Army</v>
          </cell>
          <cell r="H84" t="str">
            <v>Northrop Grumman, Raytheon, DMD</v>
          </cell>
          <cell r="K84" t="str">
            <v>Raytheon</v>
          </cell>
          <cell r="N84" t="b">
            <v>0</v>
          </cell>
          <cell r="O84" t="b">
            <v>0</v>
          </cell>
          <cell r="P84" t="b">
            <v>0</v>
          </cell>
          <cell r="Q84" t="b">
            <v>0</v>
          </cell>
          <cell r="R84" t="b">
            <v>0</v>
          </cell>
          <cell r="S84" t="b">
            <v>0</v>
          </cell>
          <cell r="T84" t="b">
            <v>0</v>
          </cell>
          <cell r="U84" t="b">
            <v>0</v>
          </cell>
          <cell r="V84" t="b">
            <v>0</v>
          </cell>
          <cell r="W84" t="b">
            <v>0</v>
          </cell>
          <cell r="X84" t="b">
            <v>1</v>
          </cell>
          <cell r="Y84" t="b">
            <v>1</v>
          </cell>
          <cell r="Z84" t="b">
            <v>0</v>
          </cell>
          <cell r="AD84" t="b">
            <v>0</v>
          </cell>
          <cell r="AE84" t="b">
            <v>1</v>
          </cell>
          <cell r="AF84">
            <v>40878</v>
          </cell>
          <cell r="AG84">
            <v>40878</v>
          </cell>
          <cell r="AH84">
            <v>2009</v>
          </cell>
          <cell r="AI84" t="str">
            <v>DE</v>
          </cell>
        </row>
        <row r="85">
          <cell r="A85" t="str">
            <v>IDECM</v>
          </cell>
          <cell r="C85">
            <v>419</v>
          </cell>
          <cell r="D85">
            <v>103</v>
          </cell>
          <cell r="E85" t="str">
            <v>Navy</v>
          </cell>
          <cell r="H85" t="str">
            <v>BAE</v>
          </cell>
          <cell r="J85" t="str">
            <v>Lockheed Martin, Boeing, L-3, Northrop Grumman, Honeywell, Rockwell Collins, General Electric, Hamilton Sundstrand (UTC), ITT</v>
          </cell>
          <cell r="L85" t="str">
            <v>http://www.defenselink.mil/contracts/contract.aspx?contractid=4008</v>
          </cell>
          <cell r="M85" t="str">
            <v>BAE</v>
          </cell>
          <cell r="N85" t="b">
            <v>0</v>
          </cell>
          <cell r="O85" t="b">
            <v>0</v>
          </cell>
          <cell r="P85" t="b">
            <v>0</v>
          </cell>
          <cell r="Q85" t="b">
            <v>0</v>
          </cell>
          <cell r="R85" t="b">
            <v>0</v>
          </cell>
          <cell r="S85" t="b">
            <v>0</v>
          </cell>
          <cell r="T85" t="b">
            <v>0</v>
          </cell>
          <cell r="U85" t="b">
            <v>0</v>
          </cell>
          <cell r="V85" t="b">
            <v>0</v>
          </cell>
          <cell r="W85" t="b">
            <v>0</v>
          </cell>
          <cell r="X85" t="b">
            <v>0</v>
          </cell>
          <cell r="Y85" t="b">
            <v>0</v>
          </cell>
          <cell r="Z85" t="b">
            <v>0</v>
          </cell>
          <cell r="AD85" t="b">
            <v>0</v>
          </cell>
          <cell r="AE85" t="b">
            <v>0</v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</row>
        <row r="86">
          <cell r="A86" t="str">
            <v>IDECM Split</v>
          </cell>
          <cell r="N86" t="b">
            <v>0</v>
          </cell>
          <cell r="O86" t="b">
            <v>0</v>
          </cell>
          <cell r="P86" t="b">
            <v>0</v>
          </cell>
          <cell r="Q86" t="b">
            <v>0</v>
          </cell>
          <cell r="R86" t="b">
            <v>0</v>
          </cell>
          <cell r="S86" t="b">
            <v>0</v>
          </cell>
          <cell r="T86" t="b">
            <v>0</v>
          </cell>
          <cell r="U86" t="b">
            <v>0</v>
          </cell>
          <cell r="V86" t="b">
            <v>1</v>
          </cell>
          <cell r="W86" t="b">
            <v>1</v>
          </cell>
          <cell r="X86" t="b">
            <v>1</v>
          </cell>
          <cell r="Y86" t="b">
            <v>1</v>
          </cell>
          <cell r="Z86" t="b">
            <v>0</v>
          </cell>
          <cell r="AD86" t="b">
            <v>0</v>
          </cell>
          <cell r="AE86" t="b">
            <v>1</v>
          </cell>
          <cell r="AF86">
            <v>40878</v>
          </cell>
          <cell r="AG86">
            <v>40878</v>
          </cell>
          <cell r="AH86">
            <v>2008</v>
          </cell>
          <cell r="AI86" t="str">
            <v>PdE</v>
          </cell>
        </row>
        <row r="87">
          <cell r="A87" t="str">
            <v>IDECM Split</v>
          </cell>
          <cell r="N87" t="b">
            <v>0</v>
          </cell>
          <cell r="O87" t="b">
            <v>0</v>
          </cell>
          <cell r="P87" t="b">
            <v>0</v>
          </cell>
          <cell r="Q87" t="b">
            <v>0</v>
          </cell>
          <cell r="R87" t="b">
            <v>0</v>
          </cell>
          <cell r="S87" t="b">
            <v>0</v>
          </cell>
          <cell r="T87" t="b">
            <v>0</v>
          </cell>
          <cell r="U87" t="b">
            <v>0</v>
          </cell>
          <cell r="V87" t="b">
            <v>1</v>
          </cell>
          <cell r="W87" t="b">
            <v>1</v>
          </cell>
          <cell r="X87" t="b">
            <v>1</v>
          </cell>
          <cell r="Y87" t="b">
            <v>1</v>
          </cell>
          <cell r="Z87" t="b">
            <v>0</v>
          </cell>
          <cell r="AD87" t="b">
            <v>0</v>
          </cell>
          <cell r="AE87" t="b">
            <v>1</v>
          </cell>
          <cell r="AF87">
            <v>40878</v>
          </cell>
          <cell r="AG87">
            <v>40878</v>
          </cell>
          <cell r="AH87">
            <v>2008</v>
          </cell>
          <cell r="AI87" t="str">
            <v>PdE</v>
          </cell>
        </row>
        <row r="88">
          <cell r="A88" t="str">
            <v>JASSM</v>
          </cell>
          <cell r="C88">
            <v>555</v>
          </cell>
          <cell r="D88" t="str">
            <v>None</v>
          </cell>
          <cell r="E88" t="str">
            <v>Air Force</v>
          </cell>
          <cell r="H88" t="str">
            <v>Lockheed Martin</v>
          </cell>
          <cell r="J88" t="str">
            <v>L-3</v>
          </cell>
          <cell r="M88" t="str">
            <v>Lockheed Martin</v>
          </cell>
          <cell r="N88" t="b">
            <v>0</v>
          </cell>
          <cell r="O88" t="b">
            <v>1</v>
          </cell>
          <cell r="P88" t="b">
            <v>1</v>
          </cell>
          <cell r="Q88" t="b">
            <v>1</v>
          </cell>
          <cell r="R88" t="b">
            <v>1</v>
          </cell>
          <cell r="S88" t="b">
            <v>1</v>
          </cell>
          <cell r="T88" t="b">
            <v>1</v>
          </cell>
          <cell r="U88" t="b">
            <v>1</v>
          </cell>
          <cell r="V88" t="b">
            <v>1</v>
          </cell>
          <cell r="W88" t="b">
            <v>1</v>
          </cell>
          <cell r="X88" t="b">
            <v>0</v>
          </cell>
          <cell r="Y88" t="b">
            <v>0</v>
          </cell>
          <cell r="Z88" t="b">
            <v>0</v>
          </cell>
          <cell r="AD88" t="b">
            <v>0</v>
          </cell>
          <cell r="AE88" t="b">
            <v>0</v>
          </cell>
          <cell r="AF88">
            <v>40148</v>
          </cell>
          <cell r="AG88">
            <v>40148</v>
          </cell>
          <cell r="AH88">
            <v>1995</v>
          </cell>
          <cell r="AI88" t="str">
            <v>PdE</v>
          </cell>
        </row>
        <row r="89">
          <cell r="A89" t="str">
            <v>JASSM Split</v>
          </cell>
          <cell r="N89" t="b">
            <v>0</v>
          </cell>
          <cell r="O89" t="b">
            <v>0</v>
          </cell>
          <cell r="P89" t="b">
            <v>0</v>
          </cell>
          <cell r="Q89" t="b">
            <v>0</v>
          </cell>
          <cell r="R89" t="b">
            <v>0</v>
          </cell>
          <cell r="S89" t="b">
            <v>0</v>
          </cell>
          <cell r="T89" t="b">
            <v>0</v>
          </cell>
          <cell r="U89" t="b">
            <v>0</v>
          </cell>
          <cell r="V89" t="b">
            <v>0</v>
          </cell>
          <cell r="W89" t="b">
            <v>0</v>
          </cell>
          <cell r="X89" t="b">
            <v>1</v>
          </cell>
          <cell r="Y89" t="b">
            <v>1</v>
          </cell>
          <cell r="Z89" t="b">
            <v>0</v>
          </cell>
          <cell r="AD89" t="b">
            <v>0</v>
          </cell>
          <cell r="AE89" t="b">
            <v>1</v>
          </cell>
          <cell r="AF89">
            <v>40878</v>
          </cell>
          <cell r="AG89">
            <v>40878</v>
          </cell>
          <cell r="AH89">
            <v>2010</v>
          </cell>
          <cell r="AI89" t="str">
            <v>PdE</v>
          </cell>
        </row>
        <row r="90">
          <cell r="A90" t="str">
            <v>JASSM Split</v>
          </cell>
          <cell r="N90" t="b">
            <v>0</v>
          </cell>
          <cell r="O90" t="b">
            <v>0</v>
          </cell>
          <cell r="P90" t="b">
            <v>0</v>
          </cell>
          <cell r="Q90" t="b">
            <v>0</v>
          </cell>
          <cell r="R90" t="b">
            <v>0</v>
          </cell>
          <cell r="S90" t="b">
            <v>0</v>
          </cell>
          <cell r="T90" t="b">
            <v>0</v>
          </cell>
          <cell r="U90" t="b">
            <v>0</v>
          </cell>
          <cell r="V90" t="b">
            <v>0</v>
          </cell>
          <cell r="W90" t="b">
            <v>0</v>
          </cell>
          <cell r="X90" t="b">
            <v>1</v>
          </cell>
          <cell r="Y90" t="b">
            <v>1</v>
          </cell>
          <cell r="Z90" t="b">
            <v>0</v>
          </cell>
          <cell r="AD90" t="b">
            <v>0</v>
          </cell>
          <cell r="AE90" t="b">
            <v>1</v>
          </cell>
          <cell r="AF90">
            <v>40878</v>
          </cell>
          <cell r="AG90">
            <v>40878</v>
          </cell>
          <cell r="AH90">
            <v>2010</v>
          </cell>
          <cell r="AI90" t="str">
            <v>PdE</v>
          </cell>
        </row>
        <row r="91">
          <cell r="A91" t="str">
            <v>JAVELIN</v>
          </cell>
          <cell r="H91" t="str">
            <v>Lockheed Martin &amp; Raytheon Javelin JV</v>
          </cell>
          <cell r="N91" t="b">
            <v>0</v>
          </cell>
          <cell r="O91" t="b">
            <v>1</v>
          </cell>
          <cell r="P91" t="b">
            <v>1</v>
          </cell>
          <cell r="Q91" t="b">
            <v>1</v>
          </cell>
          <cell r="R91" t="b">
            <v>1</v>
          </cell>
          <cell r="S91" t="b">
            <v>1</v>
          </cell>
          <cell r="T91" t="b">
            <v>1</v>
          </cell>
          <cell r="U91" t="b">
            <v>1</v>
          </cell>
          <cell r="V91" t="b">
            <v>0</v>
          </cell>
          <cell r="W91" t="b">
            <v>0</v>
          </cell>
          <cell r="X91" t="b">
            <v>0</v>
          </cell>
          <cell r="Y91" t="b">
            <v>0</v>
          </cell>
          <cell r="Z91" t="b">
            <v>0</v>
          </cell>
          <cell r="AD91" t="b">
            <v>0</v>
          </cell>
          <cell r="AE91" t="b">
            <v>0</v>
          </cell>
          <cell r="AF91">
            <v>39417</v>
          </cell>
          <cell r="AG91">
            <v>39417</v>
          </cell>
          <cell r="AH91">
            <v>1997</v>
          </cell>
          <cell r="AI91" t="str">
            <v>PdE</v>
          </cell>
        </row>
        <row r="92">
          <cell r="A92" t="str">
            <v>JCA</v>
          </cell>
          <cell r="C92">
            <v>183</v>
          </cell>
          <cell r="D92" t="str">
            <v>None</v>
          </cell>
          <cell r="E92" t="str">
            <v>Army</v>
          </cell>
          <cell r="F92" t="str">
            <v>Fixed Wing</v>
          </cell>
          <cell r="H92" t="str">
            <v xml:space="preserve">L-3 Communications </v>
          </cell>
          <cell r="J92" t="str">
            <v>Alenia (Finmeccanica), Boeing</v>
          </cell>
          <cell r="M92" t="str">
            <v xml:space="preserve">L-3 </v>
          </cell>
          <cell r="N92" t="b">
            <v>0</v>
          </cell>
          <cell r="O92" t="b">
            <v>0</v>
          </cell>
          <cell r="P92" t="b">
            <v>0</v>
          </cell>
          <cell r="Q92" t="b">
            <v>0</v>
          </cell>
          <cell r="R92" t="b">
            <v>0</v>
          </cell>
          <cell r="S92" t="b">
            <v>0</v>
          </cell>
          <cell r="T92" t="b">
            <v>0</v>
          </cell>
          <cell r="U92" t="b">
            <v>0</v>
          </cell>
          <cell r="V92" t="b">
            <v>1</v>
          </cell>
          <cell r="W92" t="b">
            <v>1</v>
          </cell>
          <cell r="X92" t="b">
            <v>1</v>
          </cell>
          <cell r="Y92" t="b">
            <v>0</v>
          </cell>
          <cell r="Z92" t="b">
            <v>0</v>
          </cell>
          <cell r="AD92" t="b">
            <v>0</v>
          </cell>
          <cell r="AE92" t="b">
            <v>0</v>
          </cell>
          <cell r="AF92">
            <v>40513</v>
          </cell>
          <cell r="AG92">
            <v>40513</v>
          </cell>
          <cell r="AH92">
            <v>2007</v>
          </cell>
          <cell r="AI92" t="str">
            <v>PdE</v>
          </cell>
        </row>
        <row r="93">
          <cell r="A93" t="str">
            <v>JCM</v>
          </cell>
          <cell r="C93">
            <v>370</v>
          </cell>
          <cell r="D93" t="str">
            <v>None</v>
          </cell>
          <cell r="E93" t="str">
            <v>Army</v>
          </cell>
          <cell r="H93" t="str">
            <v>Lockheed Martin</v>
          </cell>
          <cell r="N93" t="b">
            <v>0</v>
          </cell>
          <cell r="O93" t="b">
            <v>0</v>
          </cell>
          <cell r="P93" t="b">
            <v>0</v>
          </cell>
          <cell r="Q93" t="b">
            <v>0</v>
          </cell>
          <cell r="R93" t="b">
            <v>1</v>
          </cell>
          <cell r="S93" t="b">
            <v>0</v>
          </cell>
          <cell r="T93" t="b">
            <v>0</v>
          </cell>
          <cell r="U93" t="b">
            <v>0</v>
          </cell>
          <cell r="V93" t="b">
            <v>0</v>
          </cell>
          <cell r="W93" t="b">
            <v>0</v>
          </cell>
          <cell r="X93" t="b">
            <v>0</v>
          </cell>
          <cell r="Y93" t="b">
            <v>0</v>
          </cell>
          <cell r="Z93" t="b">
            <v>0</v>
          </cell>
          <cell r="AD93" t="b">
            <v>0</v>
          </cell>
          <cell r="AE93" t="b">
            <v>0</v>
          </cell>
          <cell r="AF93">
            <v>38322</v>
          </cell>
          <cell r="AG93">
            <v>38322</v>
          </cell>
          <cell r="AH93">
            <v>2004</v>
          </cell>
          <cell r="AI93" t="str">
            <v>DE</v>
          </cell>
        </row>
        <row r="94">
          <cell r="A94" t="str">
            <v>JDAM</v>
          </cell>
          <cell r="C94">
            <v>503</v>
          </cell>
          <cell r="D94" t="str">
            <v>None</v>
          </cell>
          <cell r="E94" t="str">
            <v>Air Force</v>
          </cell>
          <cell r="F94" t="str">
            <v>Munitions</v>
          </cell>
          <cell r="H94" t="str">
            <v>Boeing</v>
          </cell>
          <cell r="J94" t="str">
            <v>ATK, General Dynamics</v>
          </cell>
          <cell r="M94" t="str">
            <v>Boeing</v>
          </cell>
          <cell r="N94" t="b">
            <v>0</v>
          </cell>
          <cell r="O94" t="b">
            <v>1</v>
          </cell>
          <cell r="P94" t="b">
            <v>1</v>
          </cell>
          <cell r="Q94" t="b">
            <v>1</v>
          </cell>
          <cell r="R94" t="b">
            <v>1</v>
          </cell>
          <cell r="S94" t="b">
            <v>1</v>
          </cell>
          <cell r="T94" t="b">
            <v>1</v>
          </cell>
          <cell r="U94" t="b">
            <v>1</v>
          </cell>
          <cell r="V94" t="b">
            <v>1</v>
          </cell>
          <cell r="W94" t="b">
            <v>1</v>
          </cell>
          <cell r="X94" t="b">
            <v>1</v>
          </cell>
          <cell r="Y94" t="b">
            <v>1</v>
          </cell>
          <cell r="Z94" t="b">
            <v>0</v>
          </cell>
          <cell r="AD94" t="b">
            <v>0</v>
          </cell>
          <cell r="AE94" t="b">
            <v>1</v>
          </cell>
          <cell r="AF94">
            <v>40878</v>
          </cell>
          <cell r="AG94">
            <v>40878</v>
          </cell>
          <cell r="AH94">
            <v>1995</v>
          </cell>
          <cell r="AI94" t="str">
            <v>PdE</v>
          </cell>
        </row>
        <row r="95">
          <cell r="A95" t="str">
            <v>JDAM JPATS</v>
          </cell>
          <cell r="N95" t="b">
            <v>0</v>
          </cell>
          <cell r="O95" t="b">
            <v>0</v>
          </cell>
          <cell r="P95" t="b">
            <v>0</v>
          </cell>
          <cell r="Q95" t="b">
            <v>0</v>
          </cell>
          <cell r="R95" t="b">
            <v>0</v>
          </cell>
          <cell r="S95" t="b">
            <v>0</v>
          </cell>
          <cell r="T95" t="b">
            <v>0</v>
          </cell>
          <cell r="U95" t="b">
            <v>0</v>
          </cell>
          <cell r="V95" t="b">
            <v>0</v>
          </cell>
          <cell r="W95" t="b">
            <v>0</v>
          </cell>
          <cell r="X95" t="b">
            <v>0</v>
          </cell>
          <cell r="Y95" t="b">
            <v>0</v>
          </cell>
          <cell r="Z95" t="b">
            <v>0</v>
          </cell>
          <cell r="AD95" t="b">
            <v>0</v>
          </cell>
          <cell r="AE95" t="b">
            <v>0</v>
          </cell>
          <cell r="AF95" t="str">
            <v/>
          </cell>
          <cell r="AG95" t="str">
            <v/>
          </cell>
          <cell r="AH95" t="str">
            <v/>
          </cell>
          <cell r="AI95" t="str">
            <v/>
          </cell>
        </row>
        <row r="96">
          <cell r="A96" t="str">
            <v>JHSV</v>
          </cell>
          <cell r="C96">
            <v>247</v>
          </cell>
          <cell r="D96" t="str">
            <v>None</v>
          </cell>
          <cell r="E96" t="str">
            <v>Navy</v>
          </cell>
          <cell r="H96" t="str">
            <v>Austal</v>
          </cell>
          <cell r="K96" t="str">
            <v>General Dynamics</v>
          </cell>
          <cell r="M96" t="str">
            <v>Austal</v>
          </cell>
          <cell r="N96" t="b">
            <v>0</v>
          </cell>
          <cell r="O96" t="b">
            <v>0</v>
          </cell>
          <cell r="P96" t="b">
            <v>0</v>
          </cell>
          <cell r="Q96" t="b">
            <v>0</v>
          </cell>
          <cell r="R96" t="b">
            <v>0</v>
          </cell>
          <cell r="S96" t="b">
            <v>0</v>
          </cell>
          <cell r="T96" t="b">
            <v>0</v>
          </cell>
          <cell r="U96" t="b">
            <v>0</v>
          </cell>
          <cell r="V96" t="b">
            <v>0</v>
          </cell>
          <cell r="W96" t="b">
            <v>0</v>
          </cell>
          <cell r="X96" t="b">
            <v>1</v>
          </cell>
          <cell r="Y96" t="b">
            <v>1</v>
          </cell>
          <cell r="Z96" t="b">
            <v>0</v>
          </cell>
          <cell r="AD96" t="b">
            <v>0</v>
          </cell>
          <cell r="AE96" t="b">
            <v>1</v>
          </cell>
          <cell r="AF96">
            <v>40878</v>
          </cell>
          <cell r="AG96">
            <v>40878</v>
          </cell>
          <cell r="AH96">
            <v>2008</v>
          </cell>
          <cell r="AI96" t="str">
            <v>DE</v>
          </cell>
        </row>
        <row r="97">
          <cell r="A97" t="str">
            <v>JLENS</v>
          </cell>
          <cell r="C97">
            <v>372</v>
          </cell>
          <cell r="D97" t="str">
            <v>None</v>
          </cell>
          <cell r="E97" t="str">
            <v>Army</v>
          </cell>
          <cell r="F97" t="str">
            <v>Electronic</v>
          </cell>
          <cell r="H97" t="str">
            <v>Raytheon</v>
          </cell>
          <cell r="J97" t="str">
            <v>Northrop Grumman</v>
          </cell>
          <cell r="M97" t="str">
            <v>Raytheon</v>
          </cell>
          <cell r="N97" t="b">
            <v>0</v>
          </cell>
          <cell r="O97" t="b">
            <v>0</v>
          </cell>
          <cell r="P97" t="b">
            <v>0</v>
          </cell>
          <cell r="Q97" t="b">
            <v>0</v>
          </cell>
          <cell r="R97" t="b">
            <v>0</v>
          </cell>
          <cell r="S97" t="b">
            <v>1</v>
          </cell>
          <cell r="T97" t="b">
            <v>1</v>
          </cell>
          <cell r="U97" t="b">
            <v>1</v>
          </cell>
          <cell r="V97" t="b">
            <v>1</v>
          </cell>
          <cell r="W97" t="b">
            <v>1</v>
          </cell>
          <cell r="X97" t="b">
            <v>1</v>
          </cell>
          <cell r="Y97" t="b">
            <v>1</v>
          </cell>
          <cell r="Z97" t="b">
            <v>0</v>
          </cell>
          <cell r="AD97" t="b">
            <v>0</v>
          </cell>
          <cell r="AE97" t="b">
            <v>1</v>
          </cell>
          <cell r="AF97">
            <v>40878</v>
          </cell>
          <cell r="AG97">
            <v>40878</v>
          </cell>
          <cell r="AH97">
            <v>2005</v>
          </cell>
          <cell r="AI97" t="str">
            <v>DE</v>
          </cell>
        </row>
        <row r="98">
          <cell r="A98" t="str">
            <v>Joint MRAP</v>
          </cell>
          <cell r="C98" t="str">
            <v>None</v>
          </cell>
          <cell r="D98" t="str">
            <v>None</v>
          </cell>
          <cell r="E98" t="str">
            <v>Navy</v>
          </cell>
          <cell r="F98" t="str">
            <v>Vehicle</v>
          </cell>
          <cell r="H98" t="str">
            <v>Oshkosh, BAE, Force Protection Industries, General Dynamics, NAVISTAR Defense</v>
          </cell>
          <cell r="J98" t="str">
            <v>BAE, Navistar Defense (International), Force Protection Inc, General Dynamics, Oshkosh Truck</v>
          </cell>
          <cell r="M98" t="str">
            <v>Various</v>
          </cell>
          <cell r="N98" t="b">
            <v>0</v>
          </cell>
          <cell r="O98" t="b">
            <v>0</v>
          </cell>
          <cell r="P98" t="b">
            <v>0</v>
          </cell>
          <cell r="Q98" t="b">
            <v>0</v>
          </cell>
          <cell r="R98" t="b">
            <v>0</v>
          </cell>
          <cell r="S98" t="b">
            <v>0</v>
          </cell>
          <cell r="T98" t="b">
            <v>0</v>
          </cell>
          <cell r="U98" t="b">
            <v>0</v>
          </cell>
          <cell r="V98" t="b">
            <v>1</v>
          </cell>
          <cell r="W98" t="b">
            <v>1</v>
          </cell>
          <cell r="X98" t="b">
            <v>1</v>
          </cell>
          <cell r="Y98" t="b">
            <v>0</v>
          </cell>
          <cell r="Z98" t="b">
            <v>0</v>
          </cell>
          <cell r="AD98" t="b">
            <v>0</v>
          </cell>
          <cell r="AE98" t="b">
            <v>0</v>
          </cell>
          <cell r="AF98">
            <v>40513</v>
          </cell>
          <cell r="AG98">
            <v>40513</v>
          </cell>
          <cell r="AH98">
            <v>2008</v>
          </cell>
          <cell r="AI98" t="str">
            <v>PdE</v>
          </cell>
        </row>
        <row r="99">
          <cell r="A99" t="str">
            <v>JPALS</v>
          </cell>
          <cell r="C99">
            <v>238</v>
          </cell>
          <cell r="D99" t="str">
            <v>None</v>
          </cell>
          <cell r="E99" t="str">
            <v>Navy</v>
          </cell>
          <cell r="H99" t="str">
            <v>Raytheon</v>
          </cell>
          <cell r="L99" t="str">
            <v>http://findarticles.com/p/articles/mi_m0EIN/is_1999_June_17/ai_54913399/</v>
          </cell>
          <cell r="M99" t="str">
            <v>Raytheon</v>
          </cell>
          <cell r="N99" t="b">
            <v>0</v>
          </cell>
          <cell r="O99" t="b">
            <v>0</v>
          </cell>
          <cell r="P99" t="b">
            <v>0</v>
          </cell>
          <cell r="Q99" t="b">
            <v>0</v>
          </cell>
          <cell r="R99" t="b">
            <v>0</v>
          </cell>
          <cell r="S99" t="b">
            <v>0</v>
          </cell>
          <cell r="T99" t="b">
            <v>0</v>
          </cell>
          <cell r="U99" t="b">
            <v>0</v>
          </cell>
          <cell r="V99" t="b">
            <v>0</v>
          </cell>
          <cell r="W99" t="b">
            <v>0</v>
          </cell>
          <cell r="X99" t="b">
            <v>1</v>
          </cell>
          <cell r="Y99" t="b">
            <v>1</v>
          </cell>
          <cell r="Z99" t="b">
            <v>0</v>
          </cell>
          <cell r="AD99" t="b">
            <v>0</v>
          </cell>
          <cell r="AE99" t="b">
            <v>1</v>
          </cell>
          <cell r="AF99">
            <v>40878</v>
          </cell>
          <cell r="AG99">
            <v>40878</v>
          </cell>
          <cell r="AH99">
            <v>2008</v>
          </cell>
          <cell r="AI99" t="str">
            <v>DE</v>
          </cell>
        </row>
        <row r="100">
          <cell r="A100" t="str">
            <v>JPATS</v>
          </cell>
          <cell r="C100">
            <v>560</v>
          </cell>
          <cell r="D100" t="str">
            <v>None</v>
          </cell>
          <cell r="E100" t="str">
            <v>Air Force</v>
          </cell>
          <cell r="H100" t="str">
            <v>Hawker Beechcraft (Raytheon)</v>
          </cell>
          <cell r="M100" t="str">
            <v>Hawker Beechcraft (Raytheon)</v>
          </cell>
          <cell r="N100" t="b">
            <v>0</v>
          </cell>
          <cell r="O100" t="b">
            <v>1</v>
          </cell>
          <cell r="P100" t="b">
            <v>1</v>
          </cell>
          <cell r="Q100" t="b">
            <v>1</v>
          </cell>
          <cell r="R100" t="b">
            <v>1</v>
          </cell>
          <cell r="S100" t="b">
            <v>1</v>
          </cell>
          <cell r="T100" t="b">
            <v>1</v>
          </cell>
          <cell r="U100" t="b">
            <v>1</v>
          </cell>
          <cell r="V100" t="b">
            <v>1</v>
          </cell>
          <cell r="W100" t="b">
            <v>1</v>
          </cell>
          <cell r="X100" t="b">
            <v>1</v>
          </cell>
          <cell r="Y100" t="b">
            <v>1</v>
          </cell>
          <cell r="Z100" t="b">
            <v>0</v>
          </cell>
          <cell r="AD100" t="b">
            <v>0</v>
          </cell>
          <cell r="AE100" t="b">
            <v>1</v>
          </cell>
          <cell r="AF100">
            <v>40878</v>
          </cell>
          <cell r="AG100">
            <v>40878</v>
          </cell>
          <cell r="AH100">
            <v>2002</v>
          </cell>
          <cell r="AI100" t="str">
            <v>PdE</v>
          </cell>
        </row>
        <row r="101">
          <cell r="A101" t="str">
            <v>JSIMS</v>
          </cell>
          <cell r="C101">
            <v>339</v>
          </cell>
          <cell r="D101" t="str">
            <v>None</v>
          </cell>
          <cell r="E101" t="str">
            <v>DoD-wide</v>
          </cell>
          <cell r="H101" t="str">
            <v>TRW Systems (Northrop Grumman)</v>
          </cell>
          <cell r="N101" t="b">
            <v>0</v>
          </cell>
          <cell r="O101" t="b">
            <v>1</v>
          </cell>
          <cell r="P101" t="b">
            <v>1</v>
          </cell>
          <cell r="Q101" t="b">
            <v>0</v>
          </cell>
          <cell r="R101" t="b">
            <v>0</v>
          </cell>
          <cell r="S101" t="b">
            <v>0</v>
          </cell>
          <cell r="T101" t="b">
            <v>0</v>
          </cell>
          <cell r="U101" t="b">
            <v>0</v>
          </cell>
          <cell r="V101" t="b">
            <v>0</v>
          </cell>
          <cell r="W101" t="b">
            <v>0</v>
          </cell>
          <cell r="X101" t="b">
            <v>0</v>
          </cell>
          <cell r="Y101" t="b">
            <v>0</v>
          </cell>
          <cell r="Z101" t="b">
            <v>0</v>
          </cell>
          <cell r="AD101" t="b">
            <v>0</v>
          </cell>
          <cell r="AE101" t="b">
            <v>0</v>
          </cell>
          <cell r="AF101">
            <v>37591</v>
          </cell>
          <cell r="AG101">
            <v>37591</v>
          </cell>
          <cell r="AH101">
            <v>2001</v>
          </cell>
          <cell r="AI101" t="str">
            <v>DE</v>
          </cell>
        </row>
        <row r="102">
          <cell r="A102" t="str">
            <v>JSOW</v>
          </cell>
          <cell r="C102">
            <v>766</v>
          </cell>
          <cell r="D102" t="str">
            <v>None</v>
          </cell>
          <cell r="E102" t="str">
            <v>Navy</v>
          </cell>
          <cell r="H102" t="str">
            <v>Raytheon</v>
          </cell>
          <cell r="J102" t="str">
            <v>BAE</v>
          </cell>
          <cell r="M102" t="str">
            <v>Raytheon</v>
          </cell>
          <cell r="N102" t="b">
            <v>0</v>
          </cell>
          <cell r="O102" t="b">
            <v>1</v>
          </cell>
          <cell r="P102" t="b">
            <v>1</v>
          </cell>
          <cell r="Q102" t="b">
            <v>1</v>
          </cell>
          <cell r="R102" t="b">
            <v>1</v>
          </cell>
          <cell r="S102" t="b">
            <v>1</v>
          </cell>
          <cell r="T102" t="b">
            <v>1</v>
          </cell>
          <cell r="U102" t="b">
            <v>0</v>
          </cell>
          <cell r="V102" t="b">
            <v>0</v>
          </cell>
          <cell r="W102" t="b">
            <v>0</v>
          </cell>
          <cell r="X102" t="b">
            <v>0</v>
          </cell>
          <cell r="Y102" t="b">
            <v>0</v>
          </cell>
          <cell r="Z102" t="b">
            <v>0</v>
          </cell>
          <cell r="AD102" t="b">
            <v>0</v>
          </cell>
          <cell r="AE102" t="b">
            <v>0</v>
          </cell>
          <cell r="AF102">
            <v>39052</v>
          </cell>
          <cell r="AG102">
            <v>39052</v>
          </cell>
          <cell r="AH102">
            <v>1990</v>
          </cell>
          <cell r="AI102" t="str">
            <v>PdE</v>
          </cell>
        </row>
        <row r="103">
          <cell r="A103" t="str">
            <v>JSOW Split</v>
          </cell>
          <cell r="N103" t="b">
            <v>0</v>
          </cell>
          <cell r="O103" t="b">
            <v>0</v>
          </cell>
          <cell r="P103" t="b">
            <v>0</v>
          </cell>
          <cell r="Q103" t="b">
            <v>0</v>
          </cell>
          <cell r="R103" t="b">
            <v>0</v>
          </cell>
          <cell r="S103" t="b">
            <v>0</v>
          </cell>
          <cell r="T103" t="b">
            <v>0</v>
          </cell>
          <cell r="U103" t="b">
            <v>1</v>
          </cell>
          <cell r="V103" t="b">
            <v>1</v>
          </cell>
          <cell r="W103" t="b">
            <v>1</v>
          </cell>
          <cell r="X103" t="b">
            <v>1</v>
          </cell>
          <cell r="Y103" t="b">
            <v>1</v>
          </cell>
          <cell r="Z103" t="b">
            <v>0</v>
          </cell>
          <cell r="AD103" t="b">
            <v>0</v>
          </cell>
          <cell r="AE103" t="b">
            <v>1</v>
          </cell>
          <cell r="AF103">
            <v>40878</v>
          </cell>
          <cell r="AG103">
            <v>40878</v>
          </cell>
          <cell r="AH103">
            <v>1990</v>
          </cell>
          <cell r="AI103" t="str">
            <v>PdE</v>
          </cell>
        </row>
        <row r="104">
          <cell r="A104" t="str">
            <v>JSOW Split</v>
          </cell>
          <cell r="N104" t="b">
            <v>0</v>
          </cell>
          <cell r="O104" t="b">
            <v>0</v>
          </cell>
          <cell r="P104" t="b">
            <v>0</v>
          </cell>
          <cell r="Q104" t="b">
            <v>0</v>
          </cell>
          <cell r="R104" t="b">
            <v>0</v>
          </cell>
          <cell r="S104" t="b">
            <v>0</v>
          </cell>
          <cell r="T104" t="b">
            <v>0</v>
          </cell>
          <cell r="U104" t="b">
            <v>1</v>
          </cell>
          <cell r="V104" t="b">
            <v>1</v>
          </cell>
          <cell r="W104" t="b">
            <v>1</v>
          </cell>
          <cell r="X104" t="b">
            <v>1</v>
          </cell>
          <cell r="Y104" t="b">
            <v>1</v>
          </cell>
          <cell r="Z104" t="b">
            <v>0</v>
          </cell>
          <cell r="AD104" t="b">
            <v>0</v>
          </cell>
          <cell r="AE104" t="b">
            <v>1</v>
          </cell>
          <cell r="AF104">
            <v>40878</v>
          </cell>
          <cell r="AG104">
            <v>40878</v>
          </cell>
          <cell r="AH104">
            <v>1990</v>
          </cell>
          <cell r="AI104" t="str">
            <v>PdE</v>
          </cell>
        </row>
        <row r="105">
          <cell r="A105" t="str">
            <v>JTRS GMR</v>
          </cell>
          <cell r="C105">
            <v>360</v>
          </cell>
          <cell r="D105" t="str">
            <v>None</v>
          </cell>
          <cell r="E105" t="str">
            <v>DoD-wide</v>
          </cell>
          <cell r="H105" t="str">
            <v>Boeing</v>
          </cell>
          <cell r="J105" t="str">
            <v>BAE, Lockheed Martin, ViaSat, General Dynamics, Harris, Thales, Raytheon</v>
          </cell>
          <cell r="M105" t="str">
            <v>Boeing</v>
          </cell>
          <cell r="N105" t="b">
            <v>0</v>
          </cell>
          <cell r="O105" t="b">
            <v>0</v>
          </cell>
          <cell r="P105" t="b">
            <v>1</v>
          </cell>
          <cell r="Q105" t="b">
            <v>1</v>
          </cell>
          <cell r="R105" t="b">
            <v>1</v>
          </cell>
          <cell r="S105" t="b">
            <v>1</v>
          </cell>
          <cell r="T105" t="b">
            <v>1</v>
          </cell>
          <cell r="U105" t="b">
            <v>1</v>
          </cell>
          <cell r="V105" t="b">
            <v>1</v>
          </cell>
          <cell r="W105" t="b">
            <v>1</v>
          </cell>
          <cell r="X105" t="b">
            <v>1</v>
          </cell>
          <cell r="Y105" t="b">
            <v>1</v>
          </cell>
          <cell r="Z105" t="b">
            <v>0</v>
          </cell>
          <cell r="AD105" t="b">
            <v>0</v>
          </cell>
          <cell r="AE105" t="b">
            <v>1</v>
          </cell>
          <cell r="AF105">
            <v>40878</v>
          </cell>
          <cell r="AG105">
            <v>40878</v>
          </cell>
          <cell r="AH105">
            <v>2002</v>
          </cell>
          <cell r="AI105" t="str">
            <v>DE</v>
          </cell>
        </row>
        <row r="106">
          <cell r="A106" t="str">
            <v>JTRS HMS</v>
          </cell>
          <cell r="C106">
            <v>385</v>
          </cell>
          <cell r="D106" t="str">
            <v>None</v>
          </cell>
          <cell r="E106" t="str">
            <v>DoD-wide</v>
          </cell>
          <cell r="F106" t="str">
            <v>Electronic</v>
          </cell>
          <cell r="H106" t="str">
            <v>General Dynamics</v>
          </cell>
          <cell r="J106" t="str">
            <v>BAE, Rockwell Collins</v>
          </cell>
          <cell r="M106" t="str">
            <v>General Dynamics</v>
          </cell>
          <cell r="N106" t="b">
            <v>0</v>
          </cell>
          <cell r="O106" t="b">
            <v>0</v>
          </cell>
          <cell r="P106" t="b">
            <v>0</v>
          </cell>
          <cell r="Q106" t="b">
            <v>0</v>
          </cell>
          <cell r="R106" t="b">
            <v>1</v>
          </cell>
          <cell r="S106" t="b">
            <v>1</v>
          </cell>
          <cell r="T106" t="b">
            <v>1</v>
          </cell>
          <cell r="U106" t="b">
            <v>1</v>
          </cell>
          <cell r="V106" t="b">
            <v>1</v>
          </cell>
          <cell r="W106" t="b">
            <v>1</v>
          </cell>
          <cell r="X106" t="b">
            <v>1</v>
          </cell>
          <cell r="Y106" t="b">
            <v>1</v>
          </cell>
          <cell r="Z106" t="b">
            <v>0</v>
          </cell>
          <cell r="AD106" t="b">
            <v>0</v>
          </cell>
          <cell r="AE106" t="b">
            <v>1</v>
          </cell>
          <cell r="AF106">
            <v>40878</v>
          </cell>
          <cell r="AG106">
            <v>40878</v>
          </cell>
          <cell r="AH106">
            <v>2011</v>
          </cell>
          <cell r="AI106" t="str">
            <v>DE/PdE</v>
          </cell>
        </row>
        <row r="107">
          <cell r="A107" t="str">
            <v>JTRS NED</v>
          </cell>
          <cell r="C107">
            <v>284</v>
          </cell>
          <cell r="D107" t="str">
            <v>None</v>
          </cell>
          <cell r="E107" t="str">
            <v>DoD-wide</v>
          </cell>
          <cell r="F107" t="str">
            <v>Electronic</v>
          </cell>
          <cell r="H107" t="str">
            <v>Multiple</v>
          </cell>
          <cell r="J107" t="str">
            <v>ITT, Booz Allen Hamilton, Raytheon, Harris, Thales</v>
          </cell>
          <cell r="M107" t="str">
            <v>ITT</v>
          </cell>
          <cell r="N107" t="b">
            <v>0</v>
          </cell>
          <cell r="O107" t="b">
            <v>0</v>
          </cell>
          <cell r="P107" t="b">
            <v>1</v>
          </cell>
          <cell r="Q107" t="b">
            <v>1</v>
          </cell>
          <cell r="R107" t="b">
            <v>1</v>
          </cell>
          <cell r="S107" t="b">
            <v>1</v>
          </cell>
          <cell r="T107" t="b">
            <v>1</v>
          </cell>
          <cell r="U107" t="b">
            <v>1</v>
          </cell>
          <cell r="V107" t="b">
            <v>1</v>
          </cell>
          <cell r="W107" t="b">
            <v>1</v>
          </cell>
          <cell r="X107" t="b">
            <v>1</v>
          </cell>
          <cell r="Y107" t="b">
            <v>1</v>
          </cell>
          <cell r="Z107" t="b">
            <v>0</v>
          </cell>
          <cell r="AD107" t="b">
            <v>0</v>
          </cell>
          <cell r="AE107" t="b">
            <v>1</v>
          </cell>
          <cell r="AF107">
            <v>40878</v>
          </cell>
          <cell r="AG107">
            <v>40878</v>
          </cell>
          <cell r="AH107">
            <v>2002</v>
          </cell>
          <cell r="AI107" t="str">
            <v>DE</v>
          </cell>
        </row>
        <row r="108">
          <cell r="A108" t="str">
            <v>KC-130J</v>
          </cell>
          <cell r="N108" t="b">
            <v>0</v>
          </cell>
          <cell r="O108" t="b">
            <v>0</v>
          </cell>
          <cell r="P108" t="b">
            <v>0</v>
          </cell>
          <cell r="Q108" t="b">
            <v>0</v>
          </cell>
          <cell r="R108" t="b">
            <v>0</v>
          </cell>
          <cell r="S108" t="b">
            <v>0</v>
          </cell>
          <cell r="T108" t="b">
            <v>0</v>
          </cell>
          <cell r="U108" t="b">
            <v>0</v>
          </cell>
          <cell r="V108" t="b">
            <v>0</v>
          </cell>
          <cell r="W108" t="b">
            <v>0</v>
          </cell>
          <cell r="X108" t="b">
            <v>0</v>
          </cell>
          <cell r="Y108" t="b">
            <v>1</v>
          </cell>
          <cell r="Z108" t="b">
            <v>0</v>
          </cell>
          <cell r="AD108" t="b">
            <v>1</v>
          </cell>
          <cell r="AE108" t="b">
            <v>1</v>
          </cell>
          <cell r="AF108">
            <v>40878</v>
          </cell>
          <cell r="AG108">
            <v>40878</v>
          </cell>
          <cell r="AH108">
            <v>2010</v>
          </cell>
          <cell r="AI108" t="str">
            <v>PdE</v>
          </cell>
        </row>
        <row r="109">
          <cell r="A109" t="str">
            <v>KC-45A</v>
          </cell>
          <cell r="C109">
            <v>387</v>
          </cell>
          <cell r="D109" t="str">
            <v>None</v>
          </cell>
          <cell r="F109" t="str">
            <v>Fixed Wing</v>
          </cell>
          <cell r="H109" t="str">
            <v>EADS</v>
          </cell>
          <cell r="M109" t="str">
            <v>In Source Selection</v>
          </cell>
          <cell r="N109" t="b">
            <v>0</v>
          </cell>
          <cell r="O109" t="b">
            <v>0</v>
          </cell>
          <cell r="P109" t="b">
            <v>0</v>
          </cell>
          <cell r="Q109" t="b">
            <v>0</v>
          </cell>
          <cell r="R109" t="b">
            <v>0</v>
          </cell>
          <cell r="S109" t="b">
            <v>0</v>
          </cell>
          <cell r="T109" t="b">
            <v>0</v>
          </cell>
          <cell r="U109" t="b">
            <v>0</v>
          </cell>
          <cell r="V109" t="b">
            <v>0</v>
          </cell>
          <cell r="W109" t="b">
            <v>0</v>
          </cell>
          <cell r="X109" t="b">
            <v>0</v>
          </cell>
          <cell r="Y109" t="b">
            <v>0</v>
          </cell>
          <cell r="Z109" t="b">
            <v>0</v>
          </cell>
          <cell r="AD109" t="b">
            <v>0</v>
          </cell>
          <cell r="AE109" t="b">
            <v>0</v>
          </cell>
          <cell r="AF109" t="str">
            <v/>
          </cell>
          <cell r="AG109" t="str">
            <v/>
          </cell>
          <cell r="AH109" t="str">
            <v/>
          </cell>
          <cell r="AI109" t="str">
            <v/>
          </cell>
        </row>
        <row r="110">
          <cell r="A110" t="str">
            <v>KC-46A</v>
          </cell>
          <cell r="N110" t="b">
            <v>0</v>
          </cell>
          <cell r="O110" t="b">
            <v>0</v>
          </cell>
          <cell r="P110" t="b">
            <v>0</v>
          </cell>
          <cell r="Q110" t="b">
            <v>0</v>
          </cell>
          <cell r="R110" t="b">
            <v>0</v>
          </cell>
          <cell r="S110" t="b">
            <v>0</v>
          </cell>
          <cell r="T110" t="b">
            <v>0</v>
          </cell>
          <cell r="U110" t="b">
            <v>0</v>
          </cell>
          <cell r="V110" t="b">
            <v>0</v>
          </cell>
          <cell r="W110" t="b">
            <v>0</v>
          </cell>
          <cell r="X110" t="b">
            <v>0</v>
          </cell>
          <cell r="Y110" t="b">
            <v>1</v>
          </cell>
          <cell r="Z110" t="b">
            <v>0</v>
          </cell>
          <cell r="AD110" t="b">
            <v>1</v>
          </cell>
          <cell r="AE110" t="b">
            <v>1</v>
          </cell>
          <cell r="AF110">
            <v>40878</v>
          </cell>
          <cell r="AG110">
            <v>40878</v>
          </cell>
          <cell r="AH110">
            <v>2011</v>
          </cell>
          <cell r="AI110" t="str">
            <v>DE</v>
          </cell>
        </row>
        <row r="111">
          <cell r="A111" t="str">
            <v>LAIRCM</v>
          </cell>
          <cell r="C111">
            <v>357</v>
          </cell>
          <cell r="D111" t="str">
            <v>None</v>
          </cell>
          <cell r="E111" t="str">
            <v>Air Force</v>
          </cell>
          <cell r="F111" t="str">
            <v>Electronic</v>
          </cell>
          <cell r="H111" t="str">
            <v>Northrop Grumman</v>
          </cell>
          <cell r="M111" t="str">
            <v>Northrop Grumman</v>
          </cell>
          <cell r="N111" t="b">
            <v>0</v>
          </cell>
          <cell r="O111" t="b">
            <v>0</v>
          </cell>
          <cell r="P111" t="b">
            <v>0</v>
          </cell>
          <cell r="Q111" t="b">
            <v>0</v>
          </cell>
          <cell r="R111" t="b">
            <v>0</v>
          </cell>
          <cell r="S111" t="b">
            <v>0</v>
          </cell>
          <cell r="T111" t="b">
            <v>0</v>
          </cell>
          <cell r="U111" t="b">
            <v>0</v>
          </cell>
          <cell r="V111" t="b">
            <v>1</v>
          </cell>
          <cell r="W111" t="b">
            <v>1</v>
          </cell>
          <cell r="X111" t="b">
            <v>1</v>
          </cell>
          <cell r="Y111" t="b">
            <v>0</v>
          </cell>
          <cell r="Z111" t="b">
            <v>0</v>
          </cell>
          <cell r="AD111" t="b">
            <v>0</v>
          </cell>
          <cell r="AE111" t="b">
            <v>0</v>
          </cell>
          <cell r="AF111">
            <v>40513</v>
          </cell>
          <cell r="AG111">
            <v>40513</v>
          </cell>
          <cell r="AH111">
            <v>2008</v>
          </cell>
          <cell r="AI111" t="str">
            <v>PdE</v>
          </cell>
        </row>
        <row r="112">
          <cell r="A112" t="str">
            <v>LAND WARRIOR</v>
          </cell>
          <cell r="C112" t="str">
            <v>None</v>
          </cell>
          <cell r="D112" t="str">
            <v>None</v>
          </cell>
          <cell r="E112" t="str">
            <v>Army</v>
          </cell>
          <cell r="H112" t="str">
            <v>General Dynamics</v>
          </cell>
          <cell r="N112" t="b">
            <v>0</v>
          </cell>
          <cell r="O112" t="b">
            <v>0</v>
          </cell>
          <cell r="P112" t="b">
            <v>0</v>
          </cell>
          <cell r="Q112" t="b">
            <v>1</v>
          </cell>
          <cell r="R112" t="b">
            <v>1</v>
          </cell>
          <cell r="S112" t="b">
            <v>1</v>
          </cell>
          <cell r="T112" t="b">
            <v>1</v>
          </cell>
          <cell r="U112" t="b">
            <v>0</v>
          </cell>
          <cell r="V112" t="b">
            <v>0</v>
          </cell>
          <cell r="W112" t="b">
            <v>0</v>
          </cell>
          <cell r="X112" t="b">
            <v>0</v>
          </cell>
          <cell r="Y112" t="b">
            <v>0</v>
          </cell>
          <cell r="Z112" t="b">
            <v>0</v>
          </cell>
          <cell r="AD112" t="b">
            <v>0</v>
          </cell>
          <cell r="AE112" t="b">
            <v>0</v>
          </cell>
          <cell r="AF112">
            <v>39052</v>
          </cell>
          <cell r="AG112">
            <v>39052</v>
          </cell>
          <cell r="AH112">
            <v>2003</v>
          </cell>
          <cell r="AI112" t="str">
            <v xml:space="preserve">DE </v>
          </cell>
        </row>
        <row r="113">
          <cell r="A113" t="str">
            <v>LCS</v>
          </cell>
          <cell r="C113">
            <v>374</v>
          </cell>
          <cell r="D113" t="str">
            <v>None</v>
          </cell>
          <cell r="E113" t="str">
            <v>Navy</v>
          </cell>
          <cell r="F113" t="str">
            <v>Ship / Sub</v>
          </cell>
          <cell r="H113" t="str">
            <v xml:space="preserve">Lockheed Martin, Austal </v>
          </cell>
          <cell r="J113" t="str">
            <v>BAE, CSC</v>
          </cell>
          <cell r="M113" t="str">
            <v>General Dynamics</v>
          </cell>
          <cell r="N113" t="b">
            <v>0</v>
          </cell>
          <cell r="O113" t="b">
            <v>0</v>
          </cell>
          <cell r="P113" t="b">
            <v>0</v>
          </cell>
          <cell r="Q113" t="b">
            <v>0</v>
          </cell>
          <cell r="R113" t="b">
            <v>1</v>
          </cell>
          <cell r="S113" t="b">
            <v>0</v>
          </cell>
          <cell r="T113" t="b">
            <v>0</v>
          </cell>
          <cell r="U113" t="b">
            <v>1</v>
          </cell>
          <cell r="V113" t="b">
            <v>1</v>
          </cell>
          <cell r="W113" t="b">
            <v>1</v>
          </cell>
          <cell r="X113" t="b">
            <v>1</v>
          </cell>
          <cell r="Y113" t="b">
            <v>1</v>
          </cell>
          <cell r="Z113" t="b">
            <v>0</v>
          </cell>
          <cell r="AD113" t="b">
            <v>0</v>
          </cell>
          <cell r="AE113" t="b">
            <v>1</v>
          </cell>
          <cell r="AF113">
            <v>40878</v>
          </cell>
          <cell r="AG113">
            <v>40878</v>
          </cell>
          <cell r="AH113">
            <v>2010</v>
          </cell>
          <cell r="AI113" t="str">
            <v>DE</v>
          </cell>
        </row>
        <row r="114">
          <cell r="A114" t="str">
            <v>LCS (RDT&amp;E)</v>
          </cell>
          <cell r="N114" t="b">
            <v>0</v>
          </cell>
          <cell r="O114" t="b">
            <v>0</v>
          </cell>
          <cell r="P114" t="b">
            <v>0</v>
          </cell>
          <cell r="Q114" t="b">
            <v>0</v>
          </cell>
          <cell r="R114" t="b">
            <v>0</v>
          </cell>
          <cell r="S114" t="b">
            <v>1</v>
          </cell>
          <cell r="T114" t="b">
            <v>1</v>
          </cell>
          <cell r="U114" t="b">
            <v>0</v>
          </cell>
          <cell r="V114" t="b">
            <v>0</v>
          </cell>
          <cell r="W114" t="b">
            <v>0</v>
          </cell>
          <cell r="X114" t="b">
            <v>0</v>
          </cell>
          <cell r="Y114" t="b">
            <v>0</v>
          </cell>
          <cell r="Z114" t="b">
            <v>0</v>
          </cell>
          <cell r="AD114" t="b">
            <v>0</v>
          </cell>
          <cell r="AE114" t="b">
            <v>0</v>
          </cell>
          <cell r="AF114">
            <v>39052</v>
          </cell>
          <cell r="AG114">
            <v>39052</v>
          </cell>
          <cell r="AH114">
            <v>2004</v>
          </cell>
          <cell r="AI114" t="str">
            <v>PE</v>
          </cell>
        </row>
        <row r="115">
          <cell r="A115" t="str">
            <v>LHA Replacement</v>
          </cell>
          <cell r="C115">
            <v>333</v>
          </cell>
          <cell r="D115" t="str">
            <v>None</v>
          </cell>
          <cell r="E115" t="str">
            <v>Navy</v>
          </cell>
          <cell r="F115" t="str">
            <v>Ship / Sub</v>
          </cell>
          <cell r="H115" t="str">
            <v>Northrop Grumman</v>
          </cell>
          <cell r="M115" t="str">
            <v>Northrop Grumman</v>
          </cell>
          <cell r="N115" t="b">
            <v>0</v>
          </cell>
          <cell r="O115" t="b">
            <v>0</v>
          </cell>
          <cell r="P115" t="b">
            <v>0</v>
          </cell>
          <cell r="Q115" t="b">
            <v>0</v>
          </cell>
          <cell r="R115" t="b">
            <v>0</v>
          </cell>
          <cell r="S115" t="b">
            <v>0</v>
          </cell>
          <cell r="T115" t="b">
            <v>1</v>
          </cell>
          <cell r="U115" t="b">
            <v>1</v>
          </cell>
          <cell r="V115" t="b">
            <v>1</v>
          </cell>
          <cell r="W115" t="b">
            <v>1</v>
          </cell>
          <cell r="X115" t="b">
            <v>1</v>
          </cell>
          <cell r="Y115" t="b">
            <v>1</v>
          </cell>
          <cell r="Z115" t="b">
            <v>0</v>
          </cell>
          <cell r="AD115" t="b">
            <v>0</v>
          </cell>
          <cell r="AE115" t="b">
            <v>1</v>
          </cell>
          <cell r="AF115">
            <v>40878</v>
          </cell>
          <cell r="AG115">
            <v>40878</v>
          </cell>
          <cell r="AH115">
            <v>2006</v>
          </cell>
          <cell r="AI115" t="str">
            <v>DE</v>
          </cell>
        </row>
        <row r="116">
          <cell r="A116" t="str">
            <v>LHD 1</v>
          </cell>
          <cell r="H116" t="str">
            <v>Huntington Ingalls Industries (HII)</v>
          </cell>
          <cell r="N116" t="b">
            <v>0</v>
          </cell>
          <cell r="O116" t="b">
            <v>1</v>
          </cell>
          <cell r="P116" t="b">
            <v>1</v>
          </cell>
          <cell r="Q116" t="b">
            <v>1</v>
          </cell>
          <cell r="R116" t="b">
            <v>1</v>
          </cell>
          <cell r="S116" t="b">
            <v>0</v>
          </cell>
          <cell r="T116" t="b">
            <v>0</v>
          </cell>
          <cell r="U116" t="b">
            <v>0</v>
          </cell>
          <cell r="V116" t="b">
            <v>0</v>
          </cell>
          <cell r="W116" t="b">
            <v>0</v>
          </cell>
          <cell r="X116" t="b">
            <v>0</v>
          </cell>
          <cell r="Y116" t="b">
            <v>0</v>
          </cell>
          <cell r="Z116" t="b">
            <v>0</v>
          </cell>
          <cell r="AD116" t="b">
            <v>0</v>
          </cell>
          <cell r="AE116" t="b">
            <v>0</v>
          </cell>
          <cell r="AF116">
            <v>38322</v>
          </cell>
          <cell r="AG116">
            <v>38322</v>
          </cell>
          <cell r="AH116">
            <v>1982</v>
          </cell>
          <cell r="AI116" t="str">
            <v>DE</v>
          </cell>
        </row>
        <row r="117">
          <cell r="A117" t="str">
            <v>LONGBOW APACHE</v>
          </cell>
          <cell r="C117">
            <v>831</v>
          </cell>
          <cell r="D117" t="str">
            <v>None</v>
          </cell>
          <cell r="E117" t="str">
            <v>Army</v>
          </cell>
          <cell r="F117" t="str">
            <v>Helicopter</v>
          </cell>
          <cell r="H117" t="str">
            <v>Boeing</v>
          </cell>
          <cell r="I117" t="str">
            <v>Lockheed Martin</v>
          </cell>
          <cell r="J117" t="str">
            <v>Raytheon, Harris, General Dynamics, DRS, Boeing, Goodrich, Honewell</v>
          </cell>
          <cell r="K117" t="str">
            <v>Honeywell, ATK, Lockheed Martin, Northrop Grumman, Raytheon</v>
          </cell>
          <cell r="L117" t="str">
            <v>http://www.lockheedmartin.com/data/assets/Product_Card_Longbow.pdf, Hughes Helicopter was purchased by McDonnell Douglas from the Summa Corporation. In 1997 Boeing and MD merged.</v>
          </cell>
          <cell r="M117" t="str">
            <v>Boeing</v>
          </cell>
          <cell r="N117" t="b">
            <v>0</v>
          </cell>
          <cell r="O117" t="b">
            <v>1</v>
          </cell>
          <cell r="P117" t="b">
            <v>1</v>
          </cell>
          <cell r="Q117" t="b">
            <v>1</v>
          </cell>
          <cell r="R117" t="b">
            <v>1</v>
          </cell>
          <cell r="S117" t="b">
            <v>1</v>
          </cell>
          <cell r="T117" t="b">
            <v>1</v>
          </cell>
          <cell r="U117" t="b">
            <v>1</v>
          </cell>
          <cell r="V117" t="b">
            <v>1</v>
          </cell>
          <cell r="W117" t="b">
            <v>0</v>
          </cell>
          <cell r="X117" t="b">
            <v>1</v>
          </cell>
          <cell r="Y117" t="b">
            <v>0</v>
          </cell>
          <cell r="Z117" t="b">
            <v>0</v>
          </cell>
          <cell r="AD117" t="b">
            <v>0</v>
          </cell>
          <cell r="AE117" t="b">
            <v>0</v>
          </cell>
          <cell r="AF117">
            <v>40513</v>
          </cell>
          <cell r="AG117">
            <v>40513</v>
          </cell>
          <cell r="AH117">
            <v>1996</v>
          </cell>
          <cell r="AI117" t="str">
            <v>PdE</v>
          </cell>
        </row>
        <row r="118">
          <cell r="A118" t="str">
            <v>LONGBOW HELLFIRE</v>
          </cell>
          <cell r="H118" t="str">
            <v>Lockheed Martin and Northrop Grumman (JV)</v>
          </cell>
          <cell r="N118" t="b">
            <v>0</v>
          </cell>
          <cell r="O118" t="b">
            <v>1</v>
          </cell>
          <cell r="P118" t="b">
            <v>1</v>
          </cell>
          <cell r="Q118" t="b">
            <v>1</v>
          </cell>
          <cell r="R118" t="b">
            <v>1</v>
          </cell>
          <cell r="S118" t="b">
            <v>0</v>
          </cell>
          <cell r="T118" t="b">
            <v>0</v>
          </cell>
          <cell r="U118" t="b">
            <v>0</v>
          </cell>
          <cell r="V118" t="b">
            <v>0</v>
          </cell>
          <cell r="W118" t="b">
            <v>0</v>
          </cell>
          <cell r="X118" t="b">
            <v>0</v>
          </cell>
          <cell r="Y118" t="b">
            <v>0</v>
          </cell>
          <cell r="Z118" t="b">
            <v>0</v>
          </cell>
          <cell r="AD118" t="b">
            <v>0</v>
          </cell>
          <cell r="AE118" t="b">
            <v>0</v>
          </cell>
          <cell r="AF118">
            <v>38322</v>
          </cell>
          <cell r="AG118">
            <v>38322</v>
          </cell>
          <cell r="AH118">
            <v>1996</v>
          </cell>
          <cell r="AI118" t="str">
            <v>PdE</v>
          </cell>
        </row>
        <row r="119">
          <cell r="A119" t="str">
            <v>LPD 17</v>
          </cell>
          <cell r="C119">
            <v>542</v>
          </cell>
          <cell r="D119" t="str">
            <v>None</v>
          </cell>
          <cell r="E119" t="str">
            <v>Navy</v>
          </cell>
          <cell r="F119" t="str">
            <v>Ship / Sub</v>
          </cell>
          <cell r="H119" t="str">
            <v>Huntington Ingalls Industries (HII)</v>
          </cell>
          <cell r="J119" t="str">
            <v>BAE Systems, Northrop Grumman, Raytheon, CACI</v>
          </cell>
          <cell r="M119" t="str">
            <v>Northrop Grumman</v>
          </cell>
          <cell r="N119" t="b">
            <v>0</v>
          </cell>
          <cell r="O119" t="b">
            <v>1</v>
          </cell>
          <cell r="P119" t="b">
            <v>1</v>
          </cell>
          <cell r="Q119" t="b">
            <v>1</v>
          </cell>
          <cell r="R119" t="b">
            <v>1</v>
          </cell>
          <cell r="S119" t="b">
            <v>1</v>
          </cell>
          <cell r="T119" t="b">
            <v>1</v>
          </cell>
          <cell r="U119" t="b">
            <v>1</v>
          </cell>
          <cell r="V119" t="b">
            <v>1</v>
          </cell>
          <cell r="W119" t="b">
            <v>1</v>
          </cell>
          <cell r="X119" t="b">
            <v>1</v>
          </cell>
          <cell r="Y119" t="b">
            <v>1</v>
          </cell>
          <cell r="Z119" t="b">
            <v>0</v>
          </cell>
          <cell r="AD119" t="b">
            <v>0</v>
          </cell>
          <cell r="AE119" t="b">
            <v>1</v>
          </cell>
          <cell r="AF119">
            <v>40878</v>
          </cell>
          <cell r="AG119">
            <v>40878</v>
          </cell>
          <cell r="AH119">
            <v>1996</v>
          </cell>
          <cell r="AI119" t="str">
            <v>DE</v>
          </cell>
        </row>
        <row r="120">
          <cell r="A120" t="str">
            <v>LUH</v>
          </cell>
          <cell r="C120">
            <v>182</v>
          </cell>
          <cell r="D120" t="str">
            <v>None</v>
          </cell>
          <cell r="E120" t="str">
            <v>Army</v>
          </cell>
          <cell r="H120" t="str">
            <v>EADS</v>
          </cell>
          <cell r="M120" t="str">
            <v>EADS</v>
          </cell>
          <cell r="N120" t="b">
            <v>0</v>
          </cell>
          <cell r="O120" t="b">
            <v>0</v>
          </cell>
          <cell r="P120" t="b">
            <v>0</v>
          </cell>
          <cell r="Q120" t="b">
            <v>0</v>
          </cell>
          <cell r="R120" t="b">
            <v>0</v>
          </cell>
          <cell r="S120" t="b">
            <v>0</v>
          </cell>
          <cell r="T120" t="b">
            <v>1</v>
          </cell>
          <cell r="U120" t="b">
            <v>1</v>
          </cell>
          <cell r="V120" t="b">
            <v>1</v>
          </cell>
          <cell r="W120" t="b">
            <v>1</v>
          </cell>
          <cell r="X120" t="b">
            <v>1</v>
          </cell>
          <cell r="Y120" t="b">
            <v>1</v>
          </cell>
          <cell r="Z120" t="b">
            <v>0</v>
          </cell>
          <cell r="AD120" t="b">
            <v>0</v>
          </cell>
          <cell r="AE120" t="b">
            <v>1</v>
          </cell>
          <cell r="AF120">
            <v>40878</v>
          </cell>
          <cell r="AG120">
            <v>40878</v>
          </cell>
          <cell r="AH120">
            <v>2006</v>
          </cell>
          <cell r="AI120" t="str">
            <v>PdE</v>
          </cell>
        </row>
        <row r="121">
          <cell r="A121" t="str">
            <v>M1A2 ABRAMS UPGRADE</v>
          </cell>
          <cell r="E121" t="str">
            <v>Army</v>
          </cell>
          <cell r="H121" t="str">
            <v>General Dynamics</v>
          </cell>
          <cell r="N121" t="b">
            <v>0</v>
          </cell>
          <cell r="O121" t="b">
            <v>1</v>
          </cell>
          <cell r="P121" t="b">
            <v>1</v>
          </cell>
          <cell r="Q121" t="b">
            <v>1</v>
          </cell>
          <cell r="R121" t="b">
            <v>0</v>
          </cell>
          <cell r="S121" t="b">
            <v>0</v>
          </cell>
          <cell r="T121" t="b">
            <v>0</v>
          </cell>
          <cell r="U121" t="b">
            <v>0</v>
          </cell>
          <cell r="V121" t="b">
            <v>0</v>
          </cell>
          <cell r="W121" t="b">
            <v>0</v>
          </cell>
          <cell r="X121" t="b">
            <v>0</v>
          </cell>
          <cell r="Y121" t="b">
            <v>0</v>
          </cell>
          <cell r="Z121" t="b">
            <v>0</v>
          </cell>
          <cell r="AD121" t="b">
            <v>0</v>
          </cell>
          <cell r="AE121" t="b">
            <v>0</v>
          </cell>
          <cell r="AF121">
            <v>37956</v>
          </cell>
          <cell r="AG121">
            <v>37956</v>
          </cell>
          <cell r="AH121">
            <v>1995</v>
          </cell>
          <cell r="AI121" t="str">
            <v>PdE</v>
          </cell>
        </row>
        <row r="122">
          <cell r="A122" t="str">
            <v>MCS</v>
          </cell>
          <cell r="N122" t="b">
            <v>0</v>
          </cell>
          <cell r="O122" t="b">
            <v>1</v>
          </cell>
          <cell r="P122" t="b">
            <v>1</v>
          </cell>
          <cell r="Q122" t="b">
            <v>1</v>
          </cell>
          <cell r="R122" t="b">
            <v>1</v>
          </cell>
          <cell r="S122" t="b">
            <v>0</v>
          </cell>
          <cell r="T122" t="b">
            <v>0</v>
          </cell>
          <cell r="U122" t="b">
            <v>0</v>
          </cell>
          <cell r="V122" t="b">
            <v>0</v>
          </cell>
          <cell r="W122" t="b">
            <v>0</v>
          </cell>
          <cell r="X122" t="b">
            <v>0</v>
          </cell>
          <cell r="Y122" t="b">
            <v>0</v>
          </cell>
          <cell r="Z122" t="b">
            <v>0</v>
          </cell>
          <cell r="AD122" t="b">
            <v>0</v>
          </cell>
          <cell r="AE122" t="b">
            <v>0</v>
          </cell>
          <cell r="AF122">
            <v>38322</v>
          </cell>
          <cell r="AG122">
            <v>38322</v>
          </cell>
          <cell r="AH122">
            <v>1980</v>
          </cell>
          <cell r="AI122" t="str">
            <v>DE</v>
          </cell>
        </row>
        <row r="123">
          <cell r="A123" t="str">
            <v>MH-60R</v>
          </cell>
          <cell r="C123">
            <v>191</v>
          </cell>
          <cell r="D123" t="str">
            <v>None</v>
          </cell>
          <cell r="E123" t="str">
            <v>Navy</v>
          </cell>
          <cell r="F123" t="str">
            <v>Helicopter</v>
          </cell>
          <cell r="H123" t="str">
            <v>Sikorsky Aircraft Corporation (UTC)</v>
          </cell>
          <cell r="I123" t="str">
            <v>Lockheed Martin - Avionics</v>
          </cell>
          <cell r="J123" t="str">
            <v>Raytheon, Harris, General Dynamics, DRS, Boeing, Goodrich, Honewell</v>
          </cell>
          <cell r="M123" t="str">
            <v>Sikorsky (UTC)</v>
          </cell>
          <cell r="N123" t="b">
            <v>0</v>
          </cell>
          <cell r="O123" t="b">
            <v>1</v>
          </cell>
          <cell r="P123" t="b">
            <v>1</v>
          </cell>
          <cell r="Q123" t="b">
            <v>1</v>
          </cell>
          <cell r="R123" t="b">
            <v>1</v>
          </cell>
          <cell r="S123" t="b">
            <v>1</v>
          </cell>
          <cell r="T123" t="b">
            <v>1</v>
          </cell>
          <cell r="U123" t="b">
            <v>1</v>
          </cell>
          <cell r="V123" t="b">
            <v>1</v>
          </cell>
          <cell r="W123" t="b">
            <v>1</v>
          </cell>
          <cell r="X123" t="b">
            <v>1</v>
          </cell>
          <cell r="Y123" t="b">
            <v>1</v>
          </cell>
          <cell r="Z123" t="b">
            <v>0</v>
          </cell>
          <cell r="AD123" t="b">
            <v>0</v>
          </cell>
          <cell r="AE123" t="b">
            <v>1</v>
          </cell>
          <cell r="AF123">
            <v>40878</v>
          </cell>
          <cell r="AG123">
            <v>40878</v>
          </cell>
          <cell r="AH123">
            <v>2006</v>
          </cell>
          <cell r="AI123" t="str">
            <v>PdE</v>
          </cell>
        </row>
        <row r="124">
          <cell r="A124" t="str">
            <v>MH-60S</v>
          </cell>
          <cell r="C124">
            <v>282</v>
          </cell>
          <cell r="D124" t="str">
            <v>None</v>
          </cell>
          <cell r="E124" t="str">
            <v>Navy</v>
          </cell>
          <cell r="F124" t="str">
            <v>Helicopter</v>
          </cell>
          <cell r="H124" t="str">
            <v>Sikorsky Aircraft Corporation (UTC)</v>
          </cell>
          <cell r="J124" t="str">
            <v>Harris, Sikorsky (UTC), L-3, CSC, General Electric, Kaman Aerospace, SAIC</v>
          </cell>
          <cell r="M124" t="str">
            <v>Sikorsky (UTC)</v>
          </cell>
          <cell r="N124" t="b">
            <v>0</v>
          </cell>
          <cell r="O124" t="b">
            <v>1</v>
          </cell>
          <cell r="P124" t="b">
            <v>1</v>
          </cell>
          <cell r="Q124" t="b">
            <v>1</v>
          </cell>
          <cell r="R124" t="b">
            <v>1</v>
          </cell>
          <cell r="S124" t="b">
            <v>1</v>
          </cell>
          <cell r="T124" t="b">
            <v>1</v>
          </cell>
          <cell r="U124" t="b">
            <v>1</v>
          </cell>
          <cell r="V124" t="b">
            <v>1</v>
          </cell>
          <cell r="W124" t="b">
            <v>1</v>
          </cell>
          <cell r="X124" t="b">
            <v>1</v>
          </cell>
          <cell r="Y124" t="b">
            <v>1</v>
          </cell>
          <cell r="Z124" t="b">
            <v>0</v>
          </cell>
          <cell r="AD124" t="b">
            <v>0</v>
          </cell>
          <cell r="AE124" t="b">
            <v>1</v>
          </cell>
          <cell r="AF124">
            <v>40878</v>
          </cell>
          <cell r="AG124">
            <v>40878</v>
          </cell>
          <cell r="AH124">
            <v>1998</v>
          </cell>
          <cell r="AI124" t="str">
            <v>PdE</v>
          </cell>
        </row>
        <row r="125">
          <cell r="A125" t="str">
            <v>MIDS JTRS</v>
          </cell>
          <cell r="C125">
            <v>554</v>
          </cell>
          <cell r="D125" t="str">
            <v>None</v>
          </cell>
          <cell r="E125" t="str">
            <v>DoD-wide</v>
          </cell>
          <cell r="F125" t="str">
            <v>Electronic</v>
          </cell>
          <cell r="H125" t="str">
            <v>BAE/Rockwell Collins JV</v>
          </cell>
          <cell r="I125" t="str">
            <v>ViaSat/Data Link Solutions</v>
          </cell>
          <cell r="J125" t="str">
            <v>Northrop Grumman, Harris Corporation, BAE, Rockwell Collins, CSC, Euromids, Booz Allen Hamilton</v>
          </cell>
          <cell r="M125" t="str">
            <v>Data Link Solutions</v>
          </cell>
          <cell r="N125" t="b">
            <v>0</v>
          </cell>
          <cell r="O125" t="b">
            <v>0</v>
          </cell>
          <cell r="P125" t="b">
            <v>0</v>
          </cell>
          <cell r="Q125" t="b">
            <v>0</v>
          </cell>
          <cell r="R125" t="b">
            <v>0</v>
          </cell>
          <cell r="S125" t="b">
            <v>0</v>
          </cell>
          <cell r="T125" t="b">
            <v>0</v>
          </cell>
          <cell r="U125" t="b">
            <v>1</v>
          </cell>
          <cell r="V125" t="b">
            <v>1</v>
          </cell>
          <cell r="W125" t="b">
            <v>1</v>
          </cell>
          <cell r="X125" t="b">
            <v>1</v>
          </cell>
          <cell r="Y125" t="b">
            <v>1</v>
          </cell>
          <cell r="Z125" t="b">
            <v>0</v>
          </cell>
          <cell r="AD125" t="b">
            <v>0</v>
          </cell>
          <cell r="AE125" t="b">
            <v>1</v>
          </cell>
          <cell r="AF125">
            <v>40878</v>
          </cell>
          <cell r="AG125">
            <v>40878</v>
          </cell>
          <cell r="AH125">
            <v>2003</v>
          </cell>
          <cell r="AI125" t="str">
            <v>PdE</v>
          </cell>
        </row>
        <row r="126">
          <cell r="A126" t="str">
            <v>MIDS-LVT</v>
          </cell>
          <cell r="H126" t="str">
            <v>MIDSCO (JV of Thomson CSF, GEC, Siemens, Italtel, Enosa)</v>
          </cell>
          <cell r="N126" t="b">
            <v>0</v>
          </cell>
          <cell r="O126" t="b">
            <v>1</v>
          </cell>
          <cell r="P126" t="b">
            <v>1</v>
          </cell>
          <cell r="Q126" t="b">
            <v>1</v>
          </cell>
          <cell r="R126" t="b">
            <v>1</v>
          </cell>
          <cell r="S126" t="b">
            <v>1</v>
          </cell>
          <cell r="T126" t="b">
            <v>1</v>
          </cell>
          <cell r="U126" t="b">
            <v>0</v>
          </cell>
          <cell r="V126" t="b">
            <v>0</v>
          </cell>
          <cell r="W126" t="b">
            <v>0</v>
          </cell>
          <cell r="X126" t="b">
            <v>0</v>
          </cell>
          <cell r="Y126" t="b">
            <v>0</v>
          </cell>
          <cell r="Z126" t="b">
            <v>0</v>
          </cell>
          <cell r="AD126" t="b">
            <v>0</v>
          </cell>
          <cell r="AE126" t="b">
            <v>0</v>
          </cell>
          <cell r="AF126">
            <v>39052</v>
          </cell>
          <cell r="AG126">
            <v>39052</v>
          </cell>
          <cell r="AH126">
            <v>2003</v>
          </cell>
          <cell r="AI126" t="str">
            <v>PdE</v>
          </cell>
        </row>
        <row r="127">
          <cell r="A127" t="str">
            <v>MINUTEMAN III GRP</v>
          </cell>
          <cell r="C127">
            <v>302</v>
          </cell>
          <cell r="D127" t="str">
            <v>None</v>
          </cell>
          <cell r="E127" t="str">
            <v>Air Force</v>
          </cell>
          <cell r="F127" t="str">
            <v>Missile</v>
          </cell>
          <cell r="H127" t="str">
            <v>Boeing</v>
          </cell>
          <cell r="J127" t="str">
            <v>Hewlett Packard</v>
          </cell>
          <cell r="M127" t="str">
            <v>Boeing</v>
          </cell>
          <cell r="N127" t="b">
            <v>0</v>
          </cell>
          <cell r="O127" t="b">
            <v>1</v>
          </cell>
          <cell r="P127" t="b">
            <v>1</v>
          </cell>
          <cell r="Q127" t="b">
            <v>1</v>
          </cell>
          <cell r="R127" t="b">
            <v>1</v>
          </cell>
          <cell r="S127" t="b">
            <v>1</v>
          </cell>
          <cell r="T127" t="b">
            <v>1</v>
          </cell>
          <cell r="U127" t="b">
            <v>1</v>
          </cell>
          <cell r="V127" t="b">
            <v>0</v>
          </cell>
          <cell r="W127" t="b">
            <v>0</v>
          </cell>
          <cell r="X127" t="b">
            <v>0</v>
          </cell>
          <cell r="Y127" t="b">
            <v>0</v>
          </cell>
          <cell r="Z127" t="b">
            <v>0</v>
          </cell>
          <cell r="AD127" t="b">
            <v>0</v>
          </cell>
          <cell r="AE127" t="b">
            <v>0</v>
          </cell>
          <cell r="AF127">
            <v>39417</v>
          </cell>
          <cell r="AG127">
            <v>39417</v>
          </cell>
          <cell r="AH127">
            <v>1993</v>
          </cell>
          <cell r="AI127" t="str">
            <v>PdE</v>
          </cell>
        </row>
        <row r="128">
          <cell r="A128" t="str">
            <v>MINUTEMAN III PRP</v>
          </cell>
          <cell r="C128">
            <v>248</v>
          </cell>
          <cell r="D128" t="str">
            <v>None</v>
          </cell>
          <cell r="E128" t="str">
            <v>Air Force</v>
          </cell>
          <cell r="F128" t="str">
            <v>Missile</v>
          </cell>
          <cell r="H128" t="str">
            <v>Northrop Grumman</v>
          </cell>
          <cell r="J128" t="str">
            <v>ATK Aerospace, Pratt &amp; Whitney (UTC), AM General, L-3, ITT, BAE</v>
          </cell>
          <cell r="L128" t="str">
            <v>http://www.defenselink.mil/contracts/contract.aspx?contractid=3626</v>
          </cell>
          <cell r="M128" t="str">
            <v>Northrop Grumman</v>
          </cell>
          <cell r="N128" t="b">
            <v>0</v>
          </cell>
          <cell r="O128" t="b">
            <v>1</v>
          </cell>
          <cell r="P128" t="b">
            <v>1</v>
          </cell>
          <cell r="Q128" t="b">
            <v>1</v>
          </cell>
          <cell r="R128" t="b">
            <v>1</v>
          </cell>
          <cell r="S128" t="b">
            <v>1</v>
          </cell>
          <cell r="T128" t="b">
            <v>1</v>
          </cell>
          <cell r="U128" t="b">
            <v>1</v>
          </cell>
          <cell r="V128" t="b">
            <v>1</v>
          </cell>
          <cell r="W128" t="b">
            <v>1</v>
          </cell>
          <cell r="X128" t="b">
            <v>0</v>
          </cell>
          <cell r="Y128" t="b">
            <v>0</v>
          </cell>
          <cell r="Z128" t="b">
            <v>0</v>
          </cell>
          <cell r="AD128" t="b">
            <v>0</v>
          </cell>
          <cell r="AE128" t="b">
            <v>0</v>
          </cell>
          <cell r="AF128">
            <v>40148</v>
          </cell>
          <cell r="AG128">
            <v>40148</v>
          </cell>
          <cell r="AH128">
            <v>1994</v>
          </cell>
          <cell r="AI128" t="str">
            <v>PdE</v>
          </cell>
        </row>
        <row r="129">
          <cell r="A129" t="str">
            <v>MP RTIP</v>
          </cell>
          <cell r="C129">
            <v>293</v>
          </cell>
          <cell r="D129" t="str">
            <v>None</v>
          </cell>
          <cell r="E129" t="str">
            <v>Air Force</v>
          </cell>
          <cell r="F129" t="str">
            <v>Electronic</v>
          </cell>
          <cell r="H129" t="str">
            <v>Northrop Grumman</v>
          </cell>
          <cell r="J129" t="str">
            <v>Raytheon</v>
          </cell>
          <cell r="M129" t="str">
            <v>Northrop Grumman</v>
          </cell>
          <cell r="N129" t="b">
            <v>0</v>
          </cell>
          <cell r="O129" t="b">
            <v>0</v>
          </cell>
          <cell r="P129" t="b">
            <v>0</v>
          </cell>
          <cell r="Q129" t="b">
            <v>0</v>
          </cell>
          <cell r="R129" t="b">
            <v>0</v>
          </cell>
          <cell r="S129" t="b">
            <v>1</v>
          </cell>
          <cell r="T129" t="b">
            <v>1</v>
          </cell>
          <cell r="U129" t="b">
            <v>1</v>
          </cell>
          <cell r="V129" t="b">
            <v>1</v>
          </cell>
          <cell r="W129" t="b">
            <v>1</v>
          </cell>
          <cell r="X129" t="b">
            <v>1</v>
          </cell>
          <cell r="Y129" t="b">
            <v>1</v>
          </cell>
          <cell r="Z129" t="b">
            <v>0</v>
          </cell>
          <cell r="AD129" t="b">
            <v>0</v>
          </cell>
          <cell r="AE129" t="b">
            <v>1</v>
          </cell>
          <cell r="AF129">
            <v>40878</v>
          </cell>
          <cell r="AG129">
            <v>40878</v>
          </cell>
          <cell r="AH129">
            <v>2000</v>
          </cell>
          <cell r="AI129" t="str">
            <v>DE</v>
          </cell>
        </row>
        <row r="130">
          <cell r="A130" t="str">
            <v>MP RTIP (RDT&amp;E)</v>
          </cell>
          <cell r="N130" t="b">
            <v>0</v>
          </cell>
          <cell r="O130" t="b">
            <v>0</v>
          </cell>
          <cell r="P130" t="b">
            <v>0</v>
          </cell>
          <cell r="Q130" t="b">
            <v>0</v>
          </cell>
          <cell r="R130" t="b">
            <v>1</v>
          </cell>
          <cell r="S130" t="b">
            <v>0</v>
          </cell>
          <cell r="T130" t="b">
            <v>0</v>
          </cell>
          <cell r="U130" t="b">
            <v>0</v>
          </cell>
          <cell r="V130" t="b">
            <v>0</v>
          </cell>
          <cell r="W130" t="b">
            <v>0</v>
          </cell>
          <cell r="X130" t="b">
            <v>0</v>
          </cell>
          <cell r="Y130" t="b">
            <v>0</v>
          </cell>
          <cell r="Z130" t="b">
            <v>0</v>
          </cell>
          <cell r="AD130" t="b">
            <v>0</v>
          </cell>
          <cell r="AE130" t="b">
            <v>0</v>
          </cell>
          <cell r="AF130">
            <v>38322</v>
          </cell>
          <cell r="AG130">
            <v>38322</v>
          </cell>
          <cell r="AH130">
            <v>2000</v>
          </cell>
          <cell r="AI130" t="str">
            <v>DE</v>
          </cell>
        </row>
        <row r="131">
          <cell r="A131" t="str">
            <v>MPS</v>
          </cell>
          <cell r="C131">
            <v>394</v>
          </cell>
          <cell r="D131" t="str">
            <v>None</v>
          </cell>
          <cell r="E131" t="str">
            <v>Air Force</v>
          </cell>
          <cell r="F131" t="str">
            <v>Electronic</v>
          </cell>
          <cell r="K131" t="str">
            <v>Air Force restructured MPS into two programs, Increments I-III and Increment IV MPS Increments I-III retained as ACATID, per April 15, 2008, USD(AT&amp;L) memorandum and subsequently deletedfrom Air Force ACATID List as 90% complete. GIPT oversight responsibility redesignated, per April 24, 2009, USD(AT&amp;L) memorandum. MPS Increment IV below MDAP threshold as a MAISACAT IAMprogram.</v>
          </cell>
          <cell r="M131" t="str">
            <v>SAIC</v>
          </cell>
          <cell r="N131" t="b">
            <v>0</v>
          </cell>
          <cell r="O131" t="b">
            <v>0</v>
          </cell>
          <cell r="P131" t="b">
            <v>0</v>
          </cell>
          <cell r="Q131" t="b">
            <v>0</v>
          </cell>
          <cell r="R131" t="b">
            <v>0</v>
          </cell>
          <cell r="S131" t="b">
            <v>1</v>
          </cell>
          <cell r="T131" t="b">
            <v>1</v>
          </cell>
          <cell r="U131" t="b">
            <v>1</v>
          </cell>
          <cell r="V131" t="b">
            <v>0</v>
          </cell>
          <cell r="W131" t="b">
            <v>0</v>
          </cell>
          <cell r="X131" t="b">
            <v>0</v>
          </cell>
          <cell r="Y131" t="b">
            <v>0</v>
          </cell>
          <cell r="Z131" t="b">
            <v>0</v>
          </cell>
          <cell r="AD131" t="b">
            <v>0</v>
          </cell>
          <cell r="AE131" t="b">
            <v>0</v>
          </cell>
          <cell r="AF131">
            <v>39417</v>
          </cell>
          <cell r="AG131">
            <v>39417</v>
          </cell>
          <cell r="AH131">
            <v>2004</v>
          </cell>
          <cell r="AI131" t="str">
            <v>DE</v>
          </cell>
        </row>
        <row r="132">
          <cell r="A132" t="str">
            <v>MQ-1C GRAY EAGLE</v>
          </cell>
          <cell r="N132" t="b">
            <v>0</v>
          </cell>
          <cell r="O132" t="b">
            <v>0</v>
          </cell>
          <cell r="P132" t="b">
            <v>0</v>
          </cell>
          <cell r="Q132" t="b">
            <v>0</v>
          </cell>
          <cell r="R132" t="b">
            <v>0</v>
          </cell>
          <cell r="S132" t="b">
            <v>0</v>
          </cell>
          <cell r="T132" t="b">
            <v>0</v>
          </cell>
          <cell r="U132" t="b">
            <v>0</v>
          </cell>
          <cell r="V132" t="b">
            <v>0</v>
          </cell>
          <cell r="W132" t="b">
            <v>0</v>
          </cell>
          <cell r="X132" t="b">
            <v>1</v>
          </cell>
          <cell r="Y132" t="b">
            <v>1</v>
          </cell>
          <cell r="Z132" t="b">
            <v>0</v>
          </cell>
          <cell r="AD132" t="b">
            <v>0</v>
          </cell>
          <cell r="AE132" t="b">
            <v>1</v>
          </cell>
          <cell r="AF132">
            <v>40878</v>
          </cell>
          <cell r="AG132">
            <v>40878</v>
          </cell>
          <cell r="AH132">
            <v>2010</v>
          </cell>
          <cell r="AI132" t="str">
            <v>PdE</v>
          </cell>
        </row>
        <row r="133">
          <cell r="A133" t="str">
            <v>MQ-4C UAS BAMS</v>
          </cell>
          <cell r="N133" t="b">
            <v>0</v>
          </cell>
          <cell r="O133" t="b">
            <v>0</v>
          </cell>
          <cell r="P133" t="b">
            <v>0</v>
          </cell>
          <cell r="Q133" t="b">
            <v>0</v>
          </cell>
          <cell r="R133" t="b">
            <v>0</v>
          </cell>
          <cell r="S133" t="b">
            <v>0</v>
          </cell>
          <cell r="T133" t="b">
            <v>0</v>
          </cell>
          <cell r="U133" t="b">
            <v>0</v>
          </cell>
          <cell r="V133" t="b">
            <v>0</v>
          </cell>
          <cell r="W133" t="b">
            <v>0</v>
          </cell>
          <cell r="X133" t="b">
            <v>0</v>
          </cell>
          <cell r="Y133" t="b">
            <v>0</v>
          </cell>
          <cell r="Z133" t="b">
            <v>0</v>
          </cell>
          <cell r="AD133" t="b">
            <v>0</v>
          </cell>
          <cell r="AE133" t="b">
            <v>0</v>
          </cell>
          <cell r="AF133" t="str">
            <v/>
          </cell>
          <cell r="AG133" t="str">
            <v/>
          </cell>
          <cell r="AH133" t="str">
            <v/>
          </cell>
          <cell r="AI133" t="str">
            <v/>
          </cell>
        </row>
        <row r="134">
          <cell r="A134" t="str">
            <v>MUOS</v>
          </cell>
          <cell r="C134">
            <v>345</v>
          </cell>
          <cell r="D134" t="str">
            <v>None</v>
          </cell>
          <cell r="E134" t="str">
            <v>Navy</v>
          </cell>
          <cell r="H134" t="str">
            <v>Lockheed Martin</v>
          </cell>
          <cell r="J134" t="str">
            <v>Booz Allen Hamilton, Raytheon</v>
          </cell>
          <cell r="M134" t="str">
            <v>Lockheed Martin</v>
          </cell>
          <cell r="N134" t="b">
            <v>0</v>
          </cell>
          <cell r="O134" t="b">
            <v>0</v>
          </cell>
          <cell r="P134" t="b">
            <v>0</v>
          </cell>
          <cell r="Q134" t="b">
            <v>0</v>
          </cell>
          <cell r="R134" t="b">
            <v>0</v>
          </cell>
          <cell r="S134" t="b">
            <v>1</v>
          </cell>
          <cell r="T134" t="b">
            <v>1</v>
          </cell>
          <cell r="U134" t="b">
            <v>1</v>
          </cell>
          <cell r="V134" t="b">
            <v>1</v>
          </cell>
          <cell r="W134" t="b">
            <v>1</v>
          </cell>
          <cell r="X134" t="b">
            <v>1</v>
          </cell>
          <cell r="Y134" t="b">
            <v>1</v>
          </cell>
          <cell r="Z134" t="b">
            <v>0</v>
          </cell>
          <cell r="AD134" t="b">
            <v>0</v>
          </cell>
          <cell r="AE134" t="b">
            <v>1</v>
          </cell>
          <cell r="AF134">
            <v>40878</v>
          </cell>
          <cell r="AG134">
            <v>40878</v>
          </cell>
          <cell r="AH134">
            <v>2004</v>
          </cell>
          <cell r="AI134" t="str">
            <v>PdE</v>
          </cell>
        </row>
        <row r="135">
          <cell r="A135" t="str">
            <v>NAS</v>
          </cell>
          <cell r="C135">
            <v>537</v>
          </cell>
          <cell r="D135" t="str">
            <v>None</v>
          </cell>
          <cell r="E135" t="str">
            <v>Air Force</v>
          </cell>
          <cell r="F135" t="str">
            <v>Christy Whitman
          Northrop Grumman Information Technology
          (571) 213-5302
          christine.whitman@ngc.com
          Juli Ballesteros, APR
          Northrop Grumman Information Technology
          (703) 556-2736
          juli.ballesteros@ngc.com</v>
          </cell>
          <cell r="H135" t="str">
            <v>Unknown</v>
          </cell>
          <cell r="J135" t="str">
            <v>Boeing, SAIC, Multimax Inc.</v>
          </cell>
          <cell r="K135" t="str">
            <v>Lockheed Martin, Raytheon Technical Services, Parsons Infrastructure and Technology Group, Mitre Corporation, ITT Corporation</v>
          </cell>
          <cell r="L135" t="str">
            <v>david.lankford@faa.gov : David Lankford FAA Acquisition and Management</v>
          </cell>
          <cell r="M135" t="str">
            <v>No prime</v>
          </cell>
          <cell r="N135" t="b">
            <v>0</v>
          </cell>
          <cell r="O135" t="b">
            <v>1</v>
          </cell>
          <cell r="P135" t="b">
            <v>1</v>
          </cell>
          <cell r="Q135" t="b">
            <v>1</v>
          </cell>
          <cell r="R135" t="b">
            <v>1</v>
          </cell>
          <cell r="S135" t="b">
            <v>1</v>
          </cell>
          <cell r="T135" t="b">
            <v>1</v>
          </cell>
          <cell r="U135" t="b">
            <v>1</v>
          </cell>
          <cell r="V135" t="b">
            <v>1</v>
          </cell>
          <cell r="W135" t="b">
            <v>1</v>
          </cell>
          <cell r="X135" t="b">
            <v>1</v>
          </cell>
          <cell r="Y135" t="b">
            <v>1</v>
          </cell>
          <cell r="Z135" t="b">
            <v>0</v>
          </cell>
          <cell r="AD135" t="b">
            <v>0</v>
          </cell>
          <cell r="AE135" t="b">
            <v>1</v>
          </cell>
          <cell r="AF135">
            <v>40878</v>
          </cell>
          <cell r="AG135">
            <v>40878</v>
          </cell>
          <cell r="AH135">
            <v>2005</v>
          </cell>
          <cell r="AI135" t="str">
            <v>PdE</v>
          </cell>
        </row>
        <row r="136">
          <cell r="A136" t="str">
            <v>NAVSTAR GPS</v>
          </cell>
          <cell r="C136">
            <v>166</v>
          </cell>
          <cell r="D136" t="str">
            <v>None</v>
          </cell>
          <cell r="E136" t="str">
            <v>Air Force</v>
          </cell>
          <cell r="F136" t="str">
            <v>Electronic</v>
          </cell>
          <cell r="H136" t="str">
            <v>Boeing</v>
          </cell>
          <cell r="I136" t="str">
            <v>Lockheed Martin</v>
          </cell>
          <cell r="J136" t="str">
            <v xml:space="preserve">Raytheon, Northrop Grumman, Raytheon, SAIC, Rockwell Collins, L-3, Honeywell, AT&amp;T, ARINC, Mantech, BAE, </v>
          </cell>
          <cell r="L136" t="str">
            <v>http://www.boeing.com/defense-space/space/gps/docs/GPSIIF_overview.pdf</v>
          </cell>
          <cell r="M136" t="str">
            <v>Boeing</v>
          </cell>
          <cell r="N136" t="b">
            <v>0</v>
          </cell>
          <cell r="O136" t="b">
            <v>1</v>
          </cell>
          <cell r="P136" t="b">
            <v>1</v>
          </cell>
          <cell r="Q136" t="b">
            <v>1</v>
          </cell>
          <cell r="R136" t="b">
            <v>1</v>
          </cell>
          <cell r="S136" t="b">
            <v>1</v>
          </cell>
          <cell r="T136" t="b">
            <v>1</v>
          </cell>
          <cell r="U136" t="b">
            <v>0</v>
          </cell>
          <cell r="V136" t="b">
            <v>0</v>
          </cell>
          <cell r="W136" t="b">
            <v>0</v>
          </cell>
          <cell r="X136" t="b">
            <v>0</v>
          </cell>
          <cell r="Y136" t="b">
            <v>0</v>
          </cell>
          <cell r="Z136" t="b">
            <v>0</v>
          </cell>
          <cell r="AD136" t="b">
            <v>0</v>
          </cell>
          <cell r="AE136" t="b">
            <v>0</v>
          </cell>
          <cell r="AF136">
            <v>39052</v>
          </cell>
          <cell r="AG136">
            <v>39052</v>
          </cell>
          <cell r="AH136">
            <v>2000</v>
          </cell>
          <cell r="AI136" t="str">
            <v>PdE</v>
          </cell>
        </row>
        <row r="137">
          <cell r="A137" t="str">
            <v>NAVSTAR GPS SPLIT</v>
          </cell>
          <cell r="N137" t="b">
            <v>0</v>
          </cell>
          <cell r="O137" t="b">
            <v>0</v>
          </cell>
          <cell r="P137" t="b">
            <v>0</v>
          </cell>
          <cell r="Q137" t="b">
            <v>0</v>
          </cell>
          <cell r="R137" t="b">
            <v>0</v>
          </cell>
          <cell r="S137" t="b">
            <v>0</v>
          </cell>
          <cell r="T137" t="b">
            <v>0</v>
          </cell>
          <cell r="U137" t="b">
            <v>1</v>
          </cell>
          <cell r="V137" t="b">
            <v>1</v>
          </cell>
          <cell r="W137" t="b">
            <v>1</v>
          </cell>
          <cell r="X137" t="b">
            <v>1</v>
          </cell>
          <cell r="Y137" t="b">
            <v>1</v>
          </cell>
          <cell r="Z137" t="b">
            <v>0</v>
          </cell>
          <cell r="AD137" t="b">
            <v>0</v>
          </cell>
          <cell r="AE137" t="b">
            <v>1</v>
          </cell>
          <cell r="AF137">
            <v>40878</v>
          </cell>
          <cell r="AG137">
            <v>40878</v>
          </cell>
          <cell r="AH137">
            <v>2000</v>
          </cell>
          <cell r="AI137" t="str">
            <v>PdE</v>
          </cell>
        </row>
        <row r="138">
          <cell r="A138" t="str">
            <v>NAVSTAR GPS SPLIT</v>
          </cell>
          <cell r="N138" t="b">
            <v>0</v>
          </cell>
          <cell r="O138" t="b">
            <v>0</v>
          </cell>
          <cell r="P138" t="b">
            <v>0</v>
          </cell>
          <cell r="Q138" t="b">
            <v>0</v>
          </cell>
          <cell r="R138" t="b">
            <v>0</v>
          </cell>
          <cell r="S138" t="b">
            <v>0</v>
          </cell>
          <cell r="T138" t="b">
            <v>0</v>
          </cell>
          <cell r="U138" t="b">
            <v>1</v>
          </cell>
          <cell r="V138" t="b">
            <v>1</v>
          </cell>
          <cell r="W138" t="b">
            <v>1</v>
          </cell>
          <cell r="X138" t="b">
            <v>1</v>
          </cell>
          <cell r="Y138" t="b">
            <v>1</v>
          </cell>
          <cell r="Z138" t="b">
            <v>0</v>
          </cell>
          <cell r="AD138" t="b">
            <v>0</v>
          </cell>
          <cell r="AE138" t="b">
            <v>1</v>
          </cell>
          <cell r="AF138">
            <v>40878</v>
          </cell>
          <cell r="AG138">
            <v>40878</v>
          </cell>
          <cell r="AH138">
            <v>2000</v>
          </cell>
          <cell r="AI138" t="str">
            <v>PdE</v>
          </cell>
        </row>
        <row r="139">
          <cell r="A139" t="str">
            <v>NESP</v>
          </cell>
          <cell r="H139" t="str">
            <v>Raytheon</v>
          </cell>
          <cell r="N139" t="b">
            <v>0</v>
          </cell>
          <cell r="O139" t="b">
            <v>1</v>
          </cell>
          <cell r="P139" t="b">
            <v>1</v>
          </cell>
          <cell r="Q139" t="b">
            <v>1</v>
          </cell>
          <cell r="R139" t="b">
            <v>1</v>
          </cell>
          <cell r="S139" t="b">
            <v>0</v>
          </cell>
          <cell r="T139" t="b">
            <v>0</v>
          </cell>
          <cell r="U139" t="b">
            <v>0</v>
          </cell>
          <cell r="V139" t="b">
            <v>0</v>
          </cell>
          <cell r="W139" t="b">
            <v>0</v>
          </cell>
          <cell r="X139" t="b">
            <v>0</v>
          </cell>
          <cell r="Y139" t="b">
            <v>0</v>
          </cell>
          <cell r="Z139" t="b">
            <v>0</v>
          </cell>
          <cell r="AD139" t="b">
            <v>0</v>
          </cell>
          <cell r="AE139" t="b">
            <v>0</v>
          </cell>
          <cell r="AF139">
            <v>38322</v>
          </cell>
          <cell r="AG139">
            <v>38322</v>
          </cell>
          <cell r="AH139">
            <v>1990</v>
          </cell>
          <cell r="AI139" t="str">
            <v>PdE</v>
          </cell>
        </row>
        <row r="140">
          <cell r="A140" t="str">
            <v>NMT</v>
          </cell>
          <cell r="C140">
            <v>290</v>
          </cell>
          <cell r="D140" t="str">
            <v>None</v>
          </cell>
          <cell r="E140" t="str">
            <v>Navy</v>
          </cell>
          <cell r="F140" t="str">
            <v>Electronic</v>
          </cell>
          <cell r="H140" t="str">
            <v>Raytheon</v>
          </cell>
          <cell r="J140" t="str">
            <v>Harris Corporation</v>
          </cell>
          <cell r="M140" t="str">
            <v>Raytheon</v>
          </cell>
          <cell r="N140" t="b">
            <v>0</v>
          </cell>
          <cell r="O140" t="b">
            <v>0</v>
          </cell>
          <cell r="P140" t="b">
            <v>0</v>
          </cell>
          <cell r="Q140" t="b">
            <v>0</v>
          </cell>
          <cell r="R140" t="b">
            <v>0</v>
          </cell>
          <cell r="S140" t="b">
            <v>0</v>
          </cell>
          <cell r="T140" t="b">
            <v>0</v>
          </cell>
          <cell r="U140" t="b">
            <v>1</v>
          </cell>
          <cell r="V140" t="b">
            <v>1</v>
          </cell>
          <cell r="W140" t="b">
            <v>1</v>
          </cell>
          <cell r="X140" t="b">
            <v>1</v>
          </cell>
          <cell r="Y140" t="b">
            <v>1</v>
          </cell>
          <cell r="Z140" t="b">
            <v>0</v>
          </cell>
          <cell r="AD140" t="b">
            <v>0</v>
          </cell>
          <cell r="AE140" t="b">
            <v>1</v>
          </cell>
          <cell r="AF140">
            <v>40878</v>
          </cell>
          <cell r="AG140">
            <v>40878</v>
          </cell>
          <cell r="AH140">
            <v>2002</v>
          </cell>
          <cell r="AI140" t="str">
            <v>PdE</v>
          </cell>
        </row>
        <row r="141">
          <cell r="A141" t="str">
            <v>NPOESS</v>
          </cell>
          <cell r="C141">
            <v>239</v>
          </cell>
          <cell r="D141" t="str">
            <v>None</v>
          </cell>
          <cell r="E141" t="str">
            <v>Air Force</v>
          </cell>
          <cell r="H141" t="str">
            <v>Northrop Grumman</v>
          </cell>
          <cell r="J141" t="str">
            <v>AMSEC LLC</v>
          </cell>
          <cell r="M141" t="str">
            <v>Northrop Grumman</v>
          </cell>
          <cell r="N141" t="b">
            <v>0</v>
          </cell>
          <cell r="O141" t="b">
            <v>1</v>
          </cell>
          <cell r="P141" t="b">
            <v>1</v>
          </cell>
          <cell r="Q141" t="b">
            <v>1</v>
          </cell>
          <cell r="R141" t="b">
            <v>1</v>
          </cell>
          <cell r="S141" t="b">
            <v>1</v>
          </cell>
          <cell r="T141" t="b">
            <v>1</v>
          </cell>
          <cell r="U141" t="b">
            <v>1</v>
          </cell>
          <cell r="V141" t="b">
            <v>1</v>
          </cell>
          <cell r="W141" t="b">
            <v>1</v>
          </cell>
          <cell r="X141" t="b">
            <v>1</v>
          </cell>
          <cell r="Y141" t="b">
            <v>1</v>
          </cell>
          <cell r="Z141" t="b">
            <v>0</v>
          </cell>
          <cell r="AD141" t="b">
            <v>0</v>
          </cell>
          <cell r="AE141" t="b">
            <v>1</v>
          </cell>
          <cell r="AF141">
            <v>40878</v>
          </cell>
          <cell r="AG141">
            <v>40878</v>
          </cell>
          <cell r="AH141">
            <v>2002</v>
          </cell>
          <cell r="AI141" t="str">
            <v>PdE</v>
          </cell>
        </row>
        <row r="142">
          <cell r="A142" t="str">
            <v>P-8A</v>
          </cell>
          <cell r="C142">
            <v>334</v>
          </cell>
          <cell r="D142" t="str">
            <v>None</v>
          </cell>
          <cell r="E142" t="str">
            <v>Navy</v>
          </cell>
          <cell r="F142" t="str">
            <v>Fixed Wing</v>
          </cell>
          <cell r="H142" t="str">
            <v>Boeing</v>
          </cell>
          <cell r="J142" t="str">
            <v>SNECMA (SAFRAN), CFM, General Electric, DRS</v>
          </cell>
          <cell r="M142" t="str">
            <v>Boeing</v>
          </cell>
          <cell r="N142" t="b">
            <v>0</v>
          </cell>
          <cell r="O142" t="b">
            <v>0</v>
          </cell>
          <cell r="P142" t="b">
            <v>0</v>
          </cell>
          <cell r="Q142" t="b">
            <v>0</v>
          </cell>
          <cell r="R142" t="b">
            <v>1</v>
          </cell>
          <cell r="S142" t="b">
            <v>1</v>
          </cell>
          <cell r="T142" t="b">
            <v>1</v>
          </cell>
          <cell r="U142" t="b">
            <v>1</v>
          </cell>
          <cell r="V142" t="b">
            <v>1</v>
          </cell>
          <cell r="W142" t="b">
            <v>1</v>
          </cell>
          <cell r="X142" t="b">
            <v>1</v>
          </cell>
          <cell r="Y142" t="b">
            <v>1</v>
          </cell>
          <cell r="Z142" t="b">
            <v>0</v>
          </cell>
          <cell r="AD142" t="b">
            <v>0</v>
          </cell>
          <cell r="AE142" t="b">
            <v>1</v>
          </cell>
          <cell r="AF142">
            <v>40878</v>
          </cell>
          <cell r="AG142">
            <v>40878</v>
          </cell>
          <cell r="AH142">
            <v>2010</v>
          </cell>
          <cell r="AI142" t="str">
            <v>PdE</v>
          </cell>
        </row>
        <row r="143">
          <cell r="A143" t="str">
            <v>PATRIOT PAC-3</v>
          </cell>
          <cell r="C143">
            <v>148</v>
          </cell>
          <cell r="D143" t="str">
            <v>None</v>
          </cell>
          <cell r="E143" t="str">
            <v>Army</v>
          </cell>
          <cell r="F143" t="str">
            <v>Munitions</v>
          </cell>
          <cell r="H143" t="str">
            <v>Lockheed Martin</v>
          </cell>
          <cell r="J143" t="str">
            <v>Raytheon</v>
          </cell>
          <cell r="M143" t="str">
            <v>Lockheed Martin</v>
          </cell>
          <cell r="N143" t="b">
            <v>0</v>
          </cell>
          <cell r="O143" t="b">
            <v>1</v>
          </cell>
          <cell r="P143" t="b">
            <v>1</v>
          </cell>
          <cell r="Q143" t="b">
            <v>1</v>
          </cell>
          <cell r="R143" t="b">
            <v>1</v>
          </cell>
          <cell r="S143" t="b">
            <v>1</v>
          </cell>
          <cell r="T143" t="b">
            <v>1</v>
          </cell>
          <cell r="U143" t="b">
            <v>1</v>
          </cell>
          <cell r="V143" t="b">
            <v>1</v>
          </cell>
          <cell r="W143" t="b">
            <v>1</v>
          </cell>
          <cell r="X143" t="b">
            <v>1</v>
          </cell>
          <cell r="Y143" t="b">
            <v>1</v>
          </cell>
          <cell r="Z143" t="b">
            <v>0</v>
          </cell>
          <cell r="AD143" t="b">
            <v>0</v>
          </cell>
          <cell r="AE143" t="b">
            <v>1</v>
          </cell>
          <cell r="AF143">
            <v>40878</v>
          </cell>
          <cell r="AG143">
            <v>40878</v>
          </cell>
          <cell r="AH143">
            <v>2002</v>
          </cell>
          <cell r="AI143" t="str">
            <v>PdE</v>
          </cell>
        </row>
        <row r="144">
          <cell r="A144" t="str">
            <v>PATRIOT/MEADS CAP</v>
          </cell>
          <cell r="C144">
            <v>531</v>
          </cell>
          <cell r="D144" t="str">
            <v>None</v>
          </cell>
          <cell r="E144" t="str">
            <v>Army</v>
          </cell>
          <cell r="F144" t="str">
            <v>Munitions</v>
          </cell>
          <cell r="H144" t="str">
            <v>MEADS International</v>
          </cell>
          <cell r="J144" t="str">
            <v>MBDA, LFK, EADS</v>
          </cell>
          <cell r="M144" t="str">
            <v>Lockheed Martin</v>
          </cell>
          <cell r="N144" t="b">
            <v>0</v>
          </cell>
          <cell r="O144" t="b">
            <v>0</v>
          </cell>
          <cell r="P144" t="b">
            <v>0</v>
          </cell>
          <cell r="Q144" t="b">
            <v>0</v>
          </cell>
          <cell r="R144" t="b">
            <v>1</v>
          </cell>
          <cell r="S144" t="b">
            <v>1</v>
          </cell>
          <cell r="T144" t="b">
            <v>1</v>
          </cell>
          <cell r="U144" t="b">
            <v>0</v>
          </cell>
          <cell r="V144" t="b">
            <v>0</v>
          </cell>
          <cell r="W144" t="b">
            <v>0</v>
          </cell>
          <cell r="X144" t="b">
            <v>0</v>
          </cell>
          <cell r="Y144" t="b">
            <v>0</v>
          </cell>
          <cell r="Z144" t="b">
            <v>0</v>
          </cell>
          <cell r="AD144" t="b">
            <v>0</v>
          </cell>
          <cell r="AE144" t="b">
            <v>0</v>
          </cell>
          <cell r="AF144">
            <v>39052</v>
          </cell>
          <cell r="AG144">
            <v>39052</v>
          </cell>
          <cell r="AH144">
            <v>2004</v>
          </cell>
          <cell r="AI144" t="str">
            <v xml:space="preserve">DE </v>
          </cell>
        </row>
        <row r="145">
          <cell r="A145" t="str">
            <v>PATRIOT/MEADS CAP SPLIT</v>
          </cell>
          <cell r="N145" t="b">
            <v>0</v>
          </cell>
          <cell r="O145" t="b">
            <v>0</v>
          </cell>
          <cell r="P145" t="b">
            <v>0</v>
          </cell>
          <cell r="Q145" t="b">
            <v>0</v>
          </cell>
          <cell r="R145" t="b">
            <v>0</v>
          </cell>
          <cell r="S145" t="b">
            <v>0</v>
          </cell>
          <cell r="T145" t="b">
            <v>0</v>
          </cell>
          <cell r="U145" t="b">
            <v>1</v>
          </cell>
          <cell r="V145" t="b">
            <v>1</v>
          </cell>
          <cell r="W145" t="b">
            <v>1</v>
          </cell>
          <cell r="X145" t="b">
            <v>1</v>
          </cell>
          <cell r="Y145" t="b">
            <v>1</v>
          </cell>
          <cell r="Z145" t="b">
            <v>0</v>
          </cell>
          <cell r="AD145" t="b">
            <v>0</v>
          </cell>
          <cell r="AE145" t="b">
            <v>1</v>
          </cell>
          <cell r="AF145">
            <v>40878</v>
          </cell>
          <cell r="AG145">
            <v>40878</v>
          </cell>
          <cell r="AH145">
            <v>2004</v>
          </cell>
          <cell r="AI145" t="str">
            <v>DE</v>
          </cell>
        </row>
        <row r="146">
          <cell r="A146" t="str">
            <v>PATRIOT/MEADS CAP SPLIT</v>
          </cell>
          <cell r="N146" t="b">
            <v>0</v>
          </cell>
          <cell r="O146" t="b">
            <v>0</v>
          </cell>
          <cell r="P146" t="b">
            <v>0</v>
          </cell>
          <cell r="Q146" t="b">
            <v>0</v>
          </cell>
          <cell r="R146" t="b">
            <v>0</v>
          </cell>
          <cell r="S146" t="b">
            <v>0</v>
          </cell>
          <cell r="T146" t="b">
            <v>0</v>
          </cell>
          <cell r="U146" t="b">
            <v>1</v>
          </cell>
          <cell r="V146" t="b">
            <v>1</v>
          </cell>
          <cell r="W146" t="b">
            <v>1</v>
          </cell>
          <cell r="X146" t="b">
            <v>1</v>
          </cell>
          <cell r="Y146" t="b">
            <v>1</v>
          </cell>
          <cell r="Z146" t="b">
            <v>0</v>
          </cell>
          <cell r="AD146" t="b">
            <v>0</v>
          </cell>
          <cell r="AE146" t="b">
            <v>1</v>
          </cell>
          <cell r="AF146">
            <v>40878</v>
          </cell>
          <cell r="AG146">
            <v>40878</v>
          </cell>
          <cell r="AH146">
            <v>2004</v>
          </cell>
          <cell r="AI146" t="str">
            <v>DE</v>
          </cell>
        </row>
        <row r="147">
          <cell r="A147" t="str">
            <v>MQ-1 PREDATOR</v>
          </cell>
          <cell r="C147">
            <v>424</v>
          </cell>
          <cell r="D147" t="str">
            <v>None</v>
          </cell>
          <cell r="E147" t="str">
            <v>Air Force</v>
          </cell>
          <cell r="F147" t="str">
            <v>Fixed Wing</v>
          </cell>
          <cell r="H147" t="str">
            <v>General Atomics Aeronautical Systems</v>
          </cell>
          <cell r="M147" t="str">
            <v>General Atomics Aeronautical Systems</v>
          </cell>
          <cell r="N147" t="b">
            <v>0</v>
          </cell>
          <cell r="O147" t="b">
            <v>0</v>
          </cell>
          <cell r="P147" t="b">
            <v>0</v>
          </cell>
          <cell r="Q147" t="b">
            <v>0</v>
          </cell>
          <cell r="R147" t="b">
            <v>0</v>
          </cell>
          <cell r="S147" t="b">
            <v>0</v>
          </cell>
          <cell r="T147" t="b">
            <v>0</v>
          </cell>
          <cell r="U147" t="b">
            <v>0</v>
          </cell>
          <cell r="V147" t="b">
            <v>0</v>
          </cell>
          <cell r="W147" t="b">
            <v>0</v>
          </cell>
          <cell r="X147" t="b">
            <v>0</v>
          </cell>
          <cell r="Y147" t="b">
            <v>0</v>
          </cell>
          <cell r="Z147" t="b">
            <v>0</v>
          </cell>
          <cell r="AD147" t="b">
            <v>0</v>
          </cell>
          <cell r="AE147" t="b">
            <v>0</v>
          </cell>
          <cell r="AF147" t="str">
            <v/>
          </cell>
          <cell r="AG147" t="str">
            <v/>
          </cell>
          <cell r="AH147" t="str">
            <v/>
          </cell>
          <cell r="AI147" t="str">
            <v/>
          </cell>
        </row>
        <row r="148">
          <cell r="A148" t="str">
            <v>MQ-9 REAPER</v>
          </cell>
          <cell r="C148" t="str">
            <v>None</v>
          </cell>
          <cell r="D148" t="str">
            <v>None</v>
          </cell>
          <cell r="E148" t="str">
            <v>Air Force</v>
          </cell>
          <cell r="H148" t="str">
            <v>General Atomics Aeronautical Systems</v>
          </cell>
          <cell r="N148" t="b">
            <v>0</v>
          </cell>
          <cell r="O148" t="b">
            <v>0</v>
          </cell>
          <cell r="P148" t="b">
            <v>0</v>
          </cell>
          <cell r="Q148" t="b">
            <v>0</v>
          </cell>
          <cell r="R148" t="b">
            <v>0</v>
          </cell>
          <cell r="S148" t="b">
            <v>0</v>
          </cell>
          <cell r="T148" t="b">
            <v>0</v>
          </cell>
          <cell r="U148" t="b">
            <v>0</v>
          </cell>
          <cell r="V148" t="b">
            <v>0</v>
          </cell>
          <cell r="W148" t="b">
            <v>0</v>
          </cell>
          <cell r="X148" t="b">
            <v>1</v>
          </cell>
          <cell r="Y148" t="b">
            <v>1</v>
          </cell>
          <cell r="Z148" t="b">
            <v>0</v>
          </cell>
          <cell r="AD148" t="b">
            <v>0</v>
          </cell>
          <cell r="AE148" t="b">
            <v>1</v>
          </cell>
          <cell r="AF148">
            <v>40878</v>
          </cell>
          <cell r="AG148">
            <v>40878</v>
          </cell>
          <cell r="AH148">
            <v>2008</v>
          </cell>
          <cell r="AI148" t="str">
            <v>PdE</v>
          </cell>
        </row>
        <row r="149">
          <cell r="A149" t="str">
            <v>RMS</v>
          </cell>
          <cell r="C149">
            <v>286</v>
          </cell>
          <cell r="D149" t="str">
            <v>None</v>
          </cell>
          <cell r="E149" t="str">
            <v>Navy</v>
          </cell>
          <cell r="H149" t="str">
            <v>Lockheed Martin</v>
          </cell>
          <cell r="J149" t="str">
            <v>Lockheed Martin</v>
          </cell>
          <cell r="M149" t="str">
            <v>Lockheed Martin</v>
          </cell>
          <cell r="N149" t="b">
            <v>0</v>
          </cell>
          <cell r="O149" t="b">
            <v>0</v>
          </cell>
          <cell r="P149" t="b">
            <v>0</v>
          </cell>
          <cell r="Q149" t="b">
            <v>0</v>
          </cell>
          <cell r="R149" t="b">
            <v>0</v>
          </cell>
          <cell r="S149" t="b">
            <v>0</v>
          </cell>
          <cell r="T149" t="b">
            <v>0</v>
          </cell>
          <cell r="U149" t="b">
            <v>1</v>
          </cell>
          <cell r="V149" t="b">
            <v>1</v>
          </cell>
          <cell r="W149" t="b">
            <v>1</v>
          </cell>
          <cell r="X149" t="b">
            <v>1</v>
          </cell>
          <cell r="Y149" t="b">
            <v>1</v>
          </cell>
          <cell r="Z149" t="b">
            <v>0</v>
          </cell>
          <cell r="AD149" t="b">
            <v>0</v>
          </cell>
          <cell r="AE149" t="b">
            <v>1</v>
          </cell>
          <cell r="AF149">
            <v>40878</v>
          </cell>
          <cell r="AG149">
            <v>40878</v>
          </cell>
          <cell r="AH149">
            <v>2006</v>
          </cell>
          <cell r="AI149" t="str">
            <v>DE</v>
          </cell>
        </row>
        <row r="150">
          <cell r="A150" t="str">
            <v>RQ-4 GLOBAL HAWK</v>
          </cell>
          <cell r="C150">
            <v>252</v>
          </cell>
          <cell r="D150" t="str">
            <v>None</v>
          </cell>
          <cell r="E150" t="str">
            <v>Air Force</v>
          </cell>
          <cell r="H150" t="str">
            <v>Northrop Grumman</v>
          </cell>
          <cell r="J150" t="str">
            <v>Rolls-Royce</v>
          </cell>
          <cell r="M150" t="str">
            <v>Northrop Grumman</v>
          </cell>
          <cell r="N150" t="b">
            <v>0</v>
          </cell>
          <cell r="O150" t="b">
            <v>1</v>
          </cell>
          <cell r="P150" t="b">
            <v>1</v>
          </cell>
          <cell r="Q150" t="b">
            <v>1</v>
          </cell>
          <cell r="R150" t="b">
            <v>1</v>
          </cell>
          <cell r="S150" t="b">
            <v>1</v>
          </cell>
          <cell r="T150" t="b">
            <v>1</v>
          </cell>
          <cell r="U150" t="b">
            <v>1</v>
          </cell>
          <cell r="V150" t="b">
            <v>1</v>
          </cell>
          <cell r="W150" t="b">
            <v>1</v>
          </cell>
          <cell r="X150" t="b">
            <v>1</v>
          </cell>
          <cell r="Y150" t="b">
            <v>1</v>
          </cell>
          <cell r="Z150" t="b">
            <v>0</v>
          </cell>
          <cell r="AD150" t="b">
            <v>0</v>
          </cell>
          <cell r="AE150" t="b">
            <v>1</v>
          </cell>
          <cell r="AF150">
            <v>40878</v>
          </cell>
          <cell r="AG150">
            <v>40878</v>
          </cell>
          <cell r="AH150">
            <v>2000</v>
          </cell>
          <cell r="AI150" t="str">
            <v>DE</v>
          </cell>
        </row>
        <row r="151">
          <cell r="A151" t="str">
            <v>SBIRS</v>
          </cell>
          <cell r="C151">
            <v>210</v>
          </cell>
          <cell r="D151" t="str">
            <v>None</v>
          </cell>
          <cell r="E151" t="str">
            <v>Navy</v>
          </cell>
          <cell r="H151" t="str">
            <v>Lockheed Martin</v>
          </cell>
          <cell r="J151" t="str">
            <v>Northrop Grumman, SAIC</v>
          </cell>
          <cell r="M151" t="str">
            <v>Lockheed Martin</v>
          </cell>
          <cell r="N151" t="b">
            <v>0</v>
          </cell>
          <cell r="O151" t="b">
            <v>1</v>
          </cell>
          <cell r="P151" t="b">
            <v>1</v>
          </cell>
          <cell r="Q151" t="b">
            <v>1</v>
          </cell>
          <cell r="R151" t="b">
            <v>1</v>
          </cell>
          <cell r="S151" t="b">
            <v>1</v>
          </cell>
          <cell r="T151" t="b">
            <v>1</v>
          </cell>
          <cell r="U151" t="b">
            <v>1</v>
          </cell>
          <cell r="V151" t="b">
            <v>1</v>
          </cell>
          <cell r="W151" t="b">
            <v>1</v>
          </cell>
          <cell r="X151" t="b">
            <v>1</v>
          </cell>
          <cell r="Y151" t="b">
            <v>1</v>
          </cell>
          <cell r="Z151" t="b">
            <v>0</v>
          </cell>
          <cell r="AD151" t="b">
            <v>0</v>
          </cell>
          <cell r="AE151" t="b">
            <v>1</v>
          </cell>
          <cell r="AF151">
            <v>40878</v>
          </cell>
          <cell r="AG151">
            <v>40878</v>
          </cell>
          <cell r="AH151">
            <v>1995</v>
          </cell>
          <cell r="AI151" t="str">
            <v>DE</v>
          </cell>
        </row>
        <row r="152">
          <cell r="A152" t="str">
            <v>SBSS B10</v>
          </cell>
          <cell r="C152">
            <v>328</v>
          </cell>
          <cell r="D152" t="str">
            <v>None</v>
          </cell>
          <cell r="E152" t="str">
            <v>Navy</v>
          </cell>
          <cell r="H152" t="str">
            <v>Boeing</v>
          </cell>
          <cell r="I152" t="str">
            <v>Ball Aerospace &amp; Technologies Corp, Harris IT Services, MIT/Lincoln Labs, Orbital Sciences Corporation</v>
          </cell>
          <cell r="J152" t="str">
            <v>Boeing</v>
          </cell>
          <cell r="M152" t="str">
            <v>Northrop Grumman</v>
          </cell>
          <cell r="N152" t="b">
            <v>0</v>
          </cell>
          <cell r="O152" t="b">
            <v>0</v>
          </cell>
          <cell r="P152" t="b">
            <v>0</v>
          </cell>
          <cell r="Q152" t="b">
            <v>0</v>
          </cell>
          <cell r="R152" t="b">
            <v>0</v>
          </cell>
          <cell r="S152" t="b">
            <v>0</v>
          </cell>
          <cell r="T152" t="b">
            <v>0</v>
          </cell>
          <cell r="U152" t="b">
            <v>0</v>
          </cell>
          <cell r="V152" t="b">
            <v>1</v>
          </cell>
          <cell r="W152" t="b">
            <v>1</v>
          </cell>
          <cell r="X152" t="b">
            <v>1</v>
          </cell>
          <cell r="Y152" t="b">
            <v>0</v>
          </cell>
          <cell r="Z152" t="b">
            <v>0</v>
          </cell>
          <cell r="AD152" t="b">
            <v>0</v>
          </cell>
          <cell r="AE152" t="b">
            <v>0</v>
          </cell>
          <cell r="AF152">
            <v>40513</v>
          </cell>
          <cell r="AG152">
            <v>40513</v>
          </cell>
          <cell r="AH152">
            <v>2007</v>
          </cell>
          <cell r="AI152" t="str">
            <v>DE</v>
          </cell>
        </row>
        <row r="153">
          <cell r="A153" t="str">
            <v>SDB I</v>
          </cell>
          <cell r="C153">
            <v>354</v>
          </cell>
          <cell r="D153" t="str">
            <v>None</v>
          </cell>
          <cell r="E153" t="str">
            <v>Air Force</v>
          </cell>
          <cell r="F153" t="str">
            <v>Munitions</v>
          </cell>
          <cell r="H153" t="str">
            <v>Boeing</v>
          </cell>
          <cell r="J153" t="str">
            <v>Raytheon</v>
          </cell>
          <cell r="M153" t="str">
            <v>Boeing</v>
          </cell>
          <cell r="N153" t="b">
            <v>0</v>
          </cell>
          <cell r="O153" t="b">
            <v>0</v>
          </cell>
          <cell r="P153" t="b">
            <v>0</v>
          </cell>
          <cell r="Q153" t="b">
            <v>0</v>
          </cell>
          <cell r="R153" t="b">
            <v>1</v>
          </cell>
          <cell r="S153" t="b">
            <v>1</v>
          </cell>
          <cell r="T153" t="b">
            <v>1</v>
          </cell>
          <cell r="U153" t="b">
            <v>1</v>
          </cell>
          <cell r="V153" t="b">
            <v>1</v>
          </cell>
          <cell r="W153" t="b">
            <v>0</v>
          </cell>
          <cell r="X153" t="b">
            <v>0</v>
          </cell>
          <cell r="Y153" t="b">
            <v>0</v>
          </cell>
          <cell r="Z153" t="b">
            <v>0</v>
          </cell>
          <cell r="AD153" t="b">
            <v>0</v>
          </cell>
          <cell r="AE153" t="b">
            <v>0</v>
          </cell>
          <cell r="AF153">
            <v>39692</v>
          </cell>
          <cell r="AG153">
            <v>39692</v>
          </cell>
          <cell r="AH153">
            <v>2001</v>
          </cell>
          <cell r="AI153" t="str">
            <v>PdE</v>
          </cell>
        </row>
        <row r="154">
          <cell r="A154" t="str">
            <v>SDB II</v>
          </cell>
          <cell r="N154" t="b">
            <v>0</v>
          </cell>
          <cell r="O154" t="b">
            <v>0</v>
          </cell>
          <cell r="P154" t="b">
            <v>0</v>
          </cell>
          <cell r="Q154" t="b">
            <v>0</v>
          </cell>
          <cell r="R154" t="b">
            <v>0</v>
          </cell>
          <cell r="S154" t="b">
            <v>0</v>
          </cell>
          <cell r="T154" t="b">
            <v>0</v>
          </cell>
          <cell r="U154" t="b">
            <v>0</v>
          </cell>
          <cell r="V154" t="b">
            <v>0</v>
          </cell>
          <cell r="W154" t="b">
            <v>0</v>
          </cell>
          <cell r="X154" t="b">
            <v>1</v>
          </cell>
          <cell r="Y154" t="b">
            <v>1</v>
          </cell>
          <cell r="Z154" t="b">
            <v>0</v>
          </cell>
          <cell r="AD154" t="b">
            <v>0</v>
          </cell>
          <cell r="AE154" t="b">
            <v>1</v>
          </cell>
          <cell r="AF154">
            <v>40878</v>
          </cell>
          <cell r="AG154">
            <v>40878</v>
          </cell>
          <cell r="AH154">
            <v>2010</v>
          </cell>
          <cell r="AI154" t="str">
            <v>DE</v>
          </cell>
        </row>
        <row r="155">
          <cell r="A155" t="str">
            <v>SM-2</v>
          </cell>
          <cell r="H155" t="str">
            <v>Raytheon</v>
          </cell>
          <cell r="N155" t="b">
            <v>0</v>
          </cell>
          <cell r="O155" t="b">
            <v>1</v>
          </cell>
          <cell r="P155" t="b">
            <v>1</v>
          </cell>
          <cell r="Q155" t="b">
            <v>1</v>
          </cell>
          <cell r="R155" t="b">
            <v>1</v>
          </cell>
          <cell r="S155" t="b">
            <v>0</v>
          </cell>
          <cell r="T155" t="b">
            <v>0</v>
          </cell>
          <cell r="U155" t="b">
            <v>0</v>
          </cell>
          <cell r="V155" t="b">
            <v>0</v>
          </cell>
          <cell r="W155" t="b">
            <v>0</v>
          </cell>
          <cell r="X155" t="b">
            <v>0</v>
          </cell>
          <cell r="Y155" t="b">
            <v>0</v>
          </cell>
          <cell r="Z155" t="b">
            <v>0</v>
          </cell>
          <cell r="AD155" t="b">
            <v>0</v>
          </cell>
          <cell r="AE155" t="b">
            <v>0</v>
          </cell>
          <cell r="AF155">
            <v>38322</v>
          </cell>
          <cell r="AG155">
            <v>38322</v>
          </cell>
          <cell r="AH155">
            <v>1984</v>
          </cell>
          <cell r="AI155" t="str">
            <v>DE</v>
          </cell>
        </row>
        <row r="156">
          <cell r="A156" t="str">
            <v>SM-6</v>
          </cell>
          <cell r="C156">
            <v>391</v>
          </cell>
          <cell r="D156" t="str">
            <v>None</v>
          </cell>
          <cell r="E156" t="str">
            <v>Navy</v>
          </cell>
          <cell r="H156" t="str">
            <v>Raytheon</v>
          </cell>
          <cell r="M156" t="str">
            <v>Raytheon</v>
          </cell>
          <cell r="N156" t="b">
            <v>0</v>
          </cell>
          <cell r="O156" t="b">
            <v>0</v>
          </cell>
          <cell r="P156" t="b">
            <v>0</v>
          </cell>
          <cell r="Q156" t="b">
            <v>0</v>
          </cell>
          <cell r="R156" t="b">
            <v>1</v>
          </cell>
          <cell r="S156" t="b">
            <v>1</v>
          </cell>
          <cell r="T156" t="b">
            <v>1</v>
          </cell>
          <cell r="U156" t="b">
            <v>1</v>
          </cell>
          <cell r="V156" t="b">
            <v>1</v>
          </cell>
          <cell r="W156" t="b">
            <v>1</v>
          </cell>
          <cell r="X156" t="b">
            <v>1</v>
          </cell>
          <cell r="Y156" t="b">
            <v>1</v>
          </cell>
          <cell r="Z156" t="b">
            <v>0</v>
          </cell>
          <cell r="AD156" t="b">
            <v>0</v>
          </cell>
          <cell r="AE156" t="b">
            <v>1</v>
          </cell>
          <cell r="AF156">
            <v>40878</v>
          </cell>
          <cell r="AG156">
            <v>40878</v>
          </cell>
          <cell r="AH156">
            <v>2004</v>
          </cell>
          <cell r="AI156" t="str">
            <v>PdE</v>
          </cell>
        </row>
        <row r="157">
          <cell r="A157" t="str">
            <v>SMART-T</v>
          </cell>
          <cell r="N157" t="b">
            <v>0</v>
          </cell>
          <cell r="O157" t="b">
            <v>1</v>
          </cell>
          <cell r="P157" t="b">
            <v>1</v>
          </cell>
          <cell r="Q157" t="b">
            <v>0</v>
          </cell>
          <cell r="R157" t="b">
            <v>0</v>
          </cell>
          <cell r="S157" t="b">
            <v>0</v>
          </cell>
          <cell r="T157" t="b">
            <v>0</v>
          </cell>
          <cell r="U157" t="b">
            <v>0</v>
          </cell>
          <cell r="V157" t="b">
            <v>0</v>
          </cell>
          <cell r="W157" t="b">
            <v>0</v>
          </cell>
          <cell r="X157" t="b">
            <v>0</v>
          </cell>
          <cell r="Y157" t="b">
            <v>0</v>
          </cell>
          <cell r="Z157" t="b">
            <v>0</v>
          </cell>
          <cell r="AD157" t="b">
            <v>0</v>
          </cell>
          <cell r="AE157" t="b">
            <v>0</v>
          </cell>
          <cell r="AF157">
            <v>37591</v>
          </cell>
          <cell r="AG157">
            <v>37591</v>
          </cell>
          <cell r="AH157">
            <v>1999</v>
          </cell>
          <cell r="AI157" t="str">
            <v>PdE</v>
          </cell>
        </row>
        <row r="158">
          <cell r="A158" t="str">
            <v>SSDS</v>
          </cell>
          <cell r="H158" t="str">
            <v>Raytheon</v>
          </cell>
          <cell r="N158" t="b">
            <v>0</v>
          </cell>
          <cell r="O158" t="b">
            <v>0</v>
          </cell>
          <cell r="P158" t="b">
            <v>0</v>
          </cell>
          <cell r="Q158" t="b">
            <v>0</v>
          </cell>
          <cell r="R158" t="b">
            <v>0</v>
          </cell>
          <cell r="S158" t="b">
            <v>1</v>
          </cell>
          <cell r="T158" t="b">
            <v>1</v>
          </cell>
          <cell r="U158" t="b">
            <v>1</v>
          </cell>
          <cell r="V158" t="b">
            <v>0</v>
          </cell>
          <cell r="W158" t="b">
            <v>0</v>
          </cell>
          <cell r="X158" t="b">
            <v>0</v>
          </cell>
          <cell r="Y158" t="b">
            <v>0</v>
          </cell>
          <cell r="Z158" t="b">
            <v>0</v>
          </cell>
          <cell r="AD158" t="b">
            <v>0</v>
          </cell>
          <cell r="AE158" t="b">
            <v>0</v>
          </cell>
          <cell r="AF158">
            <v>39417</v>
          </cell>
          <cell r="AG158">
            <v>39417</v>
          </cell>
          <cell r="AH158">
            <v>2004</v>
          </cell>
          <cell r="AI158" t="str">
            <v>PdE</v>
          </cell>
        </row>
        <row r="159">
          <cell r="A159" t="str">
            <v>SSGN</v>
          </cell>
          <cell r="H159" t="str">
            <v xml:space="preserve">General Dynamics </v>
          </cell>
          <cell r="N159" t="b">
            <v>0</v>
          </cell>
          <cell r="O159" t="b">
            <v>0</v>
          </cell>
          <cell r="P159" t="b">
            <v>0</v>
          </cell>
          <cell r="Q159" t="b">
            <v>1</v>
          </cell>
          <cell r="R159" t="b">
            <v>1</v>
          </cell>
          <cell r="S159" t="b">
            <v>1</v>
          </cell>
          <cell r="T159" t="b">
            <v>1</v>
          </cell>
          <cell r="U159" t="b">
            <v>1</v>
          </cell>
          <cell r="V159" t="b">
            <v>0</v>
          </cell>
          <cell r="W159" t="b">
            <v>0</v>
          </cell>
          <cell r="X159" t="b">
            <v>0</v>
          </cell>
          <cell r="Y159" t="b">
            <v>0</v>
          </cell>
          <cell r="Z159" t="b">
            <v>0</v>
          </cell>
          <cell r="AD159" t="b">
            <v>0</v>
          </cell>
          <cell r="AE159" t="b">
            <v>0</v>
          </cell>
          <cell r="AF159">
            <v>39417</v>
          </cell>
          <cell r="AG159">
            <v>39417</v>
          </cell>
          <cell r="AH159">
            <v>2002</v>
          </cell>
          <cell r="AI159" t="str">
            <v>PdE</v>
          </cell>
        </row>
        <row r="160">
          <cell r="A160" t="str">
            <v>SSN 774</v>
          </cell>
          <cell r="C160">
            <v>516</v>
          </cell>
          <cell r="D160" t="str">
            <v>None</v>
          </cell>
          <cell r="E160" t="str">
            <v>Navy</v>
          </cell>
          <cell r="F160" t="str">
            <v>Ship / Sub</v>
          </cell>
          <cell r="H160" t="str">
            <v xml:space="preserve">General Dynamics </v>
          </cell>
          <cell r="I160" t="str">
            <v>Northrop Grumman</v>
          </cell>
          <cell r="J160" t="str">
            <v>Lockheed Martin, Goodrich, Perot Systems</v>
          </cell>
          <cell r="M160" t="str">
            <v>General Dynamics</v>
          </cell>
          <cell r="N160" t="b">
            <v>0</v>
          </cell>
          <cell r="O160" t="b">
            <v>1</v>
          </cell>
          <cell r="P160" t="b">
            <v>1</v>
          </cell>
          <cell r="Q160" t="b">
            <v>1</v>
          </cell>
          <cell r="R160" t="b">
            <v>1</v>
          </cell>
          <cell r="S160" t="b">
            <v>1</v>
          </cell>
          <cell r="T160" t="b">
            <v>1</v>
          </cell>
          <cell r="U160" t="b">
            <v>1</v>
          </cell>
          <cell r="V160" t="b">
            <v>1</v>
          </cell>
          <cell r="W160" t="b">
            <v>1</v>
          </cell>
          <cell r="X160" t="b">
            <v>1</v>
          </cell>
          <cell r="Y160" t="b">
            <v>1</v>
          </cell>
          <cell r="Z160" t="b">
            <v>0</v>
          </cell>
          <cell r="AD160" t="b">
            <v>0</v>
          </cell>
          <cell r="AE160" t="b">
            <v>1</v>
          </cell>
          <cell r="AF160">
            <v>40878</v>
          </cell>
          <cell r="AG160">
            <v>40878</v>
          </cell>
          <cell r="AH160">
            <v>1995</v>
          </cell>
          <cell r="AI160" t="str">
            <v>PdE</v>
          </cell>
        </row>
        <row r="161">
          <cell r="A161" t="str">
            <v>STRYKER</v>
          </cell>
          <cell r="C161">
            <v>299</v>
          </cell>
          <cell r="D161" t="str">
            <v>None</v>
          </cell>
          <cell r="E161" t="str">
            <v>Army</v>
          </cell>
          <cell r="F161" t="str">
            <v>AFV</v>
          </cell>
          <cell r="H161" t="str">
            <v xml:space="preserve">General Dynamics </v>
          </cell>
          <cell r="J161" t="str">
            <v>Kongsberg, BAE, Raytheon, Millenworks, Inc., Harris, Hamilton Sunstrand (UTC), Oshkosh</v>
          </cell>
          <cell r="M161" t="str">
            <v>General Dynamics</v>
          </cell>
          <cell r="N161" t="b">
            <v>0</v>
          </cell>
          <cell r="O161" t="b">
            <v>0</v>
          </cell>
          <cell r="P161" t="b">
            <v>1</v>
          </cell>
          <cell r="Q161" t="b">
            <v>1</v>
          </cell>
          <cell r="R161" t="b">
            <v>1</v>
          </cell>
          <cell r="S161" t="b">
            <v>1</v>
          </cell>
          <cell r="T161" t="b">
            <v>1</v>
          </cell>
          <cell r="U161" t="b">
            <v>1</v>
          </cell>
          <cell r="V161" t="b">
            <v>1</v>
          </cell>
          <cell r="W161" t="b">
            <v>1</v>
          </cell>
          <cell r="X161" t="b">
            <v>1</v>
          </cell>
          <cell r="Y161" t="b">
            <v>1</v>
          </cell>
          <cell r="Z161" t="b">
            <v>0</v>
          </cell>
          <cell r="AD161" t="b">
            <v>0</v>
          </cell>
          <cell r="AE161" t="b">
            <v>1</v>
          </cell>
          <cell r="AF161">
            <v>40878</v>
          </cell>
          <cell r="AG161">
            <v>40878</v>
          </cell>
          <cell r="AH161">
            <v>2004</v>
          </cell>
          <cell r="AI161" t="str">
            <v>PdE</v>
          </cell>
        </row>
        <row r="162">
          <cell r="A162" t="str">
            <v>T-45TS</v>
          </cell>
          <cell r="N162" t="b">
            <v>0</v>
          </cell>
          <cell r="O162" t="b">
            <v>1</v>
          </cell>
          <cell r="P162" t="b">
            <v>1</v>
          </cell>
          <cell r="Q162" t="b">
            <v>1</v>
          </cell>
          <cell r="R162" t="b">
            <v>1</v>
          </cell>
          <cell r="S162" t="b">
            <v>1</v>
          </cell>
          <cell r="T162" t="b">
            <v>1</v>
          </cell>
          <cell r="U162" t="b">
            <v>1</v>
          </cell>
          <cell r="V162" t="b">
            <v>0</v>
          </cell>
          <cell r="W162" t="b">
            <v>0</v>
          </cell>
          <cell r="X162" t="b">
            <v>0</v>
          </cell>
          <cell r="Y162" t="b">
            <v>0</v>
          </cell>
          <cell r="Z162" t="b">
            <v>0</v>
          </cell>
          <cell r="AD162" t="b">
            <v>0</v>
          </cell>
          <cell r="AE162" t="b">
            <v>0</v>
          </cell>
          <cell r="AF162">
            <v>39417</v>
          </cell>
          <cell r="AG162">
            <v>39417</v>
          </cell>
          <cell r="AH162">
            <v>1995</v>
          </cell>
          <cell r="AI162" t="str">
            <v>PdE</v>
          </cell>
        </row>
        <row r="163">
          <cell r="A163" t="str">
            <v>TACTICAL TOMAHAWK</v>
          </cell>
          <cell r="C163">
            <v>289</v>
          </cell>
          <cell r="D163" t="str">
            <v>None</v>
          </cell>
          <cell r="E163" t="str">
            <v>Navy</v>
          </cell>
          <cell r="F163" t="str">
            <v>Munitions</v>
          </cell>
          <cell r="H163" t="str">
            <v>Raytheon</v>
          </cell>
          <cell r="J163" t="str">
            <v>Lockheed Martin, Northrop Grumman, Honeywell</v>
          </cell>
          <cell r="M163" t="str">
            <v>Raytheon</v>
          </cell>
          <cell r="N163" t="b">
            <v>0</v>
          </cell>
          <cell r="O163" t="b">
            <v>1</v>
          </cell>
          <cell r="P163" t="b">
            <v>1</v>
          </cell>
          <cell r="Q163" t="b">
            <v>1</v>
          </cell>
          <cell r="R163" t="b">
            <v>1</v>
          </cell>
          <cell r="S163" t="b">
            <v>1</v>
          </cell>
          <cell r="T163" t="b">
            <v>1</v>
          </cell>
          <cell r="U163" t="b">
            <v>1</v>
          </cell>
          <cell r="V163" t="b">
            <v>1</v>
          </cell>
          <cell r="W163" t="b">
            <v>1</v>
          </cell>
          <cell r="X163" t="b">
            <v>1</v>
          </cell>
          <cell r="Y163" t="b">
            <v>1</v>
          </cell>
          <cell r="Z163" t="b">
            <v>0</v>
          </cell>
          <cell r="AD163" t="b">
            <v>0</v>
          </cell>
          <cell r="AE163" t="b">
            <v>1</v>
          </cell>
          <cell r="AF163">
            <v>40878</v>
          </cell>
          <cell r="AG163">
            <v>40878</v>
          </cell>
          <cell r="AH163">
            <v>1999</v>
          </cell>
          <cell r="AI163" t="str">
            <v>PdE</v>
          </cell>
        </row>
        <row r="164">
          <cell r="A164" t="str">
            <v>T-AKE</v>
          </cell>
          <cell r="C164">
            <v>592</v>
          </cell>
          <cell r="D164" t="str">
            <v>None</v>
          </cell>
          <cell r="E164" t="str">
            <v>Navy</v>
          </cell>
          <cell r="H164" t="str">
            <v>General Dynamics (NASSCO)</v>
          </cell>
          <cell r="J164" t="str">
            <v>CSC</v>
          </cell>
          <cell r="M164" t="str">
            <v>General Dynamics</v>
          </cell>
          <cell r="N164" t="b">
            <v>0</v>
          </cell>
          <cell r="O164" t="b">
            <v>1</v>
          </cell>
          <cell r="P164" t="b">
            <v>1</v>
          </cell>
          <cell r="Q164" t="b">
            <v>1</v>
          </cell>
          <cell r="R164" t="b">
            <v>1</v>
          </cell>
          <cell r="S164" t="b">
            <v>1</v>
          </cell>
          <cell r="T164" t="b">
            <v>1</v>
          </cell>
          <cell r="U164" t="b">
            <v>1</v>
          </cell>
          <cell r="V164" t="b">
            <v>1</v>
          </cell>
          <cell r="W164" t="b">
            <v>1</v>
          </cell>
          <cell r="X164" t="b">
            <v>1</v>
          </cell>
          <cell r="Y164" t="b">
            <v>0</v>
          </cell>
          <cell r="Z164" t="b">
            <v>0</v>
          </cell>
          <cell r="AD164" t="b">
            <v>0</v>
          </cell>
          <cell r="AE164" t="b">
            <v>0</v>
          </cell>
          <cell r="AF164">
            <v>40513</v>
          </cell>
          <cell r="AG164">
            <v>40513</v>
          </cell>
          <cell r="AH164">
            <v>2000</v>
          </cell>
          <cell r="AI164" t="str">
            <v>PdE</v>
          </cell>
        </row>
        <row r="165">
          <cell r="A165" t="str">
            <v>TRIDENT II</v>
          </cell>
          <cell r="C165">
            <v>178</v>
          </cell>
          <cell r="D165" t="str">
            <v>None</v>
          </cell>
          <cell r="E165" t="str">
            <v>Navy</v>
          </cell>
          <cell r="F165" t="str">
            <v>Missile</v>
          </cell>
          <cell r="H165" t="str">
            <v>Lockheed Martin</v>
          </cell>
          <cell r="J165" t="str">
            <v>General Dynamics, BAE, Northrop Grumman, Boeing, ITT, ATK, Battelle, Verizon, EDS, IBM, LMI, Diebold (UTC)</v>
          </cell>
          <cell r="M165" t="str">
            <v>Lockheed Martin</v>
          </cell>
          <cell r="N165" t="b">
            <v>0</v>
          </cell>
          <cell r="O165" t="b">
            <v>1</v>
          </cell>
          <cell r="P165" t="b">
            <v>1</v>
          </cell>
          <cell r="Q165" t="b">
            <v>1</v>
          </cell>
          <cell r="R165" t="b">
            <v>1</v>
          </cell>
          <cell r="S165" t="b">
            <v>1</v>
          </cell>
          <cell r="T165" t="b">
            <v>1</v>
          </cell>
          <cell r="U165" t="b">
            <v>1</v>
          </cell>
          <cell r="V165" t="b">
            <v>1</v>
          </cell>
          <cell r="W165" t="b">
            <v>1</v>
          </cell>
          <cell r="X165" t="b">
            <v>1</v>
          </cell>
          <cell r="Y165" t="b">
            <v>1</v>
          </cell>
          <cell r="Z165" t="b">
            <v>0</v>
          </cell>
          <cell r="AD165" t="b">
            <v>0</v>
          </cell>
          <cell r="AE165" t="b">
            <v>1</v>
          </cell>
          <cell r="AF165">
            <v>40878</v>
          </cell>
          <cell r="AG165">
            <v>40878</v>
          </cell>
          <cell r="AH165">
            <v>1983</v>
          </cell>
          <cell r="AI165" t="str">
            <v>PdE</v>
          </cell>
        </row>
        <row r="166">
          <cell r="A166" t="str">
            <v>TSAT</v>
          </cell>
          <cell r="C166">
            <v>382</v>
          </cell>
          <cell r="D166" t="str">
            <v>None</v>
          </cell>
          <cell r="E166" t="str">
            <v>Air Force</v>
          </cell>
          <cell r="H166" t="str">
            <v>Lockheed/Boeing</v>
          </cell>
          <cell r="N166" t="b">
            <v>0</v>
          </cell>
          <cell r="O166" t="b">
            <v>0</v>
          </cell>
          <cell r="P166" t="b">
            <v>0</v>
          </cell>
          <cell r="Q166" t="b">
            <v>0</v>
          </cell>
          <cell r="R166" t="b">
            <v>1</v>
          </cell>
          <cell r="S166" t="b">
            <v>0</v>
          </cell>
          <cell r="T166" t="b">
            <v>0</v>
          </cell>
          <cell r="U166" t="b">
            <v>0</v>
          </cell>
          <cell r="V166" t="b">
            <v>0</v>
          </cell>
          <cell r="W166" t="b">
            <v>0</v>
          </cell>
          <cell r="X166" t="b">
            <v>0</v>
          </cell>
          <cell r="Y166" t="b">
            <v>0</v>
          </cell>
          <cell r="Z166" t="b">
            <v>0</v>
          </cell>
          <cell r="AD166" t="b">
            <v>0</v>
          </cell>
          <cell r="AE166" t="b">
            <v>0</v>
          </cell>
          <cell r="AF166">
            <v>38322</v>
          </cell>
          <cell r="AG166">
            <v>38322</v>
          </cell>
          <cell r="AH166">
            <v>2002</v>
          </cell>
          <cell r="AI166" t="str">
            <v>DE</v>
          </cell>
        </row>
        <row r="167">
          <cell r="A167" t="str">
            <v>UH-60M</v>
          </cell>
          <cell r="N167" t="b">
            <v>0</v>
          </cell>
          <cell r="O167" t="b">
            <v>0</v>
          </cell>
          <cell r="P167" t="b">
            <v>0</v>
          </cell>
          <cell r="Q167" t="b">
            <v>0</v>
          </cell>
          <cell r="R167" t="b">
            <v>0</v>
          </cell>
          <cell r="S167" t="b">
            <v>0</v>
          </cell>
          <cell r="T167" t="b">
            <v>0</v>
          </cell>
          <cell r="U167" t="b">
            <v>0</v>
          </cell>
          <cell r="V167" t="b">
            <v>0</v>
          </cell>
          <cell r="W167" t="b">
            <v>1</v>
          </cell>
          <cell r="X167" t="b">
            <v>1</v>
          </cell>
          <cell r="Y167" t="b">
            <v>1</v>
          </cell>
          <cell r="Z167" t="b">
            <v>0</v>
          </cell>
          <cell r="AD167" t="b">
            <v>0</v>
          </cell>
          <cell r="AE167" t="b">
            <v>1</v>
          </cell>
          <cell r="AF167">
            <v>40878</v>
          </cell>
          <cell r="AG167">
            <v>40878</v>
          </cell>
          <cell r="AH167">
            <v>2005</v>
          </cell>
          <cell r="AI167" t="str">
            <v>PdE</v>
          </cell>
        </row>
        <row r="168">
          <cell r="A168" t="str">
            <v>UH-60M Black Hawk Upgrade</v>
          </cell>
          <cell r="C168">
            <v>341</v>
          </cell>
          <cell r="D168" t="str">
            <v>None</v>
          </cell>
          <cell r="E168" t="str">
            <v>Army</v>
          </cell>
          <cell r="F168" t="str">
            <v>Helicopter</v>
          </cell>
          <cell r="H168" t="str">
            <v>Sikorsky Aircraft Corporation (UTC)</v>
          </cell>
          <cell r="J168" t="str">
            <v>BAE, Rockwell Collins, Goodrich,Textron, General Electric, Martin Baker</v>
          </cell>
          <cell r="M168" t="str">
            <v>Sikorsky (UTC)</v>
          </cell>
          <cell r="N168" t="b">
            <v>0</v>
          </cell>
          <cell r="O168" t="b">
            <v>0</v>
          </cell>
          <cell r="P168" t="b">
            <v>1</v>
          </cell>
          <cell r="Q168" t="b">
            <v>1</v>
          </cell>
          <cell r="R168" t="b">
            <v>1</v>
          </cell>
          <cell r="S168" t="b">
            <v>1</v>
          </cell>
          <cell r="T168" t="b">
            <v>1</v>
          </cell>
          <cell r="U168" t="b">
            <v>1</v>
          </cell>
          <cell r="V168" t="b">
            <v>1</v>
          </cell>
          <cell r="W168" t="b">
            <v>0</v>
          </cell>
          <cell r="X168" t="b">
            <v>0</v>
          </cell>
          <cell r="Y168" t="b">
            <v>0</v>
          </cell>
          <cell r="Z168" t="b">
            <v>0</v>
          </cell>
          <cell r="AD168" t="b">
            <v>0</v>
          </cell>
          <cell r="AE168" t="b">
            <v>0</v>
          </cell>
          <cell r="AF168">
            <v>39692</v>
          </cell>
          <cell r="AG168">
            <v>39692</v>
          </cell>
          <cell r="AH168">
            <v>2005</v>
          </cell>
          <cell r="AI168" t="str">
            <v>PdE</v>
          </cell>
        </row>
        <row r="169">
          <cell r="A169" t="str">
            <v>V-22</v>
          </cell>
          <cell r="C169">
            <v>212</v>
          </cell>
          <cell r="D169" t="str">
            <v>None</v>
          </cell>
          <cell r="E169" t="str">
            <v>Navy</v>
          </cell>
          <cell r="F169" t="str">
            <v>Fixed Wing</v>
          </cell>
          <cell r="H169" t="str">
            <v>Bell Helicopter (Textron)</v>
          </cell>
          <cell r="I169" t="str">
            <v>Boeing</v>
          </cell>
          <cell r="J169" t="str">
            <v>Raytheon, BAE, Allison Engine, Northrop Grumman</v>
          </cell>
          <cell r="M169" t="str">
            <v>Bell Helicopter (Textron)</v>
          </cell>
          <cell r="N169" t="b">
            <v>0</v>
          </cell>
          <cell r="O169" t="b">
            <v>1</v>
          </cell>
          <cell r="P169" t="b">
            <v>1</v>
          </cell>
          <cell r="Q169" t="b">
            <v>1</v>
          </cell>
          <cell r="R169" t="b">
            <v>1</v>
          </cell>
          <cell r="S169" t="b">
            <v>1</v>
          </cell>
          <cell r="T169" t="b">
            <v>1</v>
          </cell>
          <cell r="U169" t="b">
            <v>1</v>
          </cell>
          <cell r="V169" t="b">
            <v>1</v>
          </cell>
          <cell r="W169" t="b">
            <v>1</v>
          </cell>
          <cell r="X169" t="b">
            <v>1</v>
          </cell>
          <cell r="Y169" t="b">
            <v>1</v>
          </cell>
          <cell r="Z169" t="b">
            <v>0</v>
          </cell>
          <cell r="AD169" t="b">
            <v>0</v>
          </cell>
          <cell r="AE169" t="b">
            <v>1</v>
          </cell>
          <cell r="AF169">
            <v>40878</v>
          </cell>
          <cell r="AG169">
            <v>40878</v>
          </cell>
          <cell r="AH169">
            <v>2005</v>
          </cell>
          <cell r="AI169" t="str">
            <v>PdE</v>
          </cell>
        </row>
        <row r="170">
          <cell r="A170" t="str">
            <v>VH-71</v>
          </cell>
          <cell r="C170">
            <v>392</v>
          </cell>
          <cell r="D170" t="str">
            <v>None</v>
          </cell>
          <cell r="E170" t="str">
            <v>Navy</v>
          </cell>
          <cell r="F170" t="str">
            <v>Helicopter</v>
          </cell>
          <cell r="H170" t="str">
            <v>Lockheed Martin</v>
          </cell>
          <cell r="J170" t="str">
            <v>Agusta-Westland</v>
          </cell>
          <cell r="M170" t="str">
            <v>Lockheed Martin</v>
          </cell>
          <cell r="N170" t="b">
            <v>0</v>
          </cell>
          <cell r="O170" t="b">
            <v>0</v>
          </cell>
          <cell r="P170" t="b">
            <v>0</v>
          </cell>
          <cell r="Q170" t="b">
            <v>0</v>
          </cell>
          <cell r="R170" t="b">
            <v>0</v>
          </cell>
          <cell r="S170" t="b">
            <v>0</v>
          </cell>
          <cell r="T170" t="b">
            <v>1</v>
          </cell>
          <cell r="U170" t="b">
            <v>1</v>
          </cell>
          <cell r="V170" t="b">
            <v>1</v>
          </cell>
          <cell r="W170" t="b">
            <v>0</v>
          </cell>
          <cell r="X170" t="b">
            <v>0</v>
          </cell>
          <cell r="Y170" t="b">
            <v>0</v>
          </cell>
          <cell r="Z170" t="b">
            <v>0</v>
          </cell>
          <cell r="AD170" t="b">
            <v>0</v>
          </cell>
          <cell r="AE170" t="b">
            <v>0</v>
          </cell>
          <cell r="AF170">
            <v>39692</v>
          </cell>
          <cell r="AG170">
            <v>39692</v>
          </cell>
          <cell r="AH170">
            <v>2003</v>
          </cell>
          <cell r="AI170" t="str">
            <v>DE</v>
          </cell>
        </row>
        <row r="171">
          <cell r="A171" t="str">
            <v>VTUAV</v>
          </cell>
          <cell r="C171">
            <v>253</v>
          </cell>
          <cell r="D171" t="str">
            <v>None</v>
          </cell>
          <cell r="E171" t="str">
            <v>Navy</v>
          </cell>
          <cell r="H171" t="str">
            <v>Northrop Grumman</v>
          </cell>
          <cell r="J171" t="str">
            <v>Raytheon</v>
          </cell>
          <cell r="M171" t="str">
            <v>Northrop Grumman</v>
          </cell>
          <cell r="N171" t="b">
            <v>0</v>
          </cell>
          <cell r="O171" t="b">
            <v>0</v>
          </cell>
          <cell r="P171" t="b">
            <v>0</v>
          </cell>
          <cell r="Q171" t="b">
            <v>0</v>
          </cell>
          <cell r="R171" t="b">
            <v>0</v>
          </cell>
          <cell r="S171" t="b">
            <v>0</v>
          </cell>
          <cell r="T171" t="b">
            <v>0</v>
          </cell>
          <cell r="U171" t="b">
            <v>1</v>
          </cell>
          <cell r="V171" t="b">
            <v>1</v>
          </cell>
          <cell r="W171" t="b">
            <v>1</v>
          </cell>
          <cell r="X171" t="b">
            <v>1</v>
          </cell>
          <cell r="Y171" t="b">
            <v>1</v>
          </cell>
          <cell r="Z171" t="b">
            <v>0</v>
          </cell>
          <cell r="AD171" t="b">
            <v>0</v>
          </cell>
          <cell r="AE171" t="b">
            <v>1</v>
          </cell>
          <cell r="AF171">
            <v>40878</v>
          </cell>
          <cell r="AG171">
            <v>40878</v>
          </cell>
          <cell r="AH171">
            <v>2006</v>
          </cell>
          <cell r="AI171" t="str">
            <v>PdE</v>
          </cell>
        </row>
        <row r="172">
          <cell r="A172" t="str">
            <v>WGS</v>
          </cell>
          <cell r="C172">
            <v>326</v>
          </cell>
          <cell r="D172" t="str">
            <v>None</v>
          </cell>
          <cell r="E172" t="str">
            <v>Air Force</v>
          </cell>
          <cell r="H172" t="str">
            <v>Boeing</v>
          </cell>
          <cell r="M172" t="str">
            <v>Boeing</v>
          </cell>
          <cell r="N172" t="b">
            <v>0</v>
          </cell>
          <cell r="O172" t="b">
            <v>1</v>
          </cell>
          <cell r="P172" t="b">
            <v>1</v>
          </cell>
          <cell r="Q172" t="b">
            <v>1</v>
          </cell>
          <cell r="R172" t="b">
            <v>1</v>
          </cell>
          <cell r="S172" t="b">
            <v>1</v>
          </cell>
          <cell r="T172" t="b">
            <v>1</v>
          </cell>
          <cell r="U172" t="b">
            <v>1</v>
          </cell>
          <cell r="V172" t="b">
            <v>1</v>
          </cell>
          <cell r="W172" t="b">
            <v>1</v>
          </cell>
          <cell r="X172" t="b">
            <v>1</v>
          </cell>
          <cell r="Y172" t="b">
            <v>1</v>
          </cell>
          <cell r="Z172" t="b">
            <v>0</v>
          </cell>
          <cell r="AD172" t="b">
            <v>0</v>
          </cell>
          <cell r="AE172" t="b">
            <v>1</v>
          </cell>
          <cell r="AF172">
            <v>40878</v>
          </cell>
          <cell r="AG172">
            <v>40878</v>
          </cell>
          <cell r="AH172">
            <v>2010</v>
          </cell>
          <cell r="AI172" t="str">
            <v>PdE</v>
          </cell>
        </row>
        <row r="173">
          <cell r="A173" t="str">
            <v>WIN-T Increment 1</v>
          </cell>
          <cell r="C173">
            <v>346</v>
          </cell>
          <cell r="D173" t="str">
            <v>None</v>
          </cell>
          <cell r="E173" t="str">
            <v>Army</v>
          </cell>
          <cell r="H173" t="str">
            <v>General Dynamics</v>
          </cell>
          <cell r="J173" t="str">
            <v>Lockheed Martin</v>
          </cell>
          <cell r="M173" t="str">
            <v>General Dynamics</v>
          </cell>
          <cell r="N173" t="b">
            <v>0</v>
          </cell>
          <cell r="O173" t="b">
            <v>0</v>
          </cell>
          <cell r="P173" t="b">
            <v>0</v>
          </cell>
          <cell r="Q173" t="b">
            <v>1</v>
          </cell>
          <cell r="R173" t="b">
            <v>1</v>
          </cell>
          <cell r="S173" t="b">
            <v>1</v>
          </cell>
          <cell r="T173" t="b">
            <v>1</v>
          </cell>
          <cell r="U173" t="b">
            <v>1</v>
          </cell>
          <cell r="V173" t="b">
            <v>1</v>
          </cell>
          <cell r="W173" t="b">
            <v>1</v>
          </cell>
          <cell r="X173" t="b">
            <v>1</v>
          </cell>
          <cell r="Y173" t="b">
            <v>1</v>
          </cell>
          <cell r="Z173" t="b">
            <v>0</v>
          </cell>
          <cell r="AD173" t="b">
            <v>0</v>
          </cell>
          <cell r="AE173" t="b">
            <v>1</v>
          </cell>
          <cell r="AF173">
            <v>40878</v>
          </cell>
          <cell r="AG173">
            <v>40878</v>
          </cell>
          <cell r="AH173">
            <v>2007</v>
          </cell>
          <cell r="AI173" t="str">
            <v>PdE</v>
          </cell>
        </row>
        <row r="174">
          <cell r="A174" t="str">
            <v>WIN-T Increment 2</v>
          </cell>
          <cell r="C174">
            <v>349</v>
          </cell>
          <cell r="D174" t="str">
            <v>None</v>
          </cell>
          <cell r="E174" t="str">
            <v>Army</v>
          </cell>
          <cell r="H174" t="str">
            <v>General Dynamics</v>
          </cell>
          <cell r="J174" t="str">
            <v>Lockheed Martin</v>
          </cell>
          <cell r="M174" t="str">
            <v>General Dynamics</v>
          </cell>
          <cell r="N174" t="b">
            <v>0</v>
          </cell>
          <cell r="O174" t="b">
            <v>0</v>
          </cell>
          <cell r="P174" t="b">
            <v>0</v>
          </cell>
          <cell r="Q174" t="b">
            <v>0</v>
          </cell>
          <cell r="R174" t="b">
            <v>0</v>
          </cell>
          <cell r="S174" t="b">
            <v>0</v>
          </cell>
          <cell r="T174" t="b">
            <v>0</v>
          </cell>
          <cell r="U174" t="b">
            <v>1</v>
          </cell>
          <cell r="V174" t="b">
            <v>1</v>
          </cell>
          <cell r="W174" t="b">
            <v>1</v>
          </cell>
          <cell r="X174" t="b">
            <v>1</v>
          </cell>
          <cell r="Y174" t="b">
            <v>1</v>
          </cell>
          <cell r="Z174" t="b">
            <v>0</v>
          </cell>
          <cell r="AD174" t="b">
            <v>0</v>
          </cell>
          <cell r="AE174" t="b">
            <v>1</v>
          </cell>
          <cell r="AF174">
            <v>40878</v>
          </cell>
          <cell r="AG174">
            <v>40878</v>
          </cell>
          <cell r="AH174">
            <v>2010</v>
          </cell>
          <cell r="AI174" t="str">
            <v>PdE</v>
          </cell>
        </row>
        <row r="175">
          <cell r="A175" t="str">
            <v>WIN-T Increment 3</v>
          </cell>
          <cell r="C175">
            <v>350</v>
          </cell>
          <cell r="D175" t="str">
            <v>None</v>
          </cell>
          <cell r="E175" t="str">
            <v>Army</v>
          </cell>
          <cell r="H175" t="str">
            <v>General Dynamics</v>
          </cell>
          <cell r="J175" t="str">
            <v>Lockheed Martin</v>
          </cell>
          <cell r="M175" t="str">
            <v>General Dynamics</v>
          </cell>
          <cell r="N175" t="b">
            <v>0</v>
          </cell>
          <cell r="O175" t="b">
            <v>0</v>
          </cell>
          <cell r="P175" t="b">
            <v>0</v>
          </cell>
          <cell r="Q175" t="b">
            <v>0</v>
          </cell>
          <cell r="R175" t="b">
            <v>0</v>
          </cell>
          <cell r="S175" t="b">
            <v>0</v>
          </cell>
          <cell r="T175" t="b">
            <v>0</v>
          </cell>
          <cell r="U175" t="b">
            <v>0</v>
          </cell>
          <cell r="V175" t="b">
            <v>0</v>
          </cell>
          <cell r="W175" t="b">
            <v>0</v>
          </cell>
          <cell r="X175" t="b">
            <v>1</v>
          </cell>
          <cell r="Y175" t="b">
            <v>1</v>
          </cell>
          <cell r="Z175" t="b">
            <v>0</v>
          </cell>
          <cell r="AD175" t="b">
            <v>0</v>
          </cell>
          <cell r="AE175" t="b">
            <v>1</v>
          </cell>
          <cell r="AF175">
            <v>40878</v>
          </cell>
          <cell r="AG175">
            <v>40878</v>
          </cell>
          <cell r="AH175">
            <v>2009</v>
          </cell>
          <cell r="AI175" t="str">
            <v>DE</v>
          </cell>
        </row>
        <row r="176">
          <cell r="A176" t="str">
            <v>Army Subtotal</v>
          </cell>
          <cell r="N176" t="b">
            <v>0</v>
          </cell>
          <cell r="O176" t="b">
            <v>1</v>
          </cell>
          <cell r="P176" t="b">
            <v>1</v>
          </cell>
          <cell r="Q176" t="b">
            <v>1</v>
          </cell>
          <cell r="R176" t="b">
            <v>1</v>
          </cell>
          <cell r="S176" t="b">
            <v>1</v>
          </cell>
          <cell r="T176" t="b">
            <v>1</v>
          </cell>
          <cell r="U176" t="b">
            <v>1</v>
          </cell>
          <cell r="V176" t="b">
            <v>1</v>
          </cell>
          <cell r="W176" t="b">
            <v>1</v>
          </cell>
          <cell r="X176" t="b">
            <v>1</v>
          </cell>
          <cell r="Y176" t="b">
            <v>1</v>
          </cell>
          <cell r="Z176" t="b">
            <v>0</v>
          </cell>
          <cell r="AD176" t="b">
            <v>0</v>
          </cell>
          <cell r="AE176" t="b">
            <v>1</v>
          </cell>
          <cell r="AF176">
            <v>40878</v>
          </cell>
          <cell r="AG176">
            <v>40878</v>
          </cell>
          <cell r="AH176">
            <v>0</v>
          </cell>
          <cell r="AI176">
            <v>0</v>
          </cell>
        </row>
        <row r="177">
          <cell r="A177" t="str">
            <v>Navy Subtotal</v>
          </cell>
          <cell r="N177" t="b">
            <v>0</v>
          </cell>
          <cell r="O177" t="b">
            <v>1</v>
          </cell>
          <cell r="P177" t="b">
            <v>1</v>
          </cell>
          <cell r="Q177" t="b">
            <v>1</v>
          </cell>
          <cell r="R177" t="b">
            <v>1</v>
          </cell>
          <cell r="S177" t="b">
            <v>1</v>
          </cell>
          <cell r="T177" t="b">
            <v>1</v>
          </cell>
          <cell r="U177" t="b">
            <v>1</v>
          </cell>
          <cell r="V177" t="b">
            <v>1</v>
          </cell>
          <cell r="W177" t="b">
            <v>1</v>
          </cell>
          <cell r="X177" t="b">
            <v>1</v>
          </cell>
          <cell r="Y177" t="b">
            <v>1</v>
          </cell>
          <cell r="Z177" t="b">
            <v>0</v>
          </cell>
          <cell r="AD177" t="b">
            <v>0</v>
          </cell>
          <cell r="AE177" t="b">
            <v>1</v>
          </cell>
          <cell r="AF177">
            <v>40878</v>
          </cell>
          <cell r="AG177">
            <v>40878</v>
          </cell>
          <cell r="AH177">
            <v>0</v>
          </cell>
          <cell r="AI177">
            <v>0</v>
          </cell>
        </row>
        <row r="178">
          <cell r="A178" t="str">
            <v>Air Force Subtotal</v>
          </cell>
          <cell r="N178" t="b">
            <v>0</v>
          </cell>
          <cell r="O178" t="b">
            <v>1</v>
          </cell>
          <cell r="P178" t="b">
            <v>1</v>
          </cell>
          <cell r="Q178" t="b">
            <v>1</v>
          </cell>
          <cell r="R178" t="b">
            <v>1</v>
          </cell>
          <cell r="S178" t="b">
            <v>1</v>
          </cell>
          <cell r="T178" t="b">
            <v>1</v>
          </cell>
          <cell r="U178" t="b">
            <v>1</v>
          </cell>
          <cell r="V178" t="b">
            <v>1</v>
          </cell>
          <cell r="W178" t="b">
            <v>1</v>
          </cell>
          <cell r="X178" t="b">
            <v>1</v>
          </cell>
          <cell r="Y178" t="b">
            <v>1</v>
          </cell>
          <cell r="Z178" t="b">
            <v>0</v>
          </cell>
          <cell r="AD178" t="b">
            <v>0</v>
          </cell>
          <cell r="AE178" t="b">
            <v>1</v>
          </cell>
          <cell r="AF178">
            <v>40878</v>
          </cell>
          <cell r="AG178">
            <v>40878</v>
          </cell>
          <cell r="AH178">
            <v>0</v>
          </cell>
          <cell r="AI178">
            <v>0</v>
          </cell>
        </row>
        <row r="179">
          <cell r="A179" t="str">
            <v>DoD Subtotal</v>
          </cell>
          <cell r="N179" t="b">
            <v>0</v>
          </cell>
          <cell r="O179" t="b">
            <v>1</v>
          </cell>
          <cell r="P179" t="b">
            <v>1</v>
          </cell>
          <cell r="Q179" t="b">
            <v>1</v>
          </cell>
          <cell r="R179" t="b">
            <v>1</v>
          </cell>
          <cell r="S179" t="b">
            <v>1</v>
          </cell>
          <cell r="T179" t="b">
            <v>1</v>
          </cell>
          <cell r="U179" t="b">
            <v>1</v>
          </cell>
          <cell r="V179" t="b">
            <v>1</v>
          </cell>
          <cell r="W179" t="b">
            <v>1</v>
          </cell>
          <cell r="X179" t="b">
            <v>1</v>
          </cell>
          <cell r="Y179" t="b">
            <v>1</v>
          </cell>
          <cell r="Z179" t="b">
            <v>0</v>
          </cell>
          <cell r="AD179" t="b">
            <v>0</v>
          </cell>
          <cell r="AE179" t="b">
            <v>1</v>
          </cell>
          <cell r="AF179">
            <v>40878</v>
          </cell>
          <cell r="AG179">
            <v>40878</v>
          </cell>
          <cell r="AH179">
            <v>0</v>
          </cell>
          <cell r="AI179">
            <v>0</v>
          </cell>
        </row>
        <row r="180">
          <cell r="A180" t="str">
            <v>Grand Total</v>
          </cell>
          <cell r="N180" t="b">
            <v>0</v>
          </cell>
          <cell r="O180" t="b">
            <v>1</v>
          </cell>
          <cell r="P180" t="b">
            <v>1</v>
          </cell>
          <cell r="Q180" t="b">
            <v>1</v>
          </cell>
          <cell r="R180" t="b">
            <v>1</v>
          </cell>
          <cell r="S180" t="b">
            <v>1</v>
          </cell>
          <cell r="T180" t="b">
            <v>1</v>
          </cell>
          <cell r="U180" t="b">
            <v>1</v>
          </cell>
          <cell r="V180" t="b">
            <v>1</v>
          </cell>
          <cell r="W180" t="b">
            <v>1</v>
          </cell>
          <cell r="X180" t="b">
            <v>1</v>
          </cell>
          <cell r="Y180" t="b">
            <v>1</v>
          </cell>
          <cell r="Z180" t="b">
            <v>0</v>
          </cell>
          <cell r="AD180" t="b">
            <v>0</v>
          </cell>
          <cell r="AE180" t="b">
            <v>1</v>
          </cell>
          <cell r="AF180">
            <v>40878</v>
          </cell>
          <cell r="AG180">
            <v>40878</v>
          </cell>
          <cell r="AH180">
            <v>0</v>
          </cell>
          <cell r="AI180">
            <v>0</v>
          </cell>
        </row>
      </sheetData>
      <sheetData sheetId="10">
        <row r="2">
          <cell r="C2" t="str">
            <v>Program</v>
          </cell>
          <cell r="D2" t="str">
            <v>Shorthand</v>
          </cell>
          <cell r="E2" t="str">
            <v>Base Year</v>
          </cell>
          <cell r="F2" t="str">
            <v>Baseline Type</v>
          </cell>
          <cell r="G2" t="str">
            <v>Base-Year  $</v>
          </cell>
          <cell r="H2" t="str">
            <v>Then-Year  $</v>
          </cell>
          <cell r="I2" t="str">
            <v>Quantity</v>
          </cell>
          <cell r="J2" t="str">
            <v>Base-Year  $</v>
          </cell>
          <cell r="K2" t="str">
            <v>Then-Year  $</v>
          </cell>
          <cell r="L2" t="str">
            <v>Quantity</v>
          </cell>
          <cell r="M2" t="str">
            <v>Base-Year  $</v>
          </cell>
          <cell r="N2" t="str">
            <v>Then-Year  $</v>
          </cell>
          <cell r="O2" t="str">
            <v>Quantity</v>
          </cell>
          <cell r="P2" t="str">
            <v>Constant $</v>
          </cell>
          <cell r="Q2" t="str">
            <v>Then-Year  $</v>
          </cell>
        </row>
        <row r="3">
          <cell r="A3" t="str">
            <v>Date-Shorthand</v>
          </cell>
          <cell r="B3" t="str">
            <v>Date</v>
          </cell>
          <cell r="C3" t="str">
            <v>Program</v>
          </cell>
          <cell r="D3" t="str">
            <v>Shorthand</v>
          </cell>
          <cell r="E3" t="str">
            <v>Base Year</v>
          </cell>
          <cell r="F3" t="str">
            <v>Baseline Type</v>
          </cell>
          <cell r="G3" t="str">
            <v>Baseline Estimate (Base-Year  $)</v>
          </cell>
          <cell r="H3" t="str">
            <v>Baseline Estimate (Then-Year  $)</v>
          </cell>
          <cell r="I3" t="str">
            <v>Baseline Estimate (Quantity)</v>
          </cell>
          <cell r="J3" t="str">
            <v>Changes To Date (Base-Year  $)</v>
          </cell>
          <cell r="K3" t="str">
            <v>Changes To Date (Then-Year  $)</v>
          </cell>
          <cell r="L3" t="str">
            <v>Changes To Date (Quantity)</v>
          </cell>
          <cell r="M3" t="str">
            <v>Current Estimate (Base-Year  $)</v>
          </cell>
          <cell r="N3" t="str">
            <v>Current Estimate (Then-Year  $)</v>
          </cell>
          <cell r="O3" t="str">
            <v>Current Estimate (Quantity)</v>
          </cell>
          <cell r="P3" t="str">
            <v>% Change To Date Adjusted  for Qty
 (Constant $)</v>
          </cell>
          <cell r="Q3" t="str">
            <v>% Change To Date Adjusted  for Qty
 (Then-Year  $)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</row>
        <row r="11">
          <cell r="C11" t="str">
            <v>ARMY</v>
          </cell>
        </row>
        <row r="12">
          <cell r="A12" t="str">
            <v>37226-M1A2 ABRAMS UPGRADE</v>
          </cell>
          <cell r="B12">
            <v>37226</v>
          </cell>
          <cell r="C12" t="str">
            <v>ABRAMS UPGRADE</v>
          </cell>
          <cell r="D12" t="str">
            <v>M1A2 ABRAMS UPGRADE</v>
          </cell>
          <cell r="E12">
            <v>1995</v>
          </cell>
          <cell r="F12" t="str">
            <v>PdE</v>
          </cell>
          <cell r="G12">
            <v>6991.9</v>
          </cell>
          <cell r="H12">
            <v>7961.9</v>
          </cell>
          <cell r="I12">
            <v>1060</v>
          </cell>
          <cell r="J12">
            <v>1468.7</v>
          </cell>
          <cell r="K12">
            <v>1134.2</v>
          </cell>
          <cell r="L12">
            <v>95</v>
          </cell>
          <cell r="M12">
            <v>8460.6</v>
          </cell>
          <cell r="N12">
            <v>9096.1</v>
          </cell>
          <cell r="O12">
            <v>1155</v>
          </cell>
          <cell r="P12">
            <v>13.1</v>
          </cell>
          <cell r="Q12">
            <v>6.5</v>
          </cell>
        </row>
        <row r="13">
          <cell r="A13" t="str">
            <v>37226-ATACMS-BAT</v>
          </cell>
          <cell r="B13">
            <v>37226</v>
          </cell>
          <cell r="C13" t="str">
            <v>ATACMS-BAT</v>
          </cell>
          <cell r="D13" t="str">
            <v>ATACMS-BAT</v>
          </cell>
          <cell r="E13">
            <v>1991</v>
          </cell>
          <cell r="F13" t="str">
            <v>DE</v>
          </cell>
          <cell r="G13">
            <v>3867.7</v>
          </cell>
          <cell r="H13">
            <v>5287.7</v>
          </cell>
          <cell r="I13">
            <v>32799</v>
          </cell>
          <cell r="J13">
            <v>1213.8</v>
          </cell>
          <cell r="K13">
            <v>1227.5999999999999</v>
          </cell>
          <cell r="L13">
            <v>-15371</v>
          </cell>
          <cell r="M13">
            <v>5081.5</v>
          </cell>
          <cell r="N13">
            <v>6515.3</v>
          </cell>
          <cell r="O13">
            <v>17428</v>
          </cell>
          <cell r="P13">
            <v>70.900000000000006</v>
          </cell>
          <cell r="Q13">
            <v>76.099999999999994</v>
          </cell>
        </row>
        <row r="14">
          <cell r="A14" t="str">
            <v>37226-ATIRCM/CMWS</v>
          </cell>
          <cell r="B14">
            <v>37226</v>
          </cell>
          <cell r="C14" t="str">
            <v>ATIRCM/CMWS</v>
          </cell>
          <cell r="D14" t="str">
            <v>ATIRCM/CMWS</v>
          </cell>
          <cell r="E14">
            <v>1996</v>
          </cell>
          <cell r="F14" t="str">
            <v>DE</v>
          </cell>
          <cell r="G14">
            <v>2628.4</v>
          </cell>
          <cell r="H14">
            <v>3361.6</v>
          </cell>
          <cell r="I14">
            <v>3094</v>
          </cell>
          <cell r="J14">
            <v>-356.8</v>
          </cell>
          <cell r="K14">
            <v>-510.2</v>
          </cell>
          <cell r="L14">
            <v>-2016</v>
          </cell>
          <cell r="M14">
            <v>2271.6</v>
          </cell>
          <cell r="N14">
            <v>2851.4</v>
          </cell>
          <cell r="O14">
            <v>1078</v>
          </cell>
          <cell r="P14">
            <v>38.9</v>
          </cell>
          <cell r="Q14">
            <v>43.1</v>
          </cell>
        </row>
        <row r="15">
          <cell r="A15" t="str">
            <v>37226-BRADLEY UPGRADE</v>
          </cell>
          <cell r="B15">
            <v>37226</v>
          </cell>
          <cell r="C15" t="str">
            <v>BRADLEY UPGRADE</v>
          </cell>
          <cell r="D15" t="str">
            <v>BRADLEY UPGRADE</v>
          </cell>
          <cell r="E15">
            <v>2001</v>
          </cell>
          <cell r="F15" t="str">
            <v>PdE</v>
          </cell>
          <cell r="G15">
            <v>3724.2</v>
          </cell>
          <cell r="H15">
            <v>3859.8</v>
          </cell>
          <cell r="I15">
            <v>926</v>
          </cell>
          <cell r="J15">
            <v>349.8</v>
          </cell>
          <cell r="K15">
            <v>386</v>
          </cell>
          <cell r="L15">
            <v>111</v>
          </cell>
          <cell r="M15">
            <v>4074</v>
          </cell>
          <cell r="N15">
            <v>4245.8</v>
          </cell>
          <cell r="O15">
            <v>1037</v>
          </cell>
          <cell r="P15">
            <v>1.7</v>
          </cell>
          <cell r="Q15">
            <v>1.6</v>
          </cell>
        </row>
        <row r="16">
          <cell r="A16" t="e">
            <v>#N/A</v>
          </cell>
          <cell r="B16">
            <v>37226</v>
          </cell>
          <cell r="C16" t="str">
            <v>CGS</v>
          </cell>
          <cell r="D16" t="e">
            <v>#N/A</v>
          </cell>
          <cell r="E16">
            <v>2000</v>
          </cell>
          <cell r="F16" t="str">
            <v>DE/PdE</v>
          </cell>
          <cell r="G16">
            <v>812.7</v>
          </cell>
          <cell r="H16">
            <v>820.2</v>
          </cell>
          <cell r="I16">
            <v>96</v>
          </cell>
          <cell r="J16">
            <v>-19.8</v>
          </cell>
          <cell r="K16">
            <v>-23.1</v>
          </cell>
          <cell r="L16" t="str">
            <v>-</v>
          </cell>
          <cell r="M16">
            <v>792.9</v>
          </cell>
          <cell r="N16">
            <v>797.1</v>
          </cell>
          <cell r="O16">
            <v>96</v>
          </cell>
          <cell r="P16">
            <v>0.1</v>
          </cell>
          <cell r="Q16">
            <v>-0.3</v>
          </cell>
        </row>
        <row r="17">
          <cell r="A17" t="str">
            <v>37226-CH-47F</v>
          </cell>
          <cell r="B17">
            <v>37226</v>
          </cell>
          <cell r="C17" t="str">
            <v>CH-47F</v>
          </cell>
          <cell r="D17" t="str">
            <v>CH-47F</v>
          </cell>
          <cell r="E17">
            <v>1997</v>
          </cell>
          <cell r="F17" t="str">
            <v>DE</v>
          </cell>
          <cell r="G17">
            <v>2523.6</v>
          </cell>
          <cell r="H17">
            <v>3115.4</v>
          </cell>
          <cell r="I17">
            <v>302</v>
          </cell>
          <cell r="J17">
            <v>2864.6</v>
          </cell>
          <cell r="K17">
            <v>3598.4</v>
          </cell>
          <cell r="L17">
            <v>37</v>
          </cell>
          <cell r="M17">
            <v>5388.2</v>
          </cell>
          <cell r="N17">
            <v>6713.8</v>
          </cell>
          <cell r="O17">
            <v>339</v>
          </cell>
          <cell r="P17">
            <v>95.5</v>
          </cell>
          <cell r="Q17">
            <v>95.1</v>
          </cell>
        </row>
        <row r="18">
          <cell r="A18" t="str">
            <v>37226-COMANCHE</v>
          </cell>
          <cell r="B18">
            <v>37226</v>
          </cell>
          <cell r="C18" t="str">
            <v>COMANCHE</v>
          </cell>
          <cell r="D18" t="str">
            <v>COMANCHE</v>
          </cell>
          <cell r="E18">
            <v>2000</v>
          </cell>
          <cell r="F18" t="str">
            <v>DE</v>
          </cell>
          <cell r="G18">
            <v>37936.1</v>
          </cell>
          <cell r="H18">
            <v>48134.3</v>
          </cell>
          <cell r="I18">
            <v>1213</v>
          </cell>
          <cell r="J18">
            <v>1240.7</v>
          </cell>
          <cell r="K18">
            <v>-228.7</v>
          </cell>
          <cell r="L18" t="str">
            <v>-</v>
          </cell>
          <cell r="M18">
            <v>39176.800000000003</v>
          </cell>
          <cell r="N18">
            <v>47905.599999999999</v>
          </cell>
          <cell r="O18">
            <v>1213</v>
          </cell>
          <cell r="P18">
            <v>3.4</v>
          </cell>
          <cell r="Q18">
            <v>-0.4</v>
          </cell>
        </row>
        <row r="19">
          <cell r="A19" t="str">
            <v>37226-CRUSADER</v>
          </cell>
          <cell r="B19">
            <v>37226</v>
          </cell>
          <cell r="C19" t="str">
            <v>CRUSADER (RDT&amp;E)</v>
          </cell>
          <cell r="D19" t="str">
            <v>CRUSADER</v>
          </cell>
          <cell r="E19">
            <v>1995</v>
          </cell>
          <cell r="F19" t="str">
            <v>PE</v>
          </cell>
          <cell r="G19">
            <v>2357</v>
          </cell>
          <cell r="H19">
            <v>2780</v>
          </cell>
          <cell r="I19" t="str">
            <v>-</v>
          </cell>
          <cell r="J19">
            <v>1458</v>
          </cell>
          <cell r="K19">
            <v>1506.3</v>
          </cell>
          <cell r="L19" t="str">
            <v>-</v>
          </cell>
          <cell r="M19">
            <v>3815</v>
          </cell>
          <cell r="N19">
            <v>4286.3</v>
          </cell>
          <cell r="O19" t="str">
            <v>-</v>
          </cell>
          <cell r="P19">
            <v>54.1</v>
          </cell>
          <cell r="Q19">
            <v>46.8</v>
          </cell>
        </row>
        <row r="20">
          <cell r="A20" t="str">
            <v>37226-FBCB2</v>
          </cell>
          <cell r="B20">
            <v>37226</v>
          </cell>
          <cell r="C20" t="str">
            <v>FBCB2</v>
          </cell>
          <cell r="D20" t="str">
            <v>FBCB2</v>
          </cell>
          <cell r="E20">
            <v>2000</v>
          </cell>
          <cell r="F20" t="str">
            <v>DE</v>
          </cell>
          <cell r="G20">
            <v>2281</v>
          </cell>
          <cell r="H20">
            <v>2617.9</v>
          </cell>
          <cell r="I20">
            <v>59522</v>
          </cell>
          <cell r="J20">
            <v>154</v>
          </cell>
          <cell r="K20">
            <v>199.5</v>
          </cell>
          <cell r="L20">
            <v>-3057</v>
          </cell>
          <cell r="M20">
            <v>2435</v>
          </cell>
          <cell r="N20">
            <v>2817.4</v>
          </cell>
          <cell r="O20">
            <v>56465</v>
          </cell>
          <cell r="P20">
            <v>9.9</v>
          </cell>
          <cell r="Q20">
            <v>11.3</v>
          </cell>
        </row>
        <row r="21">
          <cell r="A21" t="str">
            <v>37226-FMTV</v>
          </cell>
          <cell r="B21">
            <v>37226</v>
          </cell>
          <cell r="C21" t="str">
            <v>FMTV</v>
          </cell>
          <cell r="D21" t="str">
            <v>FMTV</v>
          </cell>
          <cell r="E21">
            <v>1996</v>
          </cell>
          <cell r="F21" t="str">
            <v>PdE</v>
          </cell>
          <cell r="G21">
            <v>11594.2</v>
          </cell>
          <cell r="H21">
            <v>18921.3</v>
          </cell>
          <cell r="I21">
            <v>85488</v>
          </cell>
          <cell r="J21">
            <v>2657.7</v>
          </cell>
          <cell r="K21">
            <v>-846.9</v>
          </cell>
          <cell r="L21">
            <v>-2303</v>
          </cell>
          <cell r="M21">
            <v>14251.9</v>
          </cell>
          <cell r="N21">
            <v>18074.400000000001</v>
          </cell>
          <cell r="O21">
            <v>83185</v>
          </cell>
          <cell r="P21">
            <v>24</v>
          </cell>
          <cell r="Q21">
            <v>-1.4</v>
          </cell>
        </row>
        <row r="22">
          <cell r="A22" t="e">
            <v>#N/A</v>
          </cell>
          <cell r="B22">
            <v>37226</v>
          </cell>
          <cell r="C22" t="str">
            <v>IAV</v>
          </cell>
          <cell r="D22" t="e">
            <v>#N/A</v>
          </cell>
          <cell r="E22">
            <v>2000</v>
          </cell>
          <cell r="F22" t="str">
            <v>DE</v>
          </cell>
          <cell r="G22">
            <v>6480.8</v>
          </cell>
          <cell r="H22">
            <v>7120.2</v>
          </cell>
          <cell r="I22">
            <v>2131</v>
          </cell>
          <cell r="J22">
            <v>-134</v>
          </cell>
          <cell r="K22">
            <v>-175.8</v>
          </cell>
          <cell r="L22" t="str">
            <v>-</v>
          </cell>
          <cell r="M22">
            <v>6346.8</v>
          </cell>
          <cell r="N22">
            <v>6944.4</v>
          </cell>
          <cell r="O22">
            <v>2131</v>
          </cell>
          <cell r="P22">
            <v>-2</v>
          </cell>
          <cell r="Q22">
            <v>-2.2999999999999998</v>
          </cell>
        </row>
        <row r="23">
          <cell r="A23" t="str">
            <v>37226-JAVELIN</v>
          </cell>
          <cell r="B23">
            <v>37226</v>
          </cell>
          <cell r="C23" t="str">
            <v>JAVELIN</v>
          </cell>
          <cell r="D23" t="str">
            <v>JAVELIN</v>
          </cell>
          <cell r="E23">
            <v>1997</v>
          </cell>
          <cell r="F23" t="str">
            <v>PdE</v>
          </cell>
          <cell r="G23">
            <v>3791.1</v>
          </cell>
          <cell r="H23">
            <v>3926</v>
          </cell>
          <cell r="I23">
            <v>28501</v>
          </cell>
          <cell r="J23">
            <v>338</v>
          </cell>
          <cell r="K23">
            <v>293.7</v>
          </cell>
          <cell r="L23">
            <v>-2650</v>
          </cell>
          <cell r="M23">
            <v>4129.1000000000004</v>
          </cell>
          <cell r="N23">
            <v>4219.7</v>
          </cell>
          <cell r="O23">
            <v>25851</v>
          </cell>
          <cell r="P23">
            <v>5.8</v>
          </cell>
          <cell r="Q23">
            <v>5.2</v>
          </cell>
        </row>
        <row r="24">
          <cell r="A24" t="str">
            <v>37226-LONGBOW APACHE</v>
          </cell>
          <cell r="B24">
            <v>37226</v>
          </cell>
          <cell r="C24" t="str">
            <v>LONGBOW APACHE</v>
          </cell>
          <cell r="D24" t="str">
            <v>LONGBOW APACHE</v>
          </cell>
          <cell r="E24">
            <v>1996</v>
          </cell>
          <cell r="F24" t="str">
            <v>PdE</v>
          </cell>
          <cell r="G24">
            <v>7389.7</v>
          </cell>
          <cell r="H24">
            <v>8729.2000000000007</v>
          </cell>
          <cell r="I24">
            <v>985</v>
          </cell>
          <cell r="J24">
            <v>945</v>
          </cell>
          <cell r="K24">
            <v>122.3</v>
          </cell>
          <cell r="L24">
            <v>-257</v>
          </cell>
          <cell r="M24">
            <v>8334.7000000000007</v>
          </cell>
          <cell r="N24">
            <v>8851.5</v>
          </cell>
          <cell r="O24">
            <v>728</v>
          </cell>
          <cell r="P24">
            <v>41.2</v>
          </cell>
          <cell r="Q24">
            <v>29.2</v>
          </cell>
        </row>
        <row r="25">
          <cell r="A25" t="str">
            <v>37226-LONGBOW HELLFIRE</v>
          </cell>
          <cell r="B25">
            <v>37226</v>
          </cell>
          <cell r="C25" t="str">
            <v>LONGBOW HELLFIRE</v>
          </cell>
          <cell r="D25" t="str">
            <v>LONGBOW HELLFIRE</v>
          </cell>
          <cell r="E25">
            <v>1996</v>
          </cell>
          <cell r="F25" t="str">
            <v>PdE</v>
          </cell>
          <cell r="G25">
            <v>2352</v>
          </cell>
          <cell r="H25">
            <v>2635.6</v>
          </cell>
          <cell r="I25">
            <v>13311</v>
          </cell>
          <cell r="J25">
            <v>131.19999999999999</v>
          </cell>
          <cell r="K25">
            <v>-11.8</v>
          </cell>
          <cell r="L25">
            <v>-406</v>
          </cell>
          <cell r="M25">
            <v>2483.1999999999998</v>
          </cell>
          <cell r="N25">
            <v>2623.8</v>
          </cell>
          <cell r="O25">
            <v>12905</v>
          </cell>
          <cell r="P25">
            <v>7.5</v>
          </cell>
          <cell r="Q25">
            <v>1.7</v>
          </cell>
        </row>
        <row r="26">
          <cell r="A26" t="str">
            <v>37226-MCS</v>
          </cell>
          <cell r="B26">
            <v>37226</v>
          </cell>
          <cell r="C26" t="str">
            <v>MCS</v>
          </cell>
          <cell r="D26" t="str">
            <v>MCS</v>
          </cell>
          <cell r="E26">
            <v>1980</v>
          </cell>
          <cell r="F26" t="str">
            <v>DE</v>
          </cell>
          <cell r="G26">
            <v>106.9</v>
          </cell>
          <cell r="H26">
            <v>232.1</v>
          </cell>
          <cell r="I26">
            <v>947</v>
          </cell>
          <cell r="J26">
            <v>364.5</v>
          </cell>
          <cell r="K26">
            <v>807.2</v>
          </cell>
          <cell r="L26">
            <v>8777</v>
          </cell>
          <cell r="M26">
            <v>471.4</v>
          </cell>
          <cell r="N26">
            <v>1039.3</v>
          </cell>
          <cell r="O26">
            <v>9724</v>
          </cell>
          <cell r="P26">
            <v>-55.5</v>
          </cell>
          <cell r="Q26">
            <v>-59.5</v>
          </cell>
        </row>
        <row r="27">
          <cell r="A27" t="e">
            <v>#N/A</v>
          </cell>
          <cell r="B27">
            <v>37226</v>
          </cell>
          <cell r="C27" t="str">
            <v>MLRS UPGRADE</v>
          </cell>
          <cell r="D27" t="e">
            <v>#N/A</v>
          </cell>
          <cell r="E27">
            <v>1998</v>
          </cell>
          <cell r="F27" t="str">
            <v>DE</v>
          </cell>
          <cell r="G27">
            <v>3345.5</v>
          </cell>
          <cell r="H27">
            <v>3900.4</v>
          </cell>
          <cell r="I27">
            <v>44039</v>
          </cell>
          <cell r="J27">
            <v>6216</v>
          </cell>
          <cell r="K27">
            <v>8498.1</v>
          </cell>
          <cell r="L27">
            <v>96292</v>
          </cell>
          <cell r="M27">
            <v>9561.5</v>
          </cell>
          <cell r="N27">
            <v>12398.5</v>
          </cell>
          <cell r="O27">
            <v>140331</v>
          </cell>
          <cell r="P27">
            <v>81.400000000000006</v>
          </cell>
          <cell r="Q27">
            <v>83.2</v>
          </cell>
        </row>
        <row r="28">
          <cell r="A28" t="str">
            <v>37226-PATRIOT PAC-3</v>
          </cell>
          <cell r="B28">
            <v>37226</v>
          </cell>
          <cell r="C28" t="str">
            <v>PATRIOT PAC-3</v>
          </cell>
          <cell r="D28" t="str">
            <v>PATRIOT PAC-3</v>
          </cell>
          <cell r="E28">
            <v>1988</v>
          </cell>
          <cell r="F28" t="str">
            <v>DE</v>
          </cell>
          <cell r="G28">
            <v>4798.8</v>
          </cell>
          <cell r="H28">
            <v>6381.6</v>
          </cell>
          <cell r="I28">
            <v>1254</v>
          </cell>
          <cell r="J28">
            <v>3817.4</v>
          </cell>
          <cell r="K28">
            <v>5424.2</v>
          </cell>
          <cell r="L28">
            <v>-55</v>
          </cell>
          <cell r="M28">
            <v>8616.2000000000007</v>
          </cell>
          <cell r="N28">
            <v>11805.8</v>
          </cell>
          <cell r="O28">
            <v>1199</v>
          </cell>
          <cell r="P28">
            <v>62.5</v>
          </cell>
          <cell r="Q28">
            <v>77.2</v>
          </cell>
        </row>
        <row r="29">
          <cell r="A29" t="e">
            <v>#N/A</v>
          </cell>
          <cell r="B29">
            <v>37226</v>
          </cell>
          <cell r="C29" t="str">
            <v>SADARM</v>
          </cell>
          <cell r="D29" t="e">
            <v>#N/A</v>
          </cell>
          <cell r="E29">
            <v>1989</v>
          </cell>
          <cell r="F29" t="str">
            <v>DE</v>
          </cell>
          <cell r="G29">
            <v>485.7</v>
          </cell>
          <cell r="H29">
            <v>535.1</v>
          </cell>
          <cell r="I29">
            <v>10288</v>
          </cell>
          <cell r="J29">
            <v>139</v>
          </cell>
          <cell r="K29">
            <v>204.8</v>
          </cell>
          <cell r="L29">
            <v>-9036</v>
          </cell>
          <cell r="M29">
            <v>624.70000000000005</v>
          </cell>
          <cell r="N29">
            <v>739.9</v>
          </cell>
          <cell r="O29">
            <v>1252</v>
          </cell>
          <cell r="P29">
            <v>28.9</v>
          </cell>
          <cell r="Q29">
            <v>389</v>
          </cell>
        </row>
        <row r="30">
          <cell r="A30" t="str">
            <v>37226-SMART-T</v>
          </cell>
          <cell r="B30">
            <v>37226</v>
          </cell>
          <cell r="C30" t="str">
            <v>SMART-T</v>
          </cell>
          <cell r="D30" t="str">
            <v>SMART-T</v>
          </cell>
          <cell r="E30">
            <v>1999</v>
          </cell>
          <cell r="F30" t="str">
            <v>PdE</v>
          </cell>
          <cell r="G30">
            <v>766.5</v>
          </cell>
          <cell r="H30">
            <v>780.4</v>
          </cell>
          <cell r="I30">
            <v>313</v>
          </cell>
          <cell r="J30">
            <v>-18.899999999999999</v>
          </cell>
          <cell r="K30">
            <v>-5.9</v>
          </cell>
          <cell r="L30">
            <v>7</v>
          </cell>
          <cell r="M30">
            <v>747.6</v>
          </cell>
          <cell r="N30">
            <v>774.5</v>
          </cell>
          <cell r="O30">
            <v>320</v>
          </cell>
          <cell r="P30">
            <v>-9.9</v>
          </cell>
          <cell r="Q30">
            <v>-8.9</v>
          </cell>
        </row>
        <row r="31">
          <cell r="A31" t="str">
            <v>37226-Army Subtotal</v>
          </cell>
          <cell r="B31">
            <v>37226</v>
          </cell>
          <cell r="C31" t="str">
            <v>Army Subtotal</v>
          </cell>
          <cell r="D31" t="str">
            <v>Army Subtotal</v>
          </cell>
          <cell r="G31">
            <v>104233.8</v>
          </cell>
          <cell r="H31">
            <v>131100.70000000001</v>
          </cell>
          <cell r="J31">
            <v>22828.9</v>
          </cell>
          <cell r="K31">
            <v>21599.9</v>
          </cell>
          <cell r="M31">
            <v>127062.7</v>
          </cell>
          <cell r="N31">
            <v>152700.6</v>
          </cell>
          <cell r="P31">
            <v>20.7</v>
          </cell>
          <cell r="Q31">
            <v>13.4</v>
          </cell>
        </row>
        <row r="33">
          <cell r="C33" t="str">
            <v>NAVY</v>
          </cell>
        </row>
        <row r="34">
          <cell r="A34" t="str">
            <v>37226-EFV</v>
          </cell>
          <cell r="B34">
            <v>37226</v>
          </cell>
          <cell r="C34" t="str">
            <v>AAAV</v>
          </cell>
          <cell r="D34" t="str">
            <v>EFV</v>
          </cell>
          <cell r="E34">
            <v>1993</v>
          </cell>
          <cell r="F34" t="str">
            <v>DE</v>
          </cell>
          <cell r="G34">
            <v>6650.4</v>
          </cell>
          <cell r="H34">
            <v>8725.2000000000007</v>
          </cell>
          <cell r="I34">
            <v>1025</v>
          </cell>
          <cell r="J34">
            <v>609</v>
          </cell>
          <cell r="K34">
            <v>915.1</v>
          </cell>
          <cell r="L34" t="str">
            <v>-</v>
          </cell>
          <cell r="M34">
            <v>7259.4</v>
          </cell>
          <cell r="N34">
            <v>9640.2999999999993</v>
          </cell>
          <cell r="O34">
            <v>1025</v>
          </cell>
          <cell r="P34">
            <v>9.1999999999999993</v>
          </cell>
          <cell r="Q34">
            <v>10.5</v>
          </cell>
        </row>
        <row r="35">
          <cell r="A35" t="str">
            <v>37226-AESA</v>
          </cell>
          <cell r="B35">
            <v>37226</v>
          </cell>
          <cell r="C35" t="str">
            <v>AESA</v>
          </cell>
          <cell r="D35" t="str">
            <v>AESA</v>
          </cell>
          <cell r="E35">
            <v>2000</v>
          </cell>
          <cell r="F35" t="str">
            <v>DE</v>
          </cell>
          <cell r="G35">
            <v>494.8</v>
          </cell>
          <cell r="H35">
            <v>525.20000000000005</v>
          </cell>
          <cell r="I35" t="str">
            <v>-</v>
          </cell>
          <cell r="J35">
            <v>-23.5</v>
          </cell>
          <cell r="K35">
            <v>-24.9</v>
          </cell>
          <cell r="L35" t="str">
            <v>-</v>
          </cell>
          <cell r="M35">
            <v>471.3</v>
          </cell>
          <cell r="N35">
            <v>500.3</v>
          </cell>
          <cell r="O35" t="str">
            <v>-</v>
          </cell>
          <cell r="P35">
            <v>-4.7</v>
          </cell>
          <cell r="Q35">
            <v>-4.7</v>
          </cell>
        </row>
        <row r="36">
          <cell r="A36" t="str">
            <v>37226-AIM-9X</v>
          </cell>
          <cell r="B36">
            <v>37226</v>
          </cell>
          <cell r="C36" t="str">
            <v>AIM-9X</v>
          </cell>
          <cell r="D36" t="str">
            <v>AIM-9X</v>
          </cell>
          <cell r="E36">
            <v>1997</v>
          </cell>
          <cell r="F36" t="str">
            <v>DE</v>
          </cell>
          <cell r="G36">
            <v>2464</v>
          </cell>
          <cell r="H36">
            <v>3232.9</v>
          </cell>
          <cell r="I36">
            <v>10049</v>
          </cell>
          <cell r="J36">
            <v>-39.5</v>
          </cell>
          <cell r="K36">
            <v>-275.60000000000002</v>
          </cell>
          <cell r="L36">
            <v>93</v>
          </cell>
          <cell r="M36">
            <v>2424.5</v>
          </cell>
          <cell r="N36">
            <v>2957.3</v>
          </cell>
          <cell r="O36">
            <v>10142</v>
          </cell>
          <cell r="P36">
            <v>-2.1</v>
          </cell>
          <cell r="Q36">
            <v>-9.1</v>
          </cell>
        </row>
        <row r="37">
          <cell r="A37" t="str">
            <v>37226-AV-8B REMANUFACTURE</v>
          </cell>
          <cell r="B37">
            <v>37226</v>
          </cell>
          <cell r="C37" t="str">
            <v>AV-8B REMAN</v>
          </cell>
          <cell r="D37" t="str">
            <v>AV-8B REMANUFACTURE</v>
          </cell>
          <cell r="E37">
            <v>1994</v>
          </cell>
          <cell r="F37" t="str">
            <v>PdE</v>
          </cell>
          <cell r="G37">
            <v>1843</v>
          </cell>
          <cell r="H37">
            <v>2158.4</v>
          </cell>
          <cell r="I37">
            <v>73</v>
          </cell>
          <cell r="J37">
            <v>148.6</v>
          </cell>
          <cell r="K37">
            <v>8.1999999999999993</v>
          </cell>
          <cell r="L37">
            <v>1</v>
          </cell>
          <cell r="M37">
            <v>1991.6</v>
          </cell>
          <cell r="N37">
            <v>2166.6</v>
          </cell>
          <cell r="O37">
            <v>74</v>
          </cell>
          <cell r="P37">
            <v>6.9</v>
          </cell>
          <cell r="Q37">
            <v>-0.6</v>
          </cell>
        </row>
        <row r="38">
          <cell r="A38" t="str">
            <v>37226-CEC</v>
          </cell>
          <cell r="B38">
            <v>37226</v>
          </cell>
          <cell r="C38" t="str">
            <v>CEC</v>
          </cell>
          <cell r="D38" t="str">
            <v>CEC</v>
          </cell>
          <cell r="E38">
            <v>1995</v>
          </cell>
          <cell r="F38" t="str">
            <v>DE</v>
          </cell>
          <cell r="G38">
            <v>2221.9</v>
          </cell>
          <cell r="H38">
            <v>2573.1</v>
          </cell>
          <cell r="I38">
            <v>183</v>
          </cell>
          <cell r="J38">
            <v>1451.3</v>
          </cell>
          <cell r="K38">
            <v>1665.3</v>
          </cell>
          <cell r="L38">
            <v>89</v>
          </cell>
          <cell r="M38">
            <v>3673.2</v>
          </cell>
          <cell r="N38">
            <v>4238.3999999999996</v>
          </cell>
          <cell r="O38">
            <v>272</v>
          </cell>
          <cell r="P38">
            <v>47.8</v>
          </cell>
          <cell r="Q38">
            <v>38.9</v>
          </cell>
        </row>
        <row r="39">
          <cell r="A39" t="str">
            <v>37226-CVN 68</v>
          </cell>
          <cell r="B39">
            <v>37226</v>
          </cell>
          <cell r="C39" t="str">
            <v>CVN-68 Class</v>
          </cell>
          <cell r="D39" t="str">
            <v>CVN 68</v>
          </cell>
          <cell r="E39">
            <v>1995</v>
          </cell>
          <cell r="F39" t="str">
            <v>PdE</v>
          </cell>
          <cell r="G39">
            <v>8467.9</v>
          </cell>
          <cell r="H39">
            <v>9838</v>
          </cell>
          <cell r="I39">
            <v>2</v>
          </cell>
          <cell r="J39">
            <v>964.1</v>
          </cell>
          <cell r="K39">
            <v>327</v>
          </cell>
          <cell r="L39" t="str">
            <v>-</v>
          </cell>
          <cell r="M39">
            <v>9432</v>
          </cell>
          <cell r="N39">
            <v>10165</v>
          </cell>
          <cell r="O39">
            <v>2</v>
          </cell>
          <cell r="P39">
            <v>11.4</v>
          </cell>
          <cell r="Q39">
            <v>3.3</v>
          </cell>
        </row>
        <row r="40">
          <cell r="A40" t="e">
            <v>#N/A</v>
          </cell>
          <cell r="B40">
            <v>37226</v>
          </cell>
          <cell r="C40" t="str">
            <v>CVNX (RDT&amp;E)</v>
          </cell>
          <cell r="D40" t="e">
            <v>#N/A</v>
          </cell>
          <cell r="E40">
            <v>2000</v>
          </cell>
          <cell r="F40" t="str">
            <v>PE</v>
          </cell>
          <cell r="G40">
            <v>3159.8</v>
          </cell>
          <cell r="H40">
            <v>3587.6</v>
          </cell>
          <cell r="I40" t="str">
            <v>-</v>
          </cell>
          <cell r="J40">
            <v>196.1</v>
          </cell>
          <cell r="K40">
            <v>243.6</v>
          </cell>
          <cell r="L40" t="str">
            <v>-</v>
          </cell>
          <cell r="M40">
            <v>3355.9</v>
          </cell>
          <cell r="N40">
            <v>3831.2</v>
          </cell>
          <cell r="O40" t="str">
            <v>-</v>
          </cell>
          <cell r="P40">
            <v>6.2</v>
          </cell>
          <cell r="Q40">
            <v>6.8</v>
          </cell>
        </row>
        <row r="41">
          <cell r="A41" t="str">
            <v>37226-CVN 78</v>
          </cell>
          <cell r="B41">
            <v>37226</v>
          </cell>
          <cell r="C41" t="str">
            <v>DD(X) (RDT&amp;E)</v>
          </cell>
          <cell r="D41" t="str">
            <v>CVN 78</v>
          </cell>
          <cell r="E41">
            <v>1996</v>
          </cell>
          <cell r="F41" t="str">
            <v>PE</v>
          </cell>
          <cell r="G41">
            <v>1754</v>
          </cell>
          <cell r="H41">
            <v>2089</v>
          </cell>
          <cell r="I41" t="str">
            <v>-</v>
          </cell>
          <cell r="J41">
            <v>7559.5</v>
          </cell>
          <cell r="K41">
            <v>8720.7000000000007</v>
          </cell>
          <cell r="L41" t="str">
            <v>-</v>
          </cell>
          <cell r="M41">
            <v>9313.5</v>
          </cell>
          <cell r="N41">
            <v>10809.7</v>
          </cell>
          <cell r="O41" t="str">
            <v>-</v>
          </cell>
          <cell r="P41">
            <v>431</v>
          </cell>
          <cell r="Q41">
            <v>417.5</v>
          </cell>
        </row>
        <row r="42">
          <cell r="A42" t="str">
            <v>37226-DDG 51</v>
          </cell>
          <cell r="B42">
            <v>37226</v>
          </cell>
          <cell r="C42" t="str">
            <v>DDG 51</v>
          </cell>
          <cell r="D42" t="str">
            <v>DDG 51</v>
          </cell>
          <cell r="E42">
            <v>1987</v>
          </cell>
          <cell r="F42" t="str">
            <v>PdE</v>
          </cell>
          <cell r="G42">
            <v>16953.7</v>
          </cell>
          <cell r="H42">
            <v>20117.5</v>
          </cell>
          <cell r="I42">
            <v>23</v>
          </cell>
          <cell r="J42">
            <v>32116.400000000001</v>
          </cell>
          <cell r="K42">
            <v>45909.2</v>
          </cell>
          <cell r="L42">
            <v>41</v>
          </cell>
          <cell r="M42">
            <v>49070.1</v>
          </cell>
          <cell r="N42">
            <v>66026.7</v>
          </cell>
          <cell r="O42">
            <v>64</v>
          </cell>
          <cell r="P42">
            <v>14.2</v>
          </cell>
          <cell r="Q42">
            <v>11.8</v>
          </cell>
        </row>
        <row r="43">
          <cell r="A43" t="str">
            <v>37226-E-2C REPRODUCTION</v>
          </cell>
          <cell r="B43">
            <v>37226</v>
          </cell>
          <cell r="C43" t="str">
            <v>E-2C REPRO</v>
          </cell>
          <cell r="D43" t="str">
            <v>E-2C REPRODUCTION</v>
          </cell>
          <cell r="E43">
            <v>1994</v>
          </cell>
          <cell r="F43" t="str">
            <v>PdE</v>
          </cell>
          <cell r="G43">
            <v>2627.7</v>
          </cell>
          <cell r="H43">
            <v>3187.9</v>
          </cell>
          <cell r="I43">
            <v>36</v>
          </cell>
          <cell r="J43">
            <v>881.2</v>
          </cell>
          <cell r="K43">
            <v>724.6</v>
          </cell>
          <cell r="L43">
            <v>5</v>
          </cell>
          <cell r="M43">
            <v>3508.9</v>
          </cell>
          <cell r="N43">
            <v>3912.5</v>
          </cell>
          <cell r="O43">
            <v>41</v>
          </cell>
          <cell r="P43">
            <v>19.899999999999999</v>
          </cell>
          <cell r="Q43">
            <v>10.3</v>
          </cell>
        </row>
        <row r="44">
          <cell r="A44" t="str">
            <v>37226-F/A-18E/F</v>
          </cell>
          <cell r="B44">
            <v>37226</v>
          </cell>
          <cell r="C44" t="str">
            <v>F/A-18 E/F</v>
          </cell>
          <cell r="D44" t="str">
            <v>F/A-18E/F</v>
          </cell>
          <cell r="E44">
            <v>2000</v>
          </cell>
          <cell r="F44" t="str">
            <v>PdE</v>
          </cell>
          <cell r="G44">
            <v>43489.599999999999</v>
          </cell>
          <cell r="H44">
            <v>46825.7</v>
          </cell>
          <cell r="I44">
            <v>548</v>
          </cell>
          <cell r="J44">
            <v>1800.1</v>
          </cell>
          <cell r="K44">
            <v>1965.4</v>
          </cell>
          <cell r="L44" t="str">
            <v>-</v>
          </cell>
          <cell r="M44">
            <v>45289.7</v>
          </cell>
          <cell r="N44">
            <v>48791.1</v>
          </cell>
          <cell r="O44">
            <v>548</v>
          </cell>
          <cell r="P44">
            <v>4</v>
          </cell>
          <cell r="Q44">
            <v>4.0999999999999996</v>
          </cell>
        </row>
        <row r="45">
          <cell r="A45" t="str">
            <v>37226-JSOW</v>
          </cell>
          <cell r="B45">
            <v>37226</v>
          </cell>
          <cell r="C45" t="str">
            <v>JSOW</v>
          </cell>
          <cell r="D45" t="str">
            <v>JSOW</v>
          </cell>
          <cell r="E45">
            <v>1990</v>
          </cell>
          <cell r="F45" t="str">
            <v>DE</v>
          </cell>
          <cell r="G45">
            <v>6927.2</v>
          </cell>
          <cell r="H45">
            <v>11205.9</v>
          </cell>
          <cell r="I45">
            <v>23924</v>
          </cell>
          <cell r="J45">
            <v>-1904.8</v>
          </cell>
          <cell r="K45">
            <v>-4132.7</v>
          </cell>
          <cell r="L45">
            <v>-4810</v>
          </cell>
          <cell r="M45">
            <v>5022.3999999999996</v>
          </cell>
          <cell r="N45">
            <v>7073.2</v>
          </cell>
          <cell r="O45">
            <v>19114</v>
          </cell>
          <cell r="P45">
            <v>-18</v>
          </cell>
          <cell r="Q45">
            <v>-28.2</v>
          </cell>
        </row>
        <row r="46">
          <cell r="A46" t="str">
            <v>37226-LHD 1</v>
          </cell>
          <cell r="B46">
            <v>37226</v>
          </cell>
          <cell r="C46" t="str">
            <v>LHD 1</v>
          </cell>
          <cell r="D46" t="str">
            <v>LHD 1</v>
          </cell>
          <cell r="E46">
            <v>1982</v>
          </cell>
          <cell r="F46" t="str">
            <v>DE</v>
          </cell>
          <cell r="G46">
            <v>2931.8</v>
          </cell>
          <cell r="H46">
            <v>4451</v>
          </cell>
          <cell r="I46">
            <v>3</v>
          </cell>
          <cell r="J46">
            <v>4305.5</v>
          </cell>
          <cell r="K46">
            <v>5320</v>
          </cell>
          <cell r="L46">
            <v>5</v>
          </cell>
          <cell r="M46">
            <v>7237.3</v>
          </cell>
          <cell r="N46">
            <v>9771</v>
          </cell>
          <cell r="O46">
            <v>8</v>
          </cell>
          <cell r="P46">
            <v>1.1000000000000001</v>
          </cell>
          <cell r="Q46">
            <v>-14.3</v>
          </cell>
        </row>
        <row r="47">
          <cell r="A47" t="str">
            <v>37226-LPD 17</v>
          </cell>
          <cell r="B47">
            <v>37226</v>
          </cell>
          <cell r="C47" t="str">
            <v>LPD 17</v>
          </cell>
          <cell r="D47" t="str">
            <v>LPD 17</v>
          </cell>
          <cell r="E47">
            <v>1996</v>
          </cell>
          <cell r="F47" t="str">
            <v>DE</v>
          </cell>
          <cell r="G47">
            <v>9018.1</v>
          </cell>
          <cell r="H47">
            <v>10761.8</v>
          </cell>
          <cell r="I47">
            <v>12</v>
          </cell>
          <cell r="J47">
            <v>3921.4</v>
          </cell>
          <cell r="K47">
            <v>4618.8999999999996</v>
          </cell>
          <cell r="L47" t="str">
            <v>-</v>
          </cell>
          <cell r="M47">
            <v>12939.5</v>
          </cell>
          <cell r="N47">
            <v>15380.7</v>
          </cell>
          <cell r="O47">
            <v>12</v>
          </cell>
          <cell r="P47">
            <v>43.5</v>
          </cell>
          <cell r="Q47">
            <v>42.1</v>
          </cell>
        </row>
        <row r="48">
          <cell r="A48" t="str">
            <v>37226-MH-60R</v>
          </cell>
          <cell r="B48">
            <v>37226</v>
          </cell>
          <cell r="C48" t="str">
            <v>MH-60R</v>
          </cell>
          <cell r="D48" t="str">
            <v>MH-60R</v>
          </cell>
          <cell r="E48">
            <v>1993</v>
          </cell>
          <cell r="F48" t="str">
            <v>DE</v>
          </cell>
          <cell r="G48">
            <v>4020.5</v>
          </cell>
          <cell r="H48">
            <v>5636.4</v>
          </cell>
          <cell r="I48">
            <v>188</v>
          </cell>
          <cell r="J48">
            <v>3135.7</v>
          </cell>
          <cell r="K48">
            <v>3760.5</v>
          </cell>
          <cell r="L48">
            <v>55</v>
          </cell>
          <cell r="M48">
            <v>7156.2</v>
          </cell>
          <cell r="N48">
            <v>9396.9</v>
          </cell>
          <cell r="O48">
            <v>243</v>
          </cell>
          <cell r="P48">
            <v>52</v>
          </cell>
          <cell r="Q48">
            <v>43.1</v>
          </cell>
        </row>
        <row r="49">
          <cell r="A49" t="str">
            <v>37226-MH-60S</v>
          </cell>
          <cell r="B49">
            <v>37226</v>
          </cell>
          <cell r="C49" t="str">
            <v>MH-60S</v>
          </cell>
          <cell r="D49" t="str">
            <v>MH-60S</v>
          </cell>
          <cell r="E49">
            <v>1998</v>
          </cell>
          <cell r="F49" t="str">
            <v>DE</v>
          </cell>
          <cell r="G49">
            <v>2769</v>
          </cell>
          <cell r="H49">
            <v>3154</v>
          </cell>
          <cell r="I49">
            <v>166</v>
          </cell>
          <cell r="J49">
            <v>1933.7</v>
          </cell>
          <cell r="K49">
            <v>2233.5</v>
          </cell>
          <cell r="L49">
            <v>71</v>
          </cell>
          <cell r="M49">
            <v>4702.7</v>
          </cell>
          <cell r="N49">
            <v>5387.5</v>
          </cell>
          <cell r="O49">
            <v>237</v>
          </cell>
          <cell r="P49">
            <v>27.2</v>
          </cell>
          <cell r="Q49">
            <v>25</v>
          </cell>
        </row>
        <row r="50">
          <cell r="A50" t="str">
            <v>37226-MIDS-LVT</v>
          </cell>
          <cell r="B50">
            <v>37226</v>
          </cell>
          <cell r="C50" t="str">
            <v>MIDS-LVT</v>
          </cell>
          <cell r="D50" t="str">
            <v>MIDS-LVT</v>
          </cell>
          <cell r="E50">
            <v>1992</v>
          </cell>
          <cell r="F50" t="str">
            <v>DE</v>
          </cell>
          <cell r="G50">
            <v>924.9</v>
          </cell>
          <cell r="H50">
            <v>1119.5</v>
          </cell>
          <cell r="I50">
            <v>672</v>
          </cell>
          <cell r="J50">
            <v>446.5</v>
          </cell>
          <cell r="K50">
            <v>502.2</v>
          </cell>
          <cell r="L50">
            <v>1990</v>
          </cell>
          <cell r="M50">
            <v>1371.4</v>
          </cell>
          <cell r="N50">
            <v>1621.7</v>
          </cell>
          <cell r="O50">
            <v>2662</v>
          </cell>
          <cell r="P50">
            <v>6.4</v>
          </cell>
          <cell r="Q50">
            <v>2.1</v>
          </cell>
        </row>
        <row r="51">
          <cell r="A51" t="str">
            <v>37226-NESP</v>
          </cell>
          <cell r="B51">
            <v>37226</v>
          </cell>
          <cell r="C51" t="str">
            <v>NESP</v>
          </cell>
          <cell r="D51" t="str">
            <v>NESP</v>
          </cell>
          <cell r="E51">
            <v>1990</v>
          </cell>
          <cell r="F51" t="str">
            <v>PdE</v>
          </cell>
          <cell r="G51">
            <v>1876.6</v>
          </cell>
          <cell r="H51">
            <v>2373.6999999999998</v>
          </cell>
          <cell r="I51">
            <v>393</v>
          </cell>
          <cell r="J51">
            <v>-129.30000000000001</v>
          </cell>
          <cell r="K51">
            <v>-380.4</v>
          </cell>
          <cell r="L51">
            <v>103</v>
          </cell>
          <cell r="M51">
            <v>1747.3</v>
          </cell>
          <cell r="N51">
            <v>1993.3</v>
          </cell>
          <cell r="O51">
            <v>496</v>
          </cell>
          <cell r="P51">
            <v>-13.7</v>
          </cell>
          <cell r="Q51">
            <v>-21.8</v>
          </cell>
        </row>
        <row r="52">
          <cell r="A52" t="str">
            <v>37226-SSN 774</v>
          </cell>
          <cell r="B52">
            <v>37226</v>
          </cell>
          <cell r="C52" t="str">
            <v>SSN 774 (VA CLASS)</v>
          </cell>
          <cell r="D52" t="str">
            <v>SSN 774</v>
          </cell>
          <cell r="E52">
            <v>1995</v>
          </cell>
          <cell r="F52" t="str">
            <v>DE</v>
          </cell>
          <cell r="G52">
            <v>45633.1</v>
          </cell>
          <cell r="H52">
            <v>71080.800000000003</v>
          </cell>
          <cell r="I52">
            <v>30</v>
          </cell>
          <cell r="J52">
            <v>12836.6</v>
          </cell>
          <cell r="K52">
            <v>2359.3000000000002</v>
          </cell>
          <cell r="L52" t="str">
            <v>-</v>
          </cell>
          <cell r="M52">
            <v>58469.7</v>
          </cell>
          <cell r="N52">
            <v>73440.100000000006</v>
          </cell>
          <cell r="O52">
            <v>30</v>
          </cell>
          <cell r="P52">
            <v>28.1</v>
          </cell>
          <cell r="Q52">
            <v>3.3</v>
          </cell>
        </row>
        <row r="53">
          <cell r="A53" t="str">
            <v>37226-SM-2</v>
          </cell>
          <cell r="B53">
            <v>37226</v>
          </cell>
          <cell r="C53" t="str">
            <v>STD MSL 2</v>
          </cell>
          <cell r="D53" t="str">
            <v>SM-2</v>
          </cell>
          <cell r="E53">
            <v>1984</v>
          </cell>
          <cell r="F53" t="str">
            <v>DE</v>
          </cell>
          <cell r="G53">
            <v>8770.1</v>
          </cell>
          <cell r="H53">
            <v>11067.2</v>
          </cell>
          <cell r="I53">
            <v>13778</v>
          </cell>
          <cell r="J53">
            <v>-530.29999999999995</v>
          </cell>
          <cell r="K53">
            <v>-992.2</v>
          </cell>
          <cell r="L53">
            <v>-2113</v>
          </cell>
          <cell r="M53">
            <v>8239.7999999999993</v>
          </cell>
          <cell r="N53">
            <v>10075</v>
          </cell>
          <cell r="O53">
            <v>11665</v>
          </cell>
          <cell r="P53">
            <v>12.7</v>
          </cell>
          <cell r="Q53">
            <v>21.4</v>
          </cell>
        </row>
        <row r="54">
          <cell r="A54" t="str">
            <v>37226-T-45TS</v>
          </cell>
          <cell r="B54">
            <v>37226</v>
          </cell>
          <cell r="C54" t="str">
            <v>T-45TS</v>
          </cell>
          <cell r="D54" t="str">
            <v>T-45TS</v>
          </cell>
          <cell r="E54">
            <v>1995</v>
          </cell>
          <cell r="F54" t="str">
            <v>PdE</v>
          </cell>
          <cell r="G54">
            <v>5528.1</v>
          </cell>
          <cell r="H54">
            <v>5599.5</v>
          </cell>
          <cell r="I54">
            <v>176</v>
          </cell>
          <cell r="J54">
            <v>176.1</v>
          </cell>
          <cell r="K54">
            <v>-29.9</v>
          </cell>
          <cell r="L54">
            <v>7</v>
          </cell>
          <cell r="M54">
            <v>5704.2</v>
          </cell>
          <cell r="N54">
            <v>5569.6</v>
          </cell>
          <cell r="O54">
            <v>183</v>
          </cell>
          <cell r="P54">
            <v>1</v>
          </cell>
          <cell r="Q54">
            <v>-1.7</v>
          </cell>
        </row>
        <row r="55">
          <cell r="A55" t="str">
            <v>37226-T-AKE</v>
          </cell>
          <cell r="B55">
            <v>37226</v>
          </cell>
          <cell r="C55" t="str">
            <v>T-AKE</v>
          </cell>
          <cell r="D55" t="str">
            <v>T-AKE</v>
          </cell>
          <cell r="E55">
            <v>2000</v>
          </cell>
          <cell r="G55">
            <v>4262.6000000000004</v>
          </cell>
          <cell r="H55">
            <v>4890.2</v>
          </cell>
          <cell r="I55">
            <v>12</v>
          </cell>
          <cell r="J55">
            <v>37.6</v>
          </cell>
          <cell r="K55">
            <v>15.4</v>
          </cell>
          <cell r="L55" t="str">
            <v>-</v>
          </cell>
          <cell r="M55">
            <v>4300.2</v>
          </cell>
          <cell r="N55">
            <v>4905.6000000000004</v>
          </cell>
          <cell r="O55">
            <v>12</v>
          </cell>
          <cell r="P55">
            <v>0.9</v>
          </cell>
          <cell r="Q55">
            <v>0.3</v>
          </cell>
        </row>
        <row r="56">
          <cell r="A56" t="str">
            <v>37226-TACTICAL TOMAHAWK</v>
          </cell>
          <cell r="B56">
            <v>37226</v>
          </cell>
          <cell r="C56" t="str">
            <v>TACTICAL TOMAHAWK</v>
          </cell>
          <cell r="D56" t="str">
            <v>TACTICAL TOMAHAWK</v>
          </cell>
          <cell r="E56">
            <v>1999</v>
          </cell>
          <cell r="F56" t="str">
            <v>DE</v>
          </cell>
          <cell r="G56">
            <v>1683.7</v>
          </cell>
          <cell r="H56">
            <v>1863.4</v>
          </cell>
          <cell r="I56">
            <v>1365</v>
          </cell>
          <cell r="J56">
            <v>313.10000000000002</v>
          </cell>
          <cell r="K56">
            <v>306.5</v>
          </cell>
          <cell r="L56">
            <v>360</v>
          </cell>
          <cell r="M56">
            <v>1996.8</v>
          </cell>
          <cell r="N56">
            <v>2169.9</v>
          </cell>
          <cell r="O56">
            <v>1725</v>
          </cell>
          <cell r="P56">
            <v>5.7</v>
          </cell>
          <cell r="Q56">
            <v>3.3</v>
          </cell>
        </row>
        <row r="57">
          <cell r="A57" t="str">
            <v>37226-TRIDENT II</v>
          </cell>
          <cell r="B57">
            <v>37226</v>
          </cell>
          <cell r="C57" t="str">
            <v>TRIDENT II MSL</v>
          </cell>
          <cell r="D57" t="str">
            <v>TRIDENT II</v>
          </cell>
          <cell r="E57">
            <v>1983</v>
          </cell>
          <cell r="F57" t="str">
            <v>PdE</v>
          </cell>
          <cell r="G57">
            <v>26556.3</v>
          </cell>
          <cell r="H57">
            <v>35518.5</v>
          </cell>
          <cell r="I57">
            <v>845</v>
          </cell>
          <cell r="J57">
            <v>-612.6</v>
          </cell>
          <cell r="K57">
            <v>2025.4</v>
          </cell>
          <cell r="L57">
            <v>-277</v>
          </cell>
          <cell r="M57">
            <v>25943.7</v>
          </cell>
          <cell r="N57">
            <v>37543.9</v>
          </cell>
          <cell r="O57">
            <v>568</v>
          </cell>
          <cell r="P57">
            <v>14.3</v>
          </cell>
          <cell r="Q57">
            <v>29.3</v>
          </cell>
        </row>
        <row r="58">
          <cell r="A58" t="str">
            <v>37226-H-1 Upgrades</v>
          </cell>
          <cell r="B58">
            <v>37226</v>
          </cell>
          <cell r="C58" t="str">
            <v>USMC H-1 UPGRADES</v>
          </cell>
          <cell r="D58" t="str">
            <v>H-1 Upgrades</v>
          </cell>
          <cell r="E58">
            <v>1996</v>
          </cell>
          <cell r="F58" t="str">
            <v>DE</v>
          </cell>
          <cell r="G58">
            <v>2792.5</v>
          </cell>
          <cell r="H58">
            <v>3547.5</v>
          </cell>
          <cell r="I58">
            <v>284</v>
          </cell>
          <cell r="J58">
            <v>2350.6999999999998</v>
          </cell>
          <cell r="K58">
            <v>2687.1</v>
          </cell>
          <cell r="L58" t="str">
            <v>-</v>
          </cell>
          <cell r="M58">
            <v>5143.2</v>
          </cell>
          <cell r="N58">
            <v>6234.6</v>
          </cell>
          <cell r="O58">
            <v>284</v>
          </cell>
          <cell r="P58">
            <v>84.2</v>
          </cell>
          <cell r="Q58">
            <v>75.7</v>
          </cell>
        </row>
        <row r="59">
          <cell r="A59" t="str">
            <v>37226-V-22</v>
          </cell>
          <cell r="B59">
            <v>37226</v>
          </cell>
          <cell r="C59" t="str">
            <v>V-22</v>
          </cell>
          <cell r="D59" t="str">
            <v>V-22</v>
          </cell>
          <cell r="E59">
            <v>1986</v>
          </cell>
          <cell r="F59" t="str">
            <v>DE</v>
          </cell>
          <cell r="G59">
            <v>23073</v>
          </cell>
          <cell r="H59">
            <v>29662.3</v>
          </cell>
          <cell r="I59">
            <v>913</v>
          </cell>
          <cell r="J59">
            <v>6431.7</v>
          </cell>
          <cell r="K59">
            <v>16578.5</v>
          </cell>
          <cell r="L59">
            <v>-455</v>
          </cell>
          <cell r="M59">
            <v>29504.7</v>
          </cell>
          <cell r="N59">
            <v>46240.800000000003</v>
          </cell>
          <cell r="O59">
            <v>458</v>
          </cell>
          <cell r="P59">
            <v>30.5</v>
          </cell>
          <cell r="Q59">
            <v>11.5</v>
          </cell>
        </row>
        <row r="60">
          <cell r="A60" t="str">
            <v>37226-Navy Subtotal</v>
          </cell>
          <cell r="B60">
            <v>37226</v>
          </cell>
          <cell r="C60" t="str">
            <v>Navy Subtotal</v>
          </cell>
          <cell r="D60" t="str">
            <v>Navy Subtotal</v>
          </cell>
          <cell r="G60">
            <v>236894.3</v>
          </cell>
          <cell r="H60">
            <v>304792.2</v>
          </cell>
          <cell r="J60">
            <v>78374.899999999994</v>
          </cell>
          <cell r="K60">
            <v>95050.7</v>
          </cell>
          <cell r="M60">
            <v>315269.2</v>
          </cell>
          <cell r="N60">
            <v>399842.9</v>
          </cell>
          <cell r="P60">
            <v>19.5</v>
          </cell>
          <cell r="Q60">
            <v>9.6999999999999993</v>
          </cell>
        </row>
        <row r="62">
          <cell r="C62" t="str">
            <v>AIR FORCE</v>
          </cell>
        </row>
        <row r="63">
          <cell r="A63" t="str">
            <v>37226-AEHF</v>
          </cell>
          <cell r="B63">
            <v>37226</v>
          </cell>
          <cell r="C63" t="str">
            <v>AEHF</v>
          </cell>
          <cell r="D63" t="str">
            <v>AEHF</v>
          </cell>
          <cell r="E63">
            <v>2002</v>
          </cell>
          <cell r="F63" t="str">
            <v>PE/DE</v>
          </cell>
          <cell r="G63">
            <v>3798.1</v>
          </cell>
          <cell r="H63">
            <v>4071</v>
          </cell>
          <cell r="I63">
            <v>2</v>
          </cell>
          <cell r="J63">
            <v>1451.2</v>
          </cell>
          <cell r="K63">
            <v>1490.3</v>
          </cell>
          <cell r="L63">
            <v>3</v>
          </cell>
          <cell r="M63">
            <v>5249.3</v>
          </cell>
          <cell r="N63">
            <v>5561.3</v>
          </cell>
          <cell r="O63">
            <v>5</v>
          </cell>
          <cell r="P63">
            <v>38.200000000000003</v>
          </cell>
          <cell r="Q63">
            <v>36.6</v>
          </cell>
        </row>
        <row r="64">
          <cell r="A64" t="str">
            <v>37226-AMRAAM</v>
          </cell>
          <cell r="B64">
            <v>37226</v>
          </cell>
          <cell r="C64" t="str">
            <v>AMRAAM</v>
          </cell>
          <cell r="D64" t="str">
            <v>AMRAAM</v>
          </cell>
          <cell r="E64">
            <v>1992</v>
          </cell>
          <cell r="F64" t="str">
            <v>PdE</v>
          </cell>
          <cell r="G64">
            <v>12278.2</v>
          </cell>
          <cell r="H64">
            <v>13112.4</v>
          </cell>
          <cell r="I64">
            <v>15450</v>
          </cell>
          <cell r="J64">
            <v>-2005.5</v>
          </cell>
          <cell r="K64">
            <v>-2728.2</v>
          </cell>
          <cell r="L64">
            <v>-4533</v>
          </cell>
          <cell r="M64">
            <v>10272.700000000001</v>
          </cell>
          <cell r="N64">
            <v>10384.200000000001</v>
          </cell>
          <cell r="O64">
            <v>10917</v>
          </cell>
          <cell r="P64">
            <v>-0.4</v>
          </cell>
          <cell r="Q64">
            <v>2.5</v>
          </cell>
        </row>
        <row r="65">
          <cell r="A65" t="str">
            <v>37226-AWACS Upgrade</v>
          </cell>
          <cell r="B65">
            <v>37226</v>
          </cell>
          <cell r="C65" t="str">
            <v>AWACS RSIP (E-3)</v>
          </cell>
          <cell r="D65" t="str">
            <v>AWACS Upgrade</v>
          </cell>
          <cell r="E65">
            <v>1997</v>
          </cell>
          <cell r="F65" t="str">
            <v>PdE</v>
          </cell>
          <cell r="G65">
            <v>890.1</v>
          </cell>
          <cell r="H65">
            <v>891.3</v>
          </cell>
          <cell r="I65">
            <v>32</v>
          </cell>
          <cell r="J65">
            <v>126.1</v>
          </cell>
          <cell r="K65">
            <v>115</v>
          </cell>
          <cell r="L65" t="str">
            <v>-</v>
          </cell>
          <cell r="M65">
            <v>1016.2</v>
          </cell>
          <cell r="N65">
            <v>1006.3</v>
          </cell>
          <cell r="O65">
            <v>32</v>
          </cell>
          <cell r="P65">
            <v>14.2</v>
          </cell>
          <cell r="Q65">
            <v>12.9</v>
          </cell>
        </row>
        <row r="66">
          <cell r="A66" t="e">
            <v>#N/A</v>
          </cell>
          <cell r="B66">
            <v>37226</v>
          </cell>
          <cell r="C66" t="str">
            <v>B-1 CMUP</v>
          </cell>
          <cell r="D66" t="e">
            <v>#N/A</v>
          </cell>
          <cell r="E66">
            <v>1995</v>
          </cell>
          <cell r="F66" t="str">
            <v>DE</v>
          </cell>
          <cell r="G66">
            <v>334.4</v>
          </cell>
          <cell r="H66">
            <v>1115.2</v>
          </cell>
          <cell r="I66">
            <v>198</v>
          </cell>
          <cell r="J66">
            <v>477.9</v>
          </cell>
          <cell r="K66">
            <v>448.7</v>
          </cell>
          <cell r="L66">
            <v>-78</v>
          </cell>
          <cell r="M66">
            <v>812.3</v>
          </cell>
          <cell r="N66">
            <v>1563.9</v>
          </cell>
          <cell r="O66">
            <v>120</v>
          </cell>
          <cell r="P66">
            <v>401.7</v>
          </cell>
          <cell r="Q66">
            <v>73.900000000000006</v>
          </cell>
        </row>
        <row r="67">
          <cell r="A67" t="str">
            <v>37226-C-130J</v>
          </cell>
          <cell r="B67">
            <v>37226</v>
          </cell>
          <cell r="C67" t="str">
            <v>C-130J</v>
          </cell>
          <cell r="D67" t="str">
            <v>C-130J</v>
          </cell>
          <cell r="E67">
            <v>1996</v>
          </cell>
          <cell r="F67" t="str">
            <v>PdE</v>
          </cell>
          <cell r="G67">
            <v>730.7</v>
          </cell>
          <cell r="H67">
            <v>839.7</v>
          </cell>
          <cell r="I67">
            <v>11</v>
          </cell>
          <cell r="J67">
            <v>11890.9</v>
          </cell>
          <cell r="K67">
            <v>14831.5</v>
          </cell>
          <cell r="L67">
            <v>157</v>
          </cell>
          <cell r="M67">
            <v>12621.6</v>
          </cell>
          <cell r="N67">
            <v>15671.2</v>
          </cell>
          <cell r="O67">
            <v>168</v>
          </cell>
          <cell r="P67">
            <v>12.1</v>
          </cell>
          <cell r="Q67">
            <v>10</v>
          </cell>
        </row>
        <row r="68">
          <cell r="A68" t="str">
            <v>37226-C-17A</v>
          </cell>
          <cell r="B68">
            <v>37226</v>
          </cell>
          <cell r="C68" t="str">
            <v>C-17A</v>
          </cell>
          <cell r="D68" t="str">
            <v>C-17A</v>
          </cell>
          <cell r="E68">
            <v>1996</v>
          </cell>
          <cell r="F68" t="str">
            <v>PdE</v>
          </cell>
          <cell r="G68">
            <v>41250.9</v>
          </cell>
          <cell r="H68">
            <v>41811.9</v>
          </cell>
          <cell r="I68">
            <v>210</v>
          </cell>
          <cell r="J68">
            <v>14901</v>
          </cell>
          <cell r="K68">
            <v>17186.400000000001</v>
          </cell>
          <cell r="L68">
            <v>-30</v>
          </cell>
          <cell r="M68">
            <v>56151.9</v>
          </cell>
          <cell r="N68">
            <v>58998.3</v>
          </cell>
          <cell r="O68">
            <v>180</v>
          </cell>
          <cell r="P68">
            <v>44.9</v>
          </cell>
          <cell r="Q68">
            <v>54.9</v>
          </cell>
        </row>
        <row r="69">
          <cell r="A69" t="str">
            <v>37226-EELV</v>
          </cell>
          <cell r="B69">
            <v>37226</v>
          </cell>
          <cell r="C69" t="str">
            <v>EELV</v>
          </cell>
          <cell r="D69" t="str">
            <v>EELV</v>
          </cell>
          <cell r="E69">
            <v>1995</v>
          </cell>
          <cell r="F69" t="str">
            <v>DE</v>
          </cell>
          <cell r="G69">
            <v>13116.6</v>
          </cell>
          <cell r="H69">
            <v>17347.8</v>
          </cell>
          <cell r="I69">
            <v>181</v>
          </cell>
          <cell r="J69">
            <v>1118.3</v>
          </cell>
          <cell r="K69">
            <v>1037.3</v>
          </cell>
          <cell r="L69">
            <v>1</v>
          </cell>
          <cell r="M69">
            <v>14234.9</v>
          </cell>
          <cell r="N69">
            <v>18385.099999999999</v>
          </cell>
          <cell r="O69">
            <v>182</v>
          </cell>
          <cell r="P69">
            <v>7.5</v>
          </cell>
          <cell r="Q69">
            <v>5.0999999999999996</v>
          </cell>
        </row>
        <row r="70">
          <cell r="A70" t="str">
            <v>37226-F-22</v>
          </cell>
          <cell r="B70">
            <v>37226</v>
          </cell>
          <cell r="C70" t="str">
            <v>F-22</v>
          </cell>
          <cell r="D70" t="str">
            <v>F-22</v>
          </cell>
          <cell r="E70">
            <v>1990</v>
          </cell>
          <cell r="F70" t="str">
            <v>DE</v>
          </cell>
          <cell r="G70">
            <v>60270</v>
          </cell>
          <cell r="H70">
            <v>99109</v>
          </cell>
          <cell r="I70">
            <v>648</v>
          </cell>
          <cell r="J70">
            <v>-6140.8</v>
          </cell>
          <cell r="K70">
            <v>-29387.599999999999</v>
          </cell>
          <cell r="L70">
            <v>-307</v>
          </cell>
          <cell r="M70">
            <v>54129.2</v>
          </cell>
          <cell r="N70">
            <v>69721.399999999994</v>
          </cell>
          <cell r="O70">
            <v>341</v>
          </cell>
          <cell r="P70">
            <v>21.4</v>
          </cell>
          <cell r="Q70">
            <v>6.3</v>
          </cell>
        </row>
        <row r="71">
          <cell r="A71" t="str">
            <v>37226-GBS</v>
          </cell>
          <cell r="B71">
            <v>37226</v>
          </cell>
          <cell r="C71" t="str">
            <v>GBS</v>
          </cell>
          <cell r="D71" t="str">
            <v>GBS</v>
          </cell>
          <cell r="E71">
            <v>1997</v>
          </cell>
          <cell r="F71" t="str">
            <v>DE</v>
          </cell>
          <cell r="G71">
            <v>451.4</v>
          </cell>
          <cell r="H71">
            <v>497.1</v>
          </cell>
          <cell r="I71">
            <v>346</v>
          </cell>
          <cell r="J71">
            <v>147.69999999999999</v>
          </cell>
          <cell r="K71">
            <v>148.6</v>
          </cell>
          <cell r="L71">
            <v>402</v>
          </cell>
          <cell r="M71">
            <v>599.1</v>
          </cell>
          <cell r="N71">
            <v>645.70000000000005</v>
          </cell>
          <cell r="O71">
            <v>748</v>
          </cell>
          <cell r="P71">
            <v>1.2</v>
          </cell>
          <cell r="Q71">
            <v>-1.4</v>
          </cell>
        </row>
        <row r="72">
          <cell r="A72" t="str">
            <v>37226-RQ-4 GLOBAL HAWK</v>
          </cell>
          <cell r="B72">
            <v>37226</v>
          </cell>
          <cell r="C72" t="str">
            <v>GLOBAL HAWK</v>
          </cell>
          <cell r="D72" t="str">
            <v>RQ-4 GLOBAL HAWK</v>
          </cell>
          <cell r="E72">
            <v>2000</v>
          </cell>
          <cell r="F72" t="str">
            <v>DE</v>
          </cell>
          <cell r="G72">
            <v>4350.3</v>
          </cell>
          <cell r="H72">
            <v>5394</v>
          </cell>
          <cell r="I72">
            <v>63</v>
          </cell>
          <cell r="J72">
            <v>1626.5</v>
          </cell>
          <cell r="K72">
            <v>1452.6</v>
          </cell>
          <cell r="L72">
            <v>-12</v>
          </cell>
          <cell r="M72">
            <v>5976.8</v>
          </cell>
          <cell r="N72">
            <v>6846.6</v>
          </cell>
          <cell r="O72">
            <v>51</v>
          </cell>
          <cell r="P72">
            <v>53.4</v>
          </cell>
          <cell r="Q72">
            <v>44.3</v>
          </cell>
        </row>
        <row r="73">
          <cell r="A73" t="str">
            <v>37226-JASSM</v>
          </cell>
          <cell r="B73">
            <v>37226</v>
          </cell>
          <cell r="C73" t="str">
            <v>JASSM</v>
          </cell>
          <cell r="D73" t="str">
            <v>JASSM</v>
          </cell>
          <cell r="E73">
            <v>1995</v>
          </cell>
          <cell r="F73" t="str">
            <v>DE</v>
          </cell>
          <cell r="G73">
            <v>1749.5</v>
          </cell>
          <cell r="H73">
            <v>2073.3000000000002</v>
          </cell>
          <cell r="I73">
            <v>2469</v>
          </cell>
          <cell r="J73">
            <v>824.8</v>
          </cell>
          <cell r="K73">
            <v>1046.3</v>
          </cell>
          <cell r="L73">
            <v>1319</v>
          </cell>
          <cell r="M73">
            <v>2574.3000000000002</v>
          </cell>
          <cell r="N73">
            <v>3119.6</v>
          </cell>
          <cell r="O73">
            <v>3788</v>
          </cell>
          <cell r="P73">
            <v>14.3</v>
          </cell>
          <cell r="Q73">
            <v>11.3</v>
          </cell>
        </row>
        <row r="74">
          <cell r="A74" t="str">
            <v>37226-JDAM</v>
          </cell>
          <cell r="B74">
            <v>37226</v>
          </cell>
          <cell r="C74" t="str">
            <v>JDAM</v>
          </cell>
          <cell r="D74" t="str">
            <v>JDAM</v>
          </cell>
          <cell r="E74">
            <v>1995</v>
          </cell>
          <cell r="F74" t="str">
            <v>DE/PdE</v>
          </cell>
          <cell r="G74">
            <v>2580.9</v>
          </cell>
          <cell r="H74">
            <v>3392.3</v>
          </cell>
          <cell r="I74">
            <v>88126</v>
          </cell>
          <cell r="J74">
            <v>809.8</v>
          </cell>
          <cell r="K74">
            <v>473.1</v>
          </cell>
          <cell r="L74">
            <v>48623</v>
          </cell>
          <cell r="M74">
            <v>3390.7</v>
          </cell>
          <cell r="N74">
            <v>3865.4</v>
          </cell>
          <cell r="O74">
            <v>136749</v>
          </cell>
          <cell r="P74">
            <v>-4.4000000000000004</v>
          </cell>
          <cell r="Q74">
            <v>-15.2</v>
          </cell>
        </row>
        <row r="75">
          <cell r="A75" t="str">
            <v>37226-JPATS</v>
          </cell>
          <cell r="B75">
            <v>37226</v>
          </cell>
          <cell r="C75" t="str">
            <v>JPATS</v>
          </cell>
          <cell r="D75" t="str">
            <v>JPATS</v>
          </cell>
          <cell r="E75">
            <v>2002</v>
          </cell>
          <cell r="F75" t="str">
            <v>DE/PdE</v>
          </cell>
          <cell r="G75">
            <v>3086.8</v>
          </cell>
          <cell r="H75">
            <v>4050.6</v>
          </cell>
          <cell r="I75">
            <v>712</v>
          </cell>
          <cell r="J75">
            <v>1510.5</v>
          </cell>
          <cell r="K75">
            <v>976.1</v>
          </cell>
          <cell r="L75">
            <v>71</v>
          </cell>
          <cell r="M75">
            <v>4597.3</v>
          </cell>
          <cell r="N75">
            <v>5026.7</v>
          </cell>
          <cell r="O75">
            <v>783</v>
          </cell>
          <cell r="P75">
            <v>33.799999999999997</v>
          </cell>
          <cell r="Q75">
            <v>13.5</v>
          </cell>
        </row>
        <row r="76">
          <cell r="A76" t="str">
            <v>37226-E-8 JSTARS</v>
          </cell>
          <cell r="B76">
            <v>37226</v>
          </cell>
          <cell r="C76" t="str">
            <v>JSTARS</v>
          </cell>
          <cell r="D76" t="str">
            <v>E-8 JSTARS</v>
          </cell>
          <cell r="E76">
            <v>1998</v>
          </cell>
          <cell r="F76" t="str">
            <v>PdE</v>
          </cell>
          <cell r="G76">
            <v>9932.2999999999993</v>
          </cell>
          <cell r="H76">
            <v>9762.1</v>
          </cell>
          <cell r="I76">
            <v>20</v>
          </cell>
          <cell r="J76">
            <v>1.3</v>
          </cell>
          <cell r="K76">
            <v>-134.1</v>
          </cell>
          <cell r="L76">
            <v>-2</v>
          </cell>
          <cell r="M76">
            <v>9933.6</v>
          </cell>
          <cell r="N76">
            <v>9628</v>
          </cell>
          <cell r="O76">
            <v>18</v>
          </cell>
          <cell r="P76">
            <v>4.9000000000000004</v>
          </cell>
          <cell r="Q76">
            <v>5.2</v>
          </cell>
        </row>
        <row r="77">
          <cell r="A77" t="str">
            <v>37226-MINUTEMAN III GRP</v>
          </cell>
          <cell r="B77">
            <v>37226</v>
          </cell>
          <cell r="C77" t="str">
            <v>MINUTEMAN III GRP</v>
          </cell>
          <cell r="D77" t="str">
            <v>MINUTEMAN III GRP</v>
          </cell>
          <cell r="E77">
            <v>1993</v>
          </cell>
          <cell r="F77" t="str">
            <v>DE/PdE</v>
          </cell>
          <cell r="G77">
            <v>1463.6</v>
          </cell>
          <cell r="H77">
            <v>1636.2</v>
          </cell>
          <cell r="I77">
            <v>652</v>
          </cell>
          <cell r="J77">
            <v>670.2</v>
          </cell>
          <cell r="K77">
            <v>836.7</v>
          </cell>
          <cell r="L77">
            <v>-30</v>
          </cell>
          <cell r="M77">
            <v>2133.8000000000002</v>
          </cell>
          <cell r="N77">
            <v>2472.9</v>
          </cell>
          <cell r="O77">
            <v>622</v>
          </cell>
          <cell r="P77">
            <v>52.7</v>
          </cell>
          <cell r="Q77">
            <v>58.7</v>
          </cell>
        </row>
        <row r="78">
          <cell r="A78" t="str">
            <v>37226-MINUTEMAN III PRP</v>
          </cell>
          <cell r="B78">
            <v>37226</v>
          </cell>
          <cell r="C78" t="str">
            <v>MINUTEMAN III PRP</v>
          </cell>
          <cell r="D78" t="str">
            <v>MINUTEMAN III PRP</v>
          </cell>
          <cell r="E78">
            <v>1994</v>
          </cell>
          <cell r="F78" t="str">
            <v>PdE</v>
          </cell>
          <cell r="G78">
            <v>2086.8000000000002</v>
          </cell>
          <cell r="H78">
            <v>2600.8000000000002</v>
          </cell>
          <cell r="I78">
            <v>607</v>
          </cell>
          <cell r="J78">
            <v>-147.5</v>
          </cell>
          <cell r="K78">
            <v>-329.3</v>
          </cell>
          <cell r="L78">
            <v>-1</v>
          </cell>
          <cell r="M78">
            <v>1939.3</v>
          </cell>
          <cell r="N78">
            <v>2271.5</v>
          </cell>
          <cell r="O78">
            <v>606</v>
          </cell>
          <cell r="P78">
            <v>-7</v>
          </cell>
          <cell r="Q78">
            <v>-12.6</v>
          </cell>
        </row>
        <row r="79">
          <cell r="A79" t="str">
            <v>37226-NAS</v>
          </cell>
          <cell r="B79">
            <v>37226</v>
          </cell>
          <cell r="C79" t="str">
            <v>NAS</v>
          </cell>
          <cell r="D79" t="str">
            <v>NAS</v>
          </cell>
          <cell r="E79">
            <v>1990</v>
          </cell>
          <cell r="F79" t="str">
            <v>DE</v>
          </cell>
          <cell r="G79">
            <v>573.29999999999995</v>
          </cell>
          <cell r="H79">
            <v>791.1</v>
          </cell>
          <cell r="I79">
            <v>53</v>
          </cell>
          <cell r="J79">
            <v>257</v>
          </cell>
          <cell r="K79">
            <v>321.60000000000002</v>
          </cell>
          <cell r="L79">
            <v>37</v>
          </cell>
          <cell r="M79">
            <v>830.3</v>
          </cell>
          <cell r="N79">
            <v>1112.7</v>
          </cell>
          <cell r="O79">
            <v>90</v>
          </cell>
          <cell r="P79">
            <v>6.3</v>
          </cell>
          <cell r="Q79">
            <v>3.2</v>
          </cell>
        </row>
        <row r="80">
          <cell r="A80" t="str">
            <v>37226-NAVSTAR GPS</v>
          </cell>
          <cell r="B80">
            <v>37226</v>
          </cell>
          <cell r="C80" t="str">
            <v>NAVSTAR GPS</v>
          </cell>
          <cell r="D80" t="str">
            <v>NAVSTAR GPS</v>
          </cell>
          <cell r="E80">
            <v>1979</v>
          </cell>
          <cell r="F80" t="str">
            <v>PdE</v>
          </cell>
          <cell r="G80">
            <v>9967.7000000000007</v>
          </cell>
          <cell r="H80">
            <v>13177.8</v>
          </cell>
          <cell r="I80">
            <v>27412</v>
          </cell>
          <cell r="J80">
            <v>319.60000000000002</v>
          </cell>
          <cell r="K80">
            <v>1117.2</v>
          </cell>
          <cell r="L80">
            <v>226253</v>
          </cell>
          <cell r="M80">
            <v>10287.299999999999</v>
          </cell>
          <cell r="N80">
            <v>14295</v>
          </cell>
          <cell r="O80">
            <v>253665</v>
          </cell>
          <cell r="P80">
            <v>-4.5</v>
          </cell>
          <cell r="Q80">
            <v>-11.2</v>
          </cell>
        </row>
        <row r="81">
          <cell r="A81" t="str">
            <v>37226-NPOESS</v>
          </cell>
          <cell r="B81">
            <v>37226</v>
          </cell>
          <cell r="C81" t="str">
            <v>NPOESS (RDT&amp;E)</v>
          </cell>
          <cell r="D81" t="str">
            <v>NPOESS</v>
          </cell>
          <cell r="E81">
            <v>1996</v>
          </cell>
          <cell r="F81" t="str">
            <v>PE</v>
          </cell>
          <cell r="G81">
            <v>4314.2</v>
          </cell>
          <cell r="H81">
            <v>5329</v>
          </cell>
          <cell r="I81">
            <v>5</v>
          </cell>
          <cell r="J81">
            <v>239.8</v>
          </cell>
          <cell r="K81">
            <v>37.5</v>
          </cell>
          <cell r="L81">
            <v>1</v>
          </cell>
          <cell r="M81">
            <v>4554</v>
          </cell>
          <cell r="N81">
            <v>5366.5</v>
          </cell>
          <cell r="O81">
            <v>6</v>
          </cell>
          <cell r="P81">
            <v>1.1000000000000001</v>
          </cell>
          <cell r="Q81">
            <v>-3.6</v>
          </cell>
        </row>
        <row r="82">
          <cell r="A82" t="str">
            <v>37226-SBIRS</v>
          </cell>
          <cell r="B82">
            <v>37226</v>
          </cell>
          <cell r="C82" t="str">
            <v>SBIRS (High)</v>
          </cell>
          <cell r="D82" t="str">
            <v>SBIRS</v>
          </cell>
          <cell r="E82">
            <v>1995</v>
          </cell>
          <cell r="F82" t="str">
            <v>DE</v>
          </cell>
          <cell r="G82">
            <v>3679.5</v>
          </cell>
          <cell r="H82">
            <v>4147.3</v>
          </cell>
          <cell r="I82">
            <v>5</v>
          </cell>
          <cell r="J82">
            <v>2257.4</v>
          </cell>
          <cell r="K82">
            <v>2596.1999999999998</v>
          </cell>
          <cell r="L82" t="str">
            <v>-</v>
          </cell>
          <cell r="M82">
            <v>5936.9</v>
          </cell>
          <cell r="N82">
            <v>6743.5</v>
          </cell>
          <cell r="O82">
            <v>5</v>
          </cell>
          <cell r="P82">
            <v>60.2</v>
          </cell>
          <cell r="Q82">
            <v>61.5</v>
          </cell>
        </row>
        <row r="83">
          <cell r="A83" t="e">
            <v>#N/A</v>
          </cell>
          <cell r="B83">
            <v>37226</v>
          </cell>
          <cell r="C83" t="str">
            <v>TITAN IV</v>
          </cell>
          <cell r="D83" t="e">
            <v>#N/A</v>
          </cell>
          <cell r="E83">
            <v>1985</v>
          </cell>
          <cell r="F83" t="str">
            <v>DE</v>
          </cell>
          <cell r="G83">
            <v>2150.5</v>
          </cell>
          <cell r="H83">
            <v>2529.1999999999998</v>
          </cell>
          <cell r="I83">
            <v>10</v>
          </cell>
          <cell r="J83">
            <v>11429.8</v>
          </cell>
          <cell r="K83">
            <v>14955.4</v>
          </cell>
          <cell r="L83">
            <v>29</v>
          </cell>
          <cell r="M83">
            <v>13580.3</v>
          </cell>
          <cell r="N83">
            <v>17484.599999999999</v>
          </cell>
          <cell r="O83">
            <v>39</v>
          </cell>
          <cell r="P83">
            <v>227.1</v>
          </cell>
          <cell r="Q83">
            <v>439.8</v>
          </cell>
        </row>
        <row r="84">
          <cell r="A84" t="str">
            <v>37226-WGS</v>
          </cell>
          <cell r="B84">
            <v>37226</v>
          </cell>
          <cell r="C84" t="str">
            <v>WIDEBAND GAP FILLER</v>
          </cell>
          <cell r="D84" t="str">
            <v>WGS</v>
          </cell>
          <cell r="E84">
            <v>2001</v>
          </cell>
          <cell r="F84" t="str">
            <v>PdE</v>
          </cell>
          <cell r="G84">
            <v>980.4</v>
          </cell>
          <cell r="H84">
            <v>1042.5</v>
          </cell>
          <cell r="I84">
            <v>3</v>
          </cell>
          <cell r="J84">
            <v>-137.69999999999999</v>
          </cell>
          <cell r="K84">
            <v>-165.6</v>
          </cell>
          <cell r="L84" t="str">
            <v>-</v>
          </cell>
          <cell r="M84">
            <v>842.7</v>
          </cell>
          <cell r="N84">
            <v>876.9</v>
          </cell>
          <cell r="O84">
            <v>3</v>
          </cell>
          <cell r="P84">
            <v>-14</v>
          </cell>
          <cell r="Q84">
            <v>-15.9</v>
          </cell>
        </row>
        <row r="85">
          <cell r="A85" t="str">
            <v>37226-Air Force Subtotal</v>
          </cell>
          <cell r="B85">
            <v>37226</v>
          </cell>
          <cell r="C85" t="str">
            <v>Air Force Subtotal</v>
          </cell>
          <cell r="D85" t="str">
            <v>Air Force Subtotal</v>
          </cell>
          <cell r="G85">
            <v>180036.2</v>
          </cell>
          <cell r="H85">
            <v>234721.6</v>
          </cell>
          <cell r="J85">
            <v>41628.300000000003</v>
          </cell>
          <cell r="K85">
            <v>26325.7</v>
          </cell>
          <cell r="M85">
            <v>221664.5</v>
          </cell>
          <cell r="N85">
            <v>261047.3</v>
          </cell>
          <cell r="P85">
            <v>26.9</v>
          </cell>
          <cell r="Q85">
            <v>20</v>
          </cell>
        </row>
        <row r="87">
          <cell r="C87" t="str">
            <v>DoD</v>
          </cell>
        </row>
        <row r="88">
          <cell r="A88" t="e">
            <v>#N/A</v>
          </cell>
          <cell r="B88">
            <v>37226</v>
          </cell>
          <cell r="C88" t="str">
            <v>CHEM DEMIL</v>
          </cell>
          <cell r="D88" t="e">
            <v>#N/A</v>
          </cell>
          <cell r="E88">
            <v>1994</v>
          </cell>
          <cell r="F88" t="str">
            <v>PdE</v>
          </cell>
          <cell r="G88">
            <v>13471.1</v>
          </cell>
          <cell r="H88">
            <v>15310.3</v>
          </cell>
          <cell r="I88">
            <v>15</v>
          </cell>
          <cell r="J88">
            <v>6823.7</v>
          </cell>
          <cell r="K88">
            <v>8391.7000000000007</v>
          </cell>
          <cell r="L88" t="str">
            <v>-</v>
          </cell>
          <cell r="M88">
            <v>20294.8</v>
          </cell>
          <cell r="N88">
            <v>23702</v>
          </cell>
          <cell r="O88">
            <v>15</v>
          </cell>
          <cell r="P88">
            <v>50.7</v>
          </cell>
          <cell r="Q88">
            <v>54.8</v>
          </cell>
        </row>
        <row r="89">
          <cell r="A89" t="str">
            <v>37226-F-35</v>
          </cell>
          <cell r="B89">
            <v>37226</v>
          </cell>
          <cell r="C89" t="str">
            <v>JSF</v>
          </cell>
          <cell r="D89" t="str">
            <v>F-35</v>
          </cell>
          <cell r="E89">
            <v>2002</v>
          </cell>
          <cell r="F89" t="str">
            <v>PE/DE</v>
          </cell>
          <cell r="G89">
            <v>64659.8</v>
          </cell>
          <cell r="H89">
            <v>221400</v>
          </cell>
          <cell r="I89" t="str">
            <v>-</v>
          </cell>
          <cell r="J89">
            <v>12870.8</v>
          </cell>
          <cell r="K89">
            <v>5058.3</v>
          </cell>
          <cell r="L89">
            <v>2866</v>
          </cell>
          <cell r="M89">
            <v>177530.6</v>
          </cell>
          <cell r="N89">
            <v>226458.3</v>
          </cell>
          <cell r="O89">
            <v>2866</v>
          </cell>
          <cell r="P89">
            <v>7.8</v>
          </cell>
          <cell r="Q89">
            <v>2.2999999999999998</v>
          </cell>
        </row>
        <row r="90">
          <cell r="A90" t="str">
            <v>37226-JSIMS</v>
          </cell>
          <cell r="B90">
            <v>37226</v>
          </cell>
          <cell r="C90" t="str">
            <v>JSIMS</v>
          </cell>
          <cell r="D90" t="str">
            <v>JSIMS</v>
          </cell>
          <cell r="E90">
            <v>2001</v>
          </cell>
          <cell r="F90" t="str">
            <v>DE</v>
          </cell>
          <cell r="G90">
            <v>1281.5999999999999</v>
          </cell>
          <cell r="H90">
            <v>1316.7</v>
          </cell>
          <cell r="I90">
            <v>1</v>
          </cell>
          <cell r="J90">
            <v>-21.7</v>
          </cell>
          <cell r="K90">
            <v>-23.4</v>
          </cell>
          <cell r="L90" t="str">
            <v>-</v>
          </cell>
          <cell r="M90">
            <v>1259.9000000000001</v>
          </cell>
          <cell r="N90">
            <v>1293.3</v>
          </cell>
          <cell r="O90">
            <v>1</v>
          </cell>
          <cell r="P90">
            <v>-1.7</v>
          </cell>
          <cell r="Q90">
            <v>-1.8</v>
          </cell>
        </row>
        <row r="91">
          <cell r="A91" t="str">
            <v>37226-DoD Subtotal</v>
          </cell>
          <cell r="B91">
            <v>37226</v>
          </cell>
          <cell r="C91" t="str">
            <v>DoD Subtotal</v>
          </cell>
          <cell r="D91" t="str">
            <v>DoD Subtotal</v>
          </cell>
          <cell r="G91">
            <v>179412.5</v>
          </cell>
          <cell r="H91">
            <v>238027</v>
          </cell>
          <cell r="J91">
            <v>19672.8</v>
          </cell>
          <cell r="K91">
            <v>13426.6</v>
          </cell>
          <cell r="M91">
            <v>199085.3</v>
          </cell>
          <cell r="N91">
            <v>251453.6</v>
          </cell>
          <cell r="P91">
            <v>10.9</v>
          </cell>
          <cell r="Q91">
            <v>5.3</v>
          </cell>
        </row>
        <row r="92">
          <cell r="A92" t="str">
            <v>37226-Grand Total</v>
          </cell>
          <cell r="B92">
            <v>37226</v>
          </cell>
          <cell r="C92" t="str">
            <v>Grand Total</v>
          </cell>
          <cell r="D92" t="str">
            <v>Grand Total</v>
          </cell>
          <cell r="G92">
            <v>700576.8</v>
          </cell>
          <cell r="H92">
            <v>908641.5</v>
          </cell>
          <cell r="J92">
            <v>162504.9</v>
          </cell>
          <cell r="K92">
            <v>156402.9</v>
          </cell>
          <cell r="M92">
            <v>863081.7</v>
          </cell>
          <cell r="N92">
            <v>1065044.3999999999</v>
          </cell>
          <cell r="P92">
            <v>19.3</v>
          </cell>
          <cell r="Q92">
            <v>11.4</v>
          </cell>
        </row>
        <row r="98">
          <cell r="C98" t="str">
            <v>ARMY</v>
          </cell>
        </row>
        <row r="99">
          <cell r="A99" t="str">
            <v>37591-M1A2 ABRAMS UPGRADE</v>
          </cell>
          <cell r="B99">
            <v>37591</v>
          </cell>
          <cell r="C99" t="str">
            <v>ABRAMS UPGRADE</v>
          </cell>
          <cell r="D99" t="str">
            <v>M1A2 ABRAMS UPGRADE</v>
          </cell>
          <cell r="E99">
            <v>1995</v>
          </cell>
          <cell r="F99" t="str">
            <v>PdE</v>
          </cell>
          <cell r="G99">
            <v>6991.9</v>
          </cell>
          <cell r="H99">
            <v>7961.9</v>
          </cell>
          <cell r="I99">
            <v>1060</v>
          </cell>
          <cell r="J99">
            <v>141</v>
          </cell>
          <cell r="K99">
            <v>-525.9</v>
          </cell>
          <cell r="L99">
            <v>95</v>
          </cell>
          <cell r="M99">
            <v>7132.9</v>
          </cell>
          <cell r="N99">
            <v>7436</v>
          </cell>
          <cell r="O99">
            <v>1155</v>
          </cell>
          <cell r="P99">
            <v>25.8</v>
          </cell>
          <cell r="Q99">
            <v>21.6</v>
          </cell>
        </row>
        <row r="100">
          <cell r="A100" t="str">
            <v>37591-ATACMS-BAT</v>
          </cell>
          <cell r="B100">
            <v>37591</v>
          </cell>
          <cell r="C100" t="str">
            <v>ATACMS-BAT</v>
          </cell>
          <cell r="D100" t="str">
            <v>ATACMS-BAT</v>
          </cell>
          <cell r="E100">
            <v>1991</v>
          </cell>
          <cell r="F100" t="str">
            <v>DE</v>
          </cell>
          <cell r="G100">
            <v>3867.7</v>
          </cell>
          <cell r="H100">
            <v>5287.7</v>
          </cell>
          <cell r="I100">
            <v>32799</v>
          </cell>
          <cell r="J100">
            <v>-1707</v>
          </cell>
          <cell r="K100">
            <v>-2857.5</v>
          </cell>
          <cell r="L100">
            <v>-31337</v>
          </cell>
          <cell r="M100">
            <v>2160.6999999999998</v>
          </cell>
          <cell r="N100">
            <v>2430.1999999999998</v>
          </cell>
          <cell r="O100">
            <v>1462</v>
          </cell>
          <cell r="P100">
            <v>29.1</v>
          </cell>
          <cell r="Q100">
            <v>65.400000000000006</v>
          </cell>
        </row>
        <row r="101">
          <cell r="A101" t="str">
            <v>37591-ATIRCM/CMWS</v>
          </cell>
          <cell r="B101">
            <v>37591</v>
          </cell>
          <cell r="C101" t="str">
            <v>ATIRCM/CMWS</v>
          </cell>
          <cell r="D101" t="str">
            <v>ATIRCM/CMWS</v>
          </cell>
          <cell r="E101">
            <v>1996</v>
          </cell>
          <cell r="F101" t="str">
            <v>DE</v>
          </cell>
          <cell r="G101">
            <v>2628.4</v>
          </cell>
          <cell r="H101">
            <v>3361.6</v>
          </cell>
          <cell r="I101">
            <v>3094</v>
          </cell>
          <cell r="J101">
            <v>366.5</v>
          </cell>
          <cell r="K101">
            <v>541.9</v>
          </cell>
          <cell r="L101">
            <v>-390</v>
          </cell>
          <cell r="M101">
            <v>2994.9</v>
          </cell>
          <cell r="N101">
            <v>3903.5</v>
          </cell>
          <cell r="O101">
            <v>2704</v>
          </cell>
          <cell r="P101">
            <v>50.2</v>
          </cell>
          <cell r="Q101">
            <v>63.6</v>
          </cell>
        </row>
        <row r="102">
          <cell r="A102" t="str">
            <v>37591-UH-60M Black Hawk Upgrade</v>
          </cell>
          <cell r="B102">
            <v>37591</v>
          </cell>
          <cell r="C102" t="str">
            <v>BLACK HAWK UPGRADE</v>
          </cell>
          <cell r="D102" t="str">
            <v>UH-60M Black Hawk Upgrade</v>
          </cell>
          <cell r="E102">
            <v>2001</v>
          </cell>
          <cell r="F102" t="str">
            <v>DE</v>
          </cell>
          <cell r="G102">
            <v>10663</v>
          </cell>
          <cell r="H102">
            <v>14662</v>
          </cell>
          <cell r="I102">
            <v>1221</v>
          </cell>
          <cell r="J102">
            <v>614</v>
          </cell>
          <cell r="K102">
            <v>-324.2</v>
          </cell>
          <cell r="L102" t="str">
            <v>-</v>
          </cell>
          <cell r="M102">
            <v>11277</v>
          </cell>
          <cell r="N102">
            <v>14337.8</v>
          </cell>
          <cell r="O102">
            <v>1221</v>
          </cell>
          <cell r="P102">
            <v>5.8</v>
          </cell>
          <cell r="Q102">
            <v>-2.2000000000000002</v>
          </cell>
        </row>
        <row r="103">
          <cell r="A103" t="str">
            <v>37591-BRADLEY UPGRADE</v>
          </cell>
          <cell r="B103">
            <v>37591</v>
          </cell>
          <cell r="C103" t="str">
            <v>BRADLEY UPGRADE</v>
          </cell>
          <cell r="D103" t="str">
            <v>BRADLEY UPGRADE</v>
          </cell>
          <cell r="E103">
            <v>2001</v>
          </cell>
          <cell r="F103" t="str">
            <v>PdE</v>
          </cell>
          <cell r="G103">
            <v>3724.2</v>
          </cell>
          <cell r="H103">
            <v>3859.8</v>
          </cell>
          <cell r="I103">
            <v>926</v>
          </cell>
          <cell r="J103">
            <v>-945.2</v>
          </cell>
          <cell r="K103">
            <v>-1077</v>
          </cell>
          <cell r="L103">
            <v>-331</v>
          </cell>
          <cell r="M103">
            <v>2779</v>
          </cell>
          <cell r="N103">
            <v>2782.8</v>
          </cell>
          <cell r="O103">
            <v>595</v>
          </cell>
          <cell r="P103">
            <v>-1.2</v>
          </cell>
          <cell r="Q103">
            <v>-2</v>
          </cell>
        </row>
        <row r="104">
          <cell r="A104" t="str">
            <v>37591-CH-47F</v>
          </cell>
          <cell r="B104">
            <v>37591</v>
          </cell>
          <cell r="C104" t="str">
            <v>CH-47F</v>
          </cell>
          <cell r="D104" t="str">
            <v>CH-47F</v>
          </cell>
          <cell r="E104">
            <v>1997</v>
          </cell>
          <cell r="F104" t="str">
            <v>DE</v>
          </cell>
          <cell r="G104">
            <v>2523.6</v>
          </cell>
          <cell r="H104">
            <v>3115.4</v>
          </cell>
          <cell r="I104">
            <v>302</v>
          </cell>
          <cell r="J104">
            <v>3193</v>
          </cell>
          <cell r="K104">
            <v>4061.3</v>
          </cell>
          <cell r="L104">
            <v>37</v>
          </cell>
          <cell r="M104">
            <v>5716.6</v>
          </cell>
          <cell r="N104">
            <v>7176.7</v>
          </cell>
          <cell r="O104">
            <v>339</v>
          </cell>
          <cell r="P104">
            <v>107.4</v>
          </cell>
          <cell r="Q104">
            <v>108.6</v>
          </cell>
        </row>
        <row r="105">
          <cell r="A105" t="str">
            <v>37591-COMANCHE</v>
          </cell>
          <cell r="B105">
            <v>37591</v>
          </cell>
          <cell r="C105" t="str">
            <v>COMANCHE</v>
          </cell>
          <cell r="D105" t="str">
            <v>COMANCHE</v>
          </cell>
          <cell r="E105">
            <v>2000</v>
          </cell>
          <cell r="F105" t="str">
            <v>DE</v>
          </cell>
          <cell r="G105">
            <v>37936.1</v>
          </cell>
          <cell r="H105">
            <v>48134.3</v>
          </cell>
          <cell r="I105">
            <v>1213</v>
          </cell>
          <cell r="J105">
            <v>-5032.6000000000004</v>
          </cell>
          <cell r="K105">
            <v>-9810.6</v>
          </cell>
          <cell r="L105">
            <v>-563</v>
          </cell>
          <cell r="M105">
            <v>32903.5</v>
          </cell>
          <cell r="N105">
            <v>38323.699999999997</v>
          </cell>
          <cell r="O105">
            <v>650</v>
          </cell>
          <cell r="P105">
            <v>13.1</v>
          </cell>
          <cell r="Q105">
            <v>8.1999999999999993</v>
          </cell>
        </row>
        <row r="106">
          <cell r="A106" t="str">
            <v>37591-FBCB2</v>
          </cell>
          <cell r="B106">
            <v>37591</v>
          </cell>
          <cell r="C106" t="str">
            <v>FBCB2</v>
          </cell>
          <cell r="D106" t="str">
            <v>FBCB2</v>
          </cell>
          <cell r="E106">
            <v>2000</v>
          </cell>
          <cell r="F106" t="str">
            <v>DE</v>
          </cell>
          <cell r="G106">
            <v>2281</v>
          </cell>
          <cell r="H106">
            <v>2617.9</v>
          </cell>
          <cell r="I106">
            <v>59522</v>
          </cell>
          <cell r="J106">
            <v>53.7</v>
          </cell>
          <cell r="K106">
            <v>15</v>
          </cell>
          <cell r="L106">
            <v>-3057</v>
          </cell>
          <cell r="M106">
            <v>2334.6999999999998</v>
          </cell>
          <cell r="N106">
            <v>2632.9</v>
          </cell>
          <cell r="O106">
            <v>56465</v>
          </cell>
          <cell r="P106">
            <v>5.3</v>
          </cell>
          <cell r="Q106">
            <v>4</v>
          </cell>
        </row>
        <row r="107">
          <cell r="A107" t="str">
            <v>37591-FMTV</v>
          </cell>
          <cell r="B107">
            <v>37591</v>
          </cell>
          <cell r="C107" t="str">
            <v>FMTV</v>
          </cell>
          <cell r="D107" t="str">
            <v>FMTV</v>
          </cell>
          <cell r="E107">
            <v>1996</v>
          </cell>
          <cell r="F107" t="str">
            <v>PdE</v>
          </cell>
          <cell r="G107">
            <v>11594.2</v>
          </cell>
          <cell r="H107">
            <v>18921.3</v>
          </cell>
          <cell r="I107">
            <v>85488</v>
          </cell>
          <cell r="J107">
            <v>3541.8</v>
          </cell>
          <cell r="K107">
            <v>348.8</v>
          </cell>
          <cell r="L107">
            <v>-2303</v>
          </cell>
          <cell r="M107">
            <v>15136</v>
          </cell>
          <cell r="N107">
            <v>19270.099999999999</v>
          </cell>
          <cell r="O107">
            <v>83185</v>
          </cell>
          <cell r="P107">
            <v>31.7</v>
          </cell>
          <cell r="Q107">
            <v>5.2</v>
          </cell>
        </row>
        <row r="108">
          <cell r="A108" t="str">
            <v>37591-GMLRS</v>
          </cell>
          <cell r="B108">
            <v>37591</v>
          </cell>
          <cell r="C108" t="str">
            <v>GMLRS</v>
          </cell>
          <cell r="D108" t="str">
            <v>GMLRS</v>
          </cell>
          <cell r="E108">
            <v>1996</v>
          </cell>
          <cell r="F108" t="str">
            <v>DE</v>
          </cell>
          <cell r="G108">
            <v>1395.7</v>
          </cell>
          <cell r="H108">
            <v>1688.6</v>
          </cell>
          <cell r="I108">
            <v>43182</v>
          </cell>
          <cell r="J108">
            <v>7784.8</v>
          </cell>
          <cell r="K108">
            <v>10143.299999999999</v>
          </cell>
          <cell r="L108">
            <v>96822</v>
          </cell>
          <cell r="M108">
            <v>9180.5</v>
          </cell>
          <cell r="N108">
            <v>11831.9</v>
          </cell>
          <cell r="O108">
            <v>140004</v>
          </cell>
          <cell r="P108">
            <v>109.6</v>
          </cell>
          <cell r="Q108">
            <v>102.4</v>
          </cell>
        </row>
        <row r="109">
          <cell r="A109" t="str">
            <v>37591-JAVELIN</v>
          </cell>
          <cell r="B109">
            <v>37591</v>
          </cell>
          <cell r="C109" t="str">
            <v>JAVELIN</v>
          </cell>
          <cell r="D109" t="str">
            <v>JAVELIN</v>
          </cell>
          <cell r="E109">
            <v>1997</v>
          </cell>
          <cell r="F109" t="str">
            <v>PdE</v>
          </cell>
          <cell r="G109">
            <v>3791.1</v>
          </cell>
          <cell r="H109">
            <v>3926</v>
          </cell>
          <cell r="I109">
            <v>28501</v>
          </cell>
          <cell r="J109">
            <v>177.6</v>
          </cell>
          <cell r="K109">
            <v>80.3</v>
          </cell>
          <cell r="L109">
            <v>-5075</v>
          </cell>
          <cell r="M109">
            <v>3968.7</v>
          </cell>
          <cell r="N109">
            <v>4006.3</v>
          </cell>
          <cell r="O109">
            <v>23426</v>
          </cell>
          <cell r="P109">
            <v>6.9</v>
          </cell>
          <cell r="Q109">
            <v>5.8</v>
          </cell>
        </row>
        <row r="110">
          <cell r="A110" t="str">
            <v>37591-JTRS GMR</v>
          </cell>
          <cell r="B110">
            <v>37591</v>
          </cell>
          <cell r="C110" t="str">
            <v>JTRS CLUSTER 1</v>
          </cell>
          <cell r="D110" t="str">
            <v>JTRS GMR</v>
          </cell>
          <cell r="E110">
            <v>2002</v>
          </cell>
          <cell r="F110" t="str">
            <v>DE</v>
          </cell>
          <cell r="G110">
            <v>14437.2</v>
          </cell>
          <cell r="H110">
            <v>19112.900000000001</v>
          </cell>
          <cell r="I110">
            <v>108388</v>
          </cell>
          <cell r="J110">
            <v>-81.599999999999994</v>
          </cell>
          <cell r="K110">
            <v>-110.8</v>
          </cell>
          <cell r="L110">
            <v>26</v>
          </cell>
          <cell r="M110">
            <v>14355.6</v>
          </cell>
          <cell r="N110">
            <v>19002.099999999999</v>
          </cell>
          <cell r="O110">
            <v>108414</v>
          </cell>
          <cell r="P110">
            <v>-0.6</v>
          </cell>
          <cell r="Q110">
            <v>-0.6</v>
          </cell>
        </row>
        <row r="111">
          <cell r="A111" t="str">
            <v>37591-LONGBOW APACHE</v>
          </cell>
          <cell r="B111">
            <v>37591</v>
          </cell>
          <cell r="C111" t="str">
            <v>LONGBOW APACHE</v>
          </cell>
          <cell r="D111" t="str">
            <v>LONGBOW APACHE</v>
          </cell>
          <cell r="E111">
            <v>1996</v>
          </cell>
          <cell r="F111" t="str">
            <v>PdE</v>
          </cell>
          <cell r="G111">
            <v>7389.7</v>
          </cell>
          <cell r="H111">
            <v>8729.2000000000007</v>
          </cell>
          <cell r="I111">
            <v>985</v>
          </cell>
          <cell r="J111">
            <v>1222.2</v>
          </cell>
          <cell r="K111">
            <v>375.7</v>
          </cell>
          <cell r="L111">
            <v>-257</v>
          </cell>
          <cell r="M111">
            <v>8611.9</v>
          </cell>
          <cell r="N111">
            <v>9104.9</v>
          </cell>
          <cell r="O111">
            <v>728</v>
          </cell>
          <cell r="P111">
            <v>45.9</v>
          </cell>
          <cell r="Q111">
            <v>32.9</v>
          </cell>
        </row>
        <row r="112">
          <cell r="A112" t="str">
            <v>37591-LONGBOW HELLFIRE</v>
          </cell>
          <cell r="B112">
            <v>37591</v>
          </cell>
          <cell r="C112" t="str">
            <v>LONGBOW HELLFIRE</v>
          </cell>
          <cell r="D112" t="str">
            <v>LONGBOW HELLFIRE</v>
          </cell>
          <cell r="E112">
            <v>1996</v>
          </cell>
          <cell r="F112" t="str">
            <v>PdE</v>
          </cell>
          <cell r="G112">
            <v>2352</v>
          </cell>
          <cell r="H112">
            <v>2635.6</v>
          </cell>
          <cell r="I112">
            <v>13311</v>
          </cell>
          <cell r="J112">
            <v>103.8</v>
          </cell>
          <cell r="K112">
            <v>-60.3</v>
          </cell>
          <cell r="L112">
            <v>-406</v>
          </cell>
          <cell r="M112">
            <v>2455.8000000000002</v>
          </cell>
          <cell r="N112">
            <v>2575.3000000000002</v>
          </cell>
          <cell r="O112">
            <v>12905</v>
          </cell>
          <cell r="P112">
            <v>6.3</v>
          </cell>
          <cell r="Q112">
            <v>-0.2</v>
          </cell>
        </row>
        <row r="113">
          <cell r="A113" t="str">
            <v>37591-MCS</v>
          </cell>
          <cell r="B113">
            <v>37591</v>
          </cell>
          <cell r="C113" t="str">
            <v>MCS</v>
          </cell>
          <cell r="D113" t="str">
            <v>MCS</v>
          </cell>
          <cell r="E113">
            <v>1980</v>
          </cell>
          <cell r="F113" t="str">
            <v>DE</v>
          </cell>
          <cell r="G113">
            <v>106.9</v>
          </cell>
          <cell r="H113">
            <v>232.1</v>
          </cell>
          <cell r="I113">
            <v>947</v>
          </cell>
          <cell r="J113">
            <v>503.1</v>
          </cell>
          <cell r="K113">
            <v>1103.7</v>
          </cell>
          <cell r="L113">
            <v>7682</v>
          </cell>
          <cell r="M113">
            <v>610</v>
          </cell>
          <cell r="N113">
            <v>1335.8</v>
          </cell>
          <cell r="O113">
            <v>8629</v>
          </cell>
          <cell r="P113">
            <v>-40.9</v>
          </cell>
          <cell r="Q113">
            <v>-46.5</v>
          </cell>
        </row>
        <row r="114">
          <cell r="A114" t="str">
            <v>37591-PATRIOT PAC-3</v>
          </cell>
          <cell r="B114">
            <v>37591</v>
          </cell>
          <cell r="C114" t="str">
            <v>PATRIOT PAC-3</v>
          </cell>
          <cell r="D114" t="str">
            <v>PATRIOT PAC-3</v>
          </cell>
          <cell r="E114">
            <v>2002</v>
          </cell>
          <cell r="F114" t="str">
            <v>DE/PdE</v>
          </cell>
          <cell r="G114">
            <v>6585.4</v>
          </cell>
          <cell r="H114">
            <v>6381.6</v>
          </cell>
          <cell r="I114">
            <v>1254</v>
          </cell>
          <cell r="J114">
            <v>6049.4</v>
          </cell>
          <cell r="K114">
            <v>6265.8</v>
          </cell>
          <cell r="L114">
            <v>33</v>
          </cell>
          <cell r="M114">
            <v>12634.8</v>
          </cell>
          <cell r="N114">
            <v>12647.4</v>
          </cell>
          <cell r="O114">
            <v>1287</v>
          </cell>
          <cell r="P114">
            <v>65</v>
          </cell>
          <cell r="Q114">
            <v>79</v>
          </cell>
        </row>
        <row r="115">
          <cell r="A115" t="str">
            <v>37591-SMART-T</v>
          </cell>
          <cell r="B115">
            <v>37591</v>
          </cell>
          <cell r="C115" t="str">
            <v>SMART-T</v>
          </cell>
          <cell r="D115" t="str">
            <v>SMART-T</v>
          </cell>
          <cell r="E115">
            <v>1999</v>
          </cell>
          <cell r="F115" t="str">
            <v>PdE</v>
          </cell>
          <cell r="G115">
            <v>766.5</v>
          </cell>
          <cell r="H115">
            <v>780.4</v>
          </cell>
          <cell r="I115">
            <v>313</v>
          </cell>
          <cell r="J115">
            <v>162.5</v>
          </cell>
          <cell r="K115">
            <v>190.6</v>
          </cell>
          <cell r="L115">
            <v>-12</v>
          </cell>
          <cell r="M115">
            <v>929</v>
          </cell>
          <cell r="N115">
            <v>971</v>
          </cell>
          <cell r="O115">
            <v>301</v>
          </cell>
          <cell r="P115">
            <v>23.2</v>
          </cell>
          <cell r="Q115">
            <v>26.4</v>
          </cell>
        </row>
        <row r="116">
          <cell r="A116" t="str">
            <v>37591-STRYKER</v>
          </cell>
          <cell r="B116">
            <v>37591</v>
          </cell>
          <cell r="C116" t="str">
            <v>STRYKER (IAV)</v>
          </cell>
          <cell r="D116" t="str">
            <v>STRYKER</v>
          </cell>
          <cell r="E116">
            <v>2000</v>
          </cell>
          <cell r="F116" t="str">
            <v>DE</v>
          </cell>
          <cell r="G116">
            <v>6480.8</v>
          </cell>
          <cell r="H116">
            <v>7120.2</v>
          </cell>
          <cell r="I116">
            <v>2131</v>
          </cell>
          <cell r="J116">
            <v>195.6</v>
          </cell>
          <cell r="K116">
            <v>58.9</v>
          </cell>
          <cell r="L116">
            <v>-10</v>
          </cell>
          <cell r="M116">
            <v>6676.4</v>
          </cell>
          <cell r="N116">
            <v>7179.1</v>
          </cell>
          <cell r="O116">
            <v>2121</v>
          </cell>
          <cell r="P116">
            <v>3.5</v>
          </cell>
          <cell r="Q116">
            <v>1.3</v>
          </cell>
        </row>
        <row r="117">
          <cell r="A117" t="str">
            <v>37591-Army Subtotal</v>
          </cell>
          <cell r="B117">
            <v>37591</v>
          </cell>
          <cell r="C117" t="str">
            <v>Army Subtotal</v>
          </cell>
          <cell r="D117" t="str">
            <v>Army Subtotal</v>
          </cell>
          <cell r="G117">
            <v>125515.4</v>
          </cell>
          <cell r="H117">
            <v>158528.5</v>
          </cell>
          <cell r="J117">
            <v>16342.6</v>
          </cell>
          <cell r="K117">
            <v>8419</v>
          </cell>
          <cell r="M117">
            <v>141858</v>
          </cell>
          <cell r="N117">
            <v>166947.5</v>
          </cell>
          <cell r="P117">
            <v>23.3</v>
          </cell>
          <cell r="Q117">
            <v>15.9</v>
          </cell>
        </row>
        <row r="119">
          <cell r="C119" t="str">
            <v>NAVY</v>
          </cell>
        </row>
        <row r="120">
          <cell r="A120" t="str">
            <v>37591-EFV</v>
          </cell>
          <cell r="B120">
            <v>37591</v>
          </cell>
          <cell r="C120" t="str">
            <v>AAAV</v>
          </cell>
          <cell r="D120" t="str">
            <v>EFV</v>
          </cell>
          <cell r="E120">
            <v>1993</v>
          </cell>
          <cell r="F120" t="str">
            <v>DE</v>
          </cell>
          <cell r="G120">
            <v>6650.4</v>
          </cell>
          <cell r="H120">
            <v>8725.2000000000007</v>
          </cell>
          <cell r="I120">
            <v>1025</v>
          </cell>
          <cell r="J120">
            <v>1438.6</v>
          </cell>
          <cell r="K120">
            <v>1897.6</v>
          </cell>
          <cell r="L120" t="str">
            <v>-</v>
          </cell>
          <cell r="M120">
            <v>8089</v>
          </cell>
          <cell r="N120">
            <v>10622.8</v>
          </cell>
          <cell r="O120">
            <v>1025</v>
          </cell>
          <cell r="P120">
            <v>21.6</v>
          </cell>
          <cell r="Q120">
            <v>21.7</v>
          </cell>
        </row>
        <row r="121">
          <cell r="A121" t="str">
            <v>37591-AESA</v>
          </cell>
          <cell r="B121">
            <v>37591</v>
          </cell>
          <cell r="C121" t="str">
            <v>AESA (RDT&amp;E)</v>
          </cell>
          <cell r="D121" t="str">
            <v>AESA</v>
          </cell>
          <cell r="E121">
            <v>2000</v>
          </cell>
          <cell r="F121" t="str">
            <v>DE</v>
          </cell>
          <cell r="G121">
            <v>494.8</v>
          </cell>
          <cell r="H121">
            <v>525.20000000000005</v>
          </cell>
          <cell r="I121" t="str">
            <v>-</v>
          </cell>
          <cell r="J121">
            <v>26.4</v>
          </cell>
          <cell r="K121">
            <v>21.1</v>
          </cell>
          <cell r="L121" t="str">
            <v>-</v>
          </cell>
          <cell r="M121">
            <v>521.20000000000005</v>
          </cell>
          <cell r="N121">
            <v>546.29999999999995</v>
          </cell>
          <cell r="O121" t="str">
            <v>-</v>
          </cell>
          <cell r="P121">
            <v>5.3</v>
          </cell>
          <cell r="Q121">
            <v>4</v>
          </cell>
        </row>
        <row r="122">
          <cell r="A122" t="str">
            <v>37591-AIM-9X</v>
          </cell>
          <cell r="B122">
            <v>37591</v>
          </cell>
          <cell r="C122" t="str">
            <v>AIM-9X</v>
          </cell>
          <cell r="D122" t="str">
            <v>AIM-9X</v>
          </cell>
          <cell r="E122">
            <v>1997</v>
          </cell>
          <cell r="F122" t="str">
            <v>DE</v>
          </cell>
          <cell r="G122">
            <v>2464</v>
          </cell>
          <cell r="H122">
            <v>3232.9</v>
          </cell>
          <cell r="I122">
            <v>10049</v>
          </cell>
          <cell r="J122">
            <v>50.8</v>
          </cell>
          <cell r="K122">
            <v>-224.9</v>
          </cell>
          <cell r="L122">
            <v>93</v>
          </cell>
          <cell r="M122">
            <v>2514.8000000000002</v>
          </cell>
          <cell r="N122">
            <v>3008</v>
          </cell>
          <cell r="O122">
            <v>10142</v>
          </cell>
          <cell r="P122">
            <v>1.5</v>
          </cell>
          <cell r="Q122">
            <v>-7.5</v>
          </cell>
        </row>
        <row r="123">
          <cell r="A123" t="str">
            <v>37591-AV-8B REMANUFACTURE</v>
          </cell>
          <cell r="B123">
            <v>37591</v>
          </cell>
          <cell r="C123" t="str">
            <v>AV-8B REMANUFACTURE</v>
          </cell>
          <cell r="D123" t="str">
            <v>AV-8B REMANUFACTURE</v>
          </cell>
          <cell r="E123">
            <v>1994</v>
          </cell>
          <cell r="F123" t="str">
            <v>PdE</v>
          </cell>
          <cell r="G123">
            <v>1843</v>
          </cell>
          <cell r="H123">
            <v>2158.4</v>
          </cell>
          <cell r="I123">
            <v>73</v>
          </cell>
          <cell r="J123">
            <v>156</v>
          </cell>
          <cell r="K123">
            <v>10.7</v>
          </cell>
          <cell r="L123">
            <v>1</v>
          </cell>
          <cell r="M123">
            <v>1999</v>
          </cell>
          <cell r="N123">
            <v>2169.1</v>
          </cell>
          <cell r="O123">
            <v>74</v>
          </cell>
          <cell r="P123">
            <v>7.3</v>
          </cell>
          <cell r="Q123">
            <v>-0.5</v>
          </cell>
        </row>
        <row r="124">
          <cell r="A124" t="str">
            <v>37591-CEC</v>
          </cell>
          <cell r="B124">
            <v>37591</v>
          </cell>
          <cell r="C124" t="str">
            <v>CEC</v>
          </cell>
          <cell r="D124" t="str">
            <v>CEC</v>
          </cell>
          <cell r="E124">
            <v>2002</v>
          </cell>
          <cell r="F124" t="str">
            <v>PdE</v>
          </cell>
          <cell r="G124">
            <v>4123.3</v>
          </cell>
          <cell r="H124">
            <v>4310.7</v>
          </cell>
          <cell r="I124">
            <v>272</v>
          </cell>
          <cell r="J124">
            <v>272.60000000000002</v>
          </cell>
          <cell r="K124">
            <v>263.5</v>
          </cell>
          <cell r="L124">
            <v>29</v>
          </cell>
          <cell r="M124">
            <v>4395.8999999999996</v>
          </cell>
          <cell r="N124">
            <v>4574.2</v>
          </cell>
          <cell r="O124">
            <v>301</v>
          </cell>
          <cell r="P124">
            <v>4.5</v>
          </cell>
          <cell r="Q124">
            <v>4</v>
          </cell>
        </row>
        <row r="125">
          <cell r="A125" t="str">
            <v>37591-CVN 21</v>
          </cell>
          <cell r="B125">
            <v>37591</v>
          </cell>
          <cell r="C125" t="str">
            <v>CVN 21 (RDT&amp;E Only)</v>
          </cell>
          <cell r="D125" t="str">
            <v>CVN 21</v>
          </cell>
          <cell r="E125">
            <v>2000</v>
          </cell>
          <cell r="F125" t="str">
            <v>PE</v>
          </cell>
          <cell r="G125">
            <v>3159.8</v>
          </cell>
          <cell r="H125">
            <v>3587.6</v>
          </cell>
          <cell r="I125" t="str">
            <v>-</v>
          </cell>
          <cell r="J125">
            <v>172.2</v>
          </cell>
          <cell r="K125">
            <v>48.2</v>
          </cell>
          <cell r="L125" t="str">
            <v>-</v>
          </cell>
          <cell r="M125">
            <v>3332</v>
          </cell>
          <cell r="N125">
            <v>3635.8</v>
          </cell>
          <cell r="O125" t="str">
            <v>-</v>
          </cell>
          <cell r="P125">
            <v>5.4</v>
          </cell>
          <cell r="Q125">
            <v>1.3</v>
          </cell>
        </row>
        <row r="126">
          <cell r="A126" t="str">
            <v>37591-CVN 68</v>
          </cell>
          <cell r="B126">
            <v>37591</v>
          </cell>
          <cell r="C126" t="str">
            <v>CVN 68</v>
          </cell>
          <cell r="D126" t="str">
            <v>CVN 68</v>
          </cell>
          <cell r="E126">
            <v>1995</v>
          </cell>
          <cell r="F126" t="str">
            <v>PdE</v>
          </cell>
          <cell r="G126">
            <v>8467.9</v>
          </cell>
          <cell r="H126">
            <v>9838</v>
          </cell>
          <cell r="I126">
            <v>2</v>
          </cell>
          <cell r="J126">
            <v>1104.8</v>
          </cell>
          <cell r="K126">
            <v>450.3</v>
          </cell>
          <cell r="L126" t="str">
            <v>-</v>
          </cell>
          <cell r="M126">
            <v>9572.7000000000007</v>
          </cell>
          <cell r="N126">
            <v>10288.299999999999</v>
          </cell>
          <cell r="O126">
            <v>2</v>
          </cell>
          <cell r="P126">
            <v>13</v>
          </cell>
          <cell r="Q126">
            <v>4.5999999999999996</v>
          </cell>
        </row>
        <row r="127">
          <cell r="A127" t="str">
            <v>37591-DDG 1000 (RDT&amp;E)</v>
          </cell>
          <cell r="B127">
            <v>37591</v>
          </cell>
          <cell r="C127" t="str">
            <v>DD(X) (RDT&amp;E Only)</v>
          </cell>
          <cell r="D127" t="str">
            <v>DDG 1000 (RDT&amp;E)</v>
          </cell>
          <cell r="E127">
            <v>1996</v>
          </cell>
          <cell r="F127" t="str">
            <v>PE</v>
          </cell>
          <cell r="G127">
            <v>1754</v>
          </cell>
          <cell r="H127">
            <v>2089</v>
          </cell>
          <cell r="I127" t="str">
            <v>-</v>
          </cell>
          <cell r="J127">
            <v>7370.3</v>
          </cell>
          <cell r="K127">
            <v>8290</v>
          </cell>
          <cell r="L127">
            <v>1</v>
          </cell>
          <cell r="M127">
            <v>9124.2999999999993</v>
          </cell>
          <cell r="N127">
            <v>10379</v>
          </cell>
          <cell r="O127">
            <v>1</v>
          </cell>
          <cell r="P127">
            <v>420.2</v>
          </cell>
          <cell r="Q127">
            <v>396.8</v>
          </cell>
        </row>
        <row r="128">
          <cell r="A128" t="str">
            <v>37591-DDG 51</v>
          </cell>
          <cell r="B128">
            <v>37591</v>
          </cell>
          <cell r="C128" t="str">
            <v>DDG 51</v>
          </cell>
          <cell r="D128" t="str">
            <v>DDG 51</v>
          </cell>
          <cell r="E128">
            <v>1987</v>
          </cell>
          <cell r="F128" t="str">
            <v>PdE</v>
          </cell>
          <cell r="G128">
            <v>16953.7</v>
          </cell>
          <cell r="H128">
            <v>20117.5</v>
          </cell>
          <cell r="I128">
            <v>23</v>
          </cell>
          <cell r="J128">
            <v>30483.200000000001</v>
          </cell>
          <cell r="K128">
            <v>42685.2</v>
          </cell>
          <cell r="L128">
            <v>39</v>
          </cell>
          <cell r="M128">
            <v>47436.9</v>
          </cell>
          <cell r="N128">
            <v>62802.7</v>
          </cell>
          <cell r="O128">
            <v>62</v>
          </cell>
          <cell r="P128">
            <v>13.9</v>
          </cell>
          <cell r="Q128">
            <v>10.1</v>
          </cell>
        </row>
        <row r="129">
          <cell r="A129" t="str">
            <v>37591-E-2C REPRODUCTION</v>
          </cell>
          <cell r="B129">
            <v>37591</v>
          </cell>
          <cell r="C129" t="str">
            <v>E-2C REPRODUCTION</v>
          </cell>
          <cell r="D129" t="str">
            <v>E-2C REPRODUCTION</v>
          </cell>
          <cell r="E129">
            <v>1994</v>
          </cell>
          <cell r="F129" t="str">
            <v>PdE</v>
          </cell>
          <cell r="G129">
            <v>2627.7</v>
          </cell>
          <cell r="H129">
            <v>3187.9</v>
          </cell>
          <cell r="I129">
            <v>36</v>
          </cell>
          <cell r="J129">
            <v>1251.5</v>
          </cell>
          <cell r="K129">
            <v>1147.8</v>
          </cell>
          <cell r="L129">
            <v>8</v>
          </cell>
          <cell r="M129">
            <v>3879.2</v>
          </cell>
          <cell r="N129">
            <v>4335.7</v>
          </cell>
          <cell r="O129">
            <v>44</v>
          </cell>
          <cell r="P129">
            <v>24.9</v>
          </cell>
          <cell r="Q129">
            <v>15.1</v>
          </cell>
        </row>
        <row r="130">
          <cell r="A130" t="str">
            <v>37591-F/A-18E/F</v>
          </cell>
          <cell r="B130">
            <v>37591</v>
          </cell>
          <cell r="C130" t="str">
            <v>F/A-18 E/F</v>
          </cell>
          <cell r="D130" t="str">
            <v>F/A-18E/F</v>
          </cell>
          <cell r="E130">
            <v>2000</v>
          </cell>
          <cell r="F130" t="str">
            <v>PdE</v>
          </cell>
          <cell r="G130">
            <v>43489.599999999999</v>
          </cell>
          <cell r="H130">
            <v>46825.7</v>
          </cell>
          <cell r="I130">
            <v>548</v>
          </cell>
          <cell r="J130">
            <v>4084.6</v>
          </cell>
          <cell r="K130">
            <v>3924.5</v>
          </cell>
          <cell r="L130">
            <v>4</v>
          </cell>
          <cell r="M130">
            <v>47574.2</v>
          </cell>
          <cell r="N130">
            <v>50750.2</v>
          </cell>
          <cell r="O130">
            <v>552</v>
          </cell>
          <cell r="P130">
            <v>8.8000000000000007</v>
          </cell>
          <cell r="Q130">
            <v>7.8</v>
          </cell>
        </row>
        <row r="131">
          <cell r="A131" t="str">
            <v>37591-JSOW</v>
          </cell>
          <cell r="B131">
            <v>37591</v>
          </cell>
          <cell r="C131" t="str">
            <v>JSOW</v>
          </cell>
          <cell r="D131" t="str">
            <v>JSOW</v>
          </cell>
          <cell r="E131">
            <v>1990</v>
          </cell>
          <cell r="F131" t="str">
            <v>DE</v>
          </cell>
          <cell r="G131">
            <v>6927.2</v>
          </cell>
          <cell r="H131">
            <v>11205.9</v>
          </cell>
          <cell r="I131">
            <v>23924</v>
          </cell>
          <cell r="J131">
            <v>-3291.6</v>
          </cell>
          <cell r="K131">
            <v>-6247</v>
          </cell>
          <cell r="L131">
            <v>-9113</v>
          </cell>
          <cell r="M131">
            <v>3635.6</v>
          </cell>
          <cell r="N131">
            <v>4958.8999999999996</v>
          </cell>
          <cell r="O131">
            <v>14811</v>
          </cell>
          <cell r="P131">
            <v>-31.9</v>
          </cell>
          <cell r="Q131">
            <v>-42.7</v>
          </cell>
        </row>
        <row r="132">
          <cell r="A132" t="str">
            <v>37591-LHD 1</v>
          </cell>
          <cell r="B132">
            <v>37591</v>
          </cell>
          <cell r="C132" t="str">
            <v>LHD 1</v>
          </cell>
          <cell r="D132" t="str">
            <v>LHD 1</v>
          </cell>
          <cell r="E132">
            <v>1982</v>
          </cell>
          <cell r="F132" t="str">
            <v>DE</v>
          </cell>
          <cell r="G132">
            <v>2931.8</v>
          </cell>
          <cell r="H132">
            <v>4451</v>
          </cell>
          <cell r="I132">
            <v>3</v>
          </cell>
          <cell r="J132">
            <v>4393.7</v>
          </cell>
          <cell r="K132">
            <v>5433</v>
          </cell>
          <cell r="L132">
            <v>5</v>
          </cell>
          <cell r="M132">
            <v>7325.5</v>
          </cell>
          <cell r="N132">
            <v>9884</v>
          </cell>
          <cell r="O132">
            <v>8</v>
          </cell>
          <cell r="P132">
            <v>2.2999999999999998</v>
          </cell>
          <cell r="Q132">
            <v>-13.3</v>
          </cell>
        </row>
        <row r="133">
          <cell r="A133" t="str">
            <v>37591-LPD 17</v>
          </cell>
          <cell r="B133">
            <v>37591</v>
          </cell>
          <cell r="C133" t="str">
            <v>LPD 17</v>
          </cell>
          <cell r="D133" t="str">
            <v>LPD 17</v>
          </cell>
          <cell r="E133">
            <v>1996</v>
          </cell>
          <cell r="F133" t="str">
            <v>DE</v>
          </cell>
          <cell r="G133">
            <v>9018.1</v>
          </cell>
          <cell r="H133">
            <v>10761.8</v>
          </cell>
          <cell r="I133">
            <v>12</v>
          </cell>
          <cell r="J133">
            <v>4381.5</v>
          </cell>
          <cell r="K133">
            <v>4849.8</v>
          </cell>
          <cell r="L133" t="str">
            <v>-</v>
          </cell>
          <cell r="M133">
            <v>13399.6</v>
          </cell>
          <cell r="N133">
            <v>15611.6</v>
          </cell>
          <cell r="O133">
            <v>12</v>
          </cell>
          <cell r="P133">
            <v>48.6</v>
          </cell>
          <cell r="Q133">
            <v>44.2</v>
          </cell>
        </row>
        <row r="134">
          <cell r="A134" t="str">
            <v>37591-MH-60R</v>
          </cell>
          <cell r="B134">
            <v>37591</v>
          </cell>
          <cell r="C134" t="str">
            <v>MH-60R</v>
          </cell>
          <cell r="D134" t="str">
            <v>MH-60R</v>
          </cell>
          <cell r="E134">
            <v>1993</v>
          </cell>
          <cell r="F134" t="str">
            <v>DE</v>
          </cell>
          <cell r="G134">
            <v>4020.5</v>
          </cell>
          <cell r="H134">
            <v>5636.4</v>
          </cell>
          <cell r="I134">
            <v>188</v>
          </cell>
          <cell r="J134">
            <v>3968.2</v>
          </cell>
          <cell r="K134">
            <v>4430.3</v>
          </cell>
          <cell r="L134">
            <v>55</v>
          </cell>
          <cell r="M134">
            <v>7988.7</v>
          </cell>
          <cell r="N134">
            <v>10066.700000000001</v>
          </cell>
          <cell r="O134">
            <v>243</v>
          </cell>
          <cell r="P134">
            <v>69.599999999999994</v>
          </cell>
          <cell r="Q134">
            <v>53.4</v>
          </cell>
        </row>
        <row r="135">
          <cell r="A135" t="str">
            <v>37591-MH-60S</v>
          </cell>
          <cell r="B135">
            <v>37591</v>
          </cell>
          <cell r="C135" t="str">
            <v>MH-60S</v>
          </cell>
          <cell r="D135" t="str">
            <v>MH-60S</v>
          </cell>
          <cell r="E135">
            <v>1998</v>
          </cell>
          <cell r="F135" t="str">
            <v>PdE</v>
          </cell>
          <cell r="G135">
            <v>2769</v>
          </cell>
          <cell r="H135">
            <v>3154</v>
          </cell>
          <cell r="I135">
            <v>166</v>
          </cell>
          <cell r="J135">
            <v>2590.1</v>
          </cell>
          <cell r="K135">
            <v>2878.2</v>
          </cell>
          <cell r="L135">
            <v>71</v>
          </cell>
          <cell r="M135">
            <v>5359.1</v>
          </cell>
          <cell r="N135">
            <v>6032.2</v>
          </cell>
          <cell r="O135">
            <v>237</v>
          </cell>
          <cell r="P135">
            <v>45</v>
          </cell>
          <cell r="Q135">
            <v>40</v>
          </cell>
        </row>
        <row r="136">
          <cell r="A136" t="str">
            <v>37591-MIDS-LVT</v>
          </cell>
          <cell r="B136">
            <v>37591</v>
          </cell>
          <cell r="C136" t="str">
            <v>MIDS-LVT</v>
          </cell>
          <cell r="D136" t="str">
            <v>MIDS-LVT</v>
          </cell>
          <cell r="E136">
            <v>1992</v>
          </cell>
          <cell r="F136" t="str">
            <v>DE</v>
          </cell>
          <cell r="G136">
            <v>924.9</v>
          </cell>
          <cell r="H136">
            <v>1119.5</v>
          </cell>
          <cell r="I136">
            <v>672</v>
          </cell>
          <cell r="J136">
            <v>545.5</v>
          </cell>
          <cell r="K136">
            <v>607</v>
          </cell>
          <cell r="L136">
            <v>2251</v>
          </cell>
          <cell r="M136">
            <v>1470.4</v>
          </cell>
          <cell r="N136">
            <v>1726.5</v>
          </cell>
          <cell r="O136">
            <v>2923</v>
          </cell>
          <cell r="P136">
            <v>6.1</v>
          </cell>
          <cell r="Q136">
            <v>1.9</v>
          </cell>
        </row>
        <row r="137">
          <cell r="A137" t="str">
            <v>37591-NESP</v>
          </cell>
          <cell r="B137">
            <v>37591</v>
          </cell>
          <cell r="C137" t="str">
            <v>NESP</v>
          </cell>
          <cell r="D137" t="str">
            <v>NESP</v>
          </cell>
          <cell r="E137">
            <v>1990</v>
          </cell>
          <cell r="F137" t="str">
            <v>PdE</v>
          </cell>
          <cell r="G137">
            <v>1876.6</v>
          </cell>
          <cell r="H137">
            <v>2373.6999999999998</v>
          </cell>
          <cell r="I137">
            <v>393</v>
          </cell>
          <cell r="J137">
            <v>-74.7</v>
          </cell>
          <cell r="K137">
            <v>-310.60000000000002</v>
          </cell>
          <cell r="L137">
            <v>127</v>
          </cell>
          <cell r="M137">
            <v>1801.9</v>
          </cell>
          <cell r="N137">
            <v>2063.1</v>
          </cell>
          <cell r="O137">
            <v>520</v>
          </cell>
          <cell r="P137">
            <v>-12.6</v>
          </cell>
          <cell r="Q137">
            <v>-20.6</v>
          </cell>
        </row>
        <row r="138">
          <cell r="A138" t="str">
            <v>37591-SM-2</v>
          </cell>
          <cell r="B138">
            <v>37591</v>
          </cell>
          <cell r="C138" t="str">
            <v>SM 2</v>
          </cell>
          <cell r="D138" t="str">
            <v>SM-2</v>
          </cell>
          <cell r="E138">
            <v>1984</v>
          </cell>
          <cell r="F138" t="str">
            <v>DE</v>
          </cell>
          <cell r="G138">
            <v>8770.1</v>
          </cell>
          <cell r="H138">
            <v>11067.2</v>
          </cell>
          <cell r="I138">
            <v>13778</v>
          </cell>
          <cell r="J138">
            <v>-92.6</v>
          </cell>
          <cell r="K138">
            <v>-217.3</v>
          </cell>
          <cell r="L138">
            <v>-2113</v>
          </cell>
          <cell r="M138">
            <v>8677.5</v>
          </cell>
          <cell r="N138">
            <v>10849.9</v>
          </cell>
          <cell r="O138">
            <v>11665</v>
          </cell>
          <cell r="P138">
            <v>18.600000000000001</v>
          </cell>
          <cell r="Q138">
            <v>30.7</v>
          </cell>
        </row>
        <row r="139">
          <cell r="A139" t="str">
            <v>37591-SSN 774</v>
          </cell>
          <cell r="B139">
            <v>37591</v>
          </cell>
          <cell r="C139" t="str">
            <v>SSN 774 (VA CLASS)</v>
          </cell>
          <cell r="D139" t="str">
            <v>SSN 774</v>
          </cell>
          <cell r="E139">
            <v>1995</v>
          </cell>
          <cell r="F139" t="str">
            <v>DE</v>
          </cell>
          <cell r="G139">
            <v>45633.1</v>
          </cell>
          <cell r="H139">
            <v>71080.800000000003</v>
          </cell>
          <cell r="I139">
            <v>30</v>
          </cell>
          <cell r="J139">
            <v>19114.400000000001</v>
          </cell>
          <cell r="K139">
            <v>10711.4</v>
          </cell>
          <cell r="L139" t="str">
            <v>-</v>
          </cell>
          <cell r="M139">
            <v>64747.5</v>
          </cell>
          <cell r="N139">
            <v>81792.2</v>
          </cell>
          <cell r="O139">
            <v>30</v>
          </cell>
          <cell r="P139">
            <v>41.9</v>
          </cell>
          <cell r="Q139">
            <v>15.1</v>
          </cell>
        </row>
        <row r="140">
          <cell r="A140" t="str">
            <v>37591-T-45TS</v>
          </cell>
          <cell r="B140">
            <v>37591</v>
          </cell>
          <cell r="C140" t="str">
            <v>T-45TS</v>
          </cell>
          <cell r="D140" t="str">
            <v>T-45TS</v>
          </cell>
          <cell r="E140">
            <v>1995</v>
          </cell>
          <cell r="F140" t="str">
            <v>PdE</v>
          </cell>
          <cell r="G140">
            <v>5528.1</v>
          </cell>
          <cell r="H140">
            <v>5599.5</v>
          </cell>
          <cell r="I140">
            <v>176</v>
          </cell>
          <cell r="J140">
            <v>817.9</v>
          </cell>
          <cell r="K140">
            <v>709.4</v>
          </cell>
          <cell r="L140">
            <v>35</v>
          </cell>
          <cell r="M140">
            <v>6346</v>
          </cell>
          <cell r="N140">
            <v>6308.9</v>
          </cell>
          <cell r="O140">
            <v>211</v>
          </cell>
          <cell r="P140">
            <v>3.6</v>
          </cell>
          <cell r="Q140">
            <v>1.5</v>
          </cell>
        </row>
        <row r="141">
          <cell r="A141" t="str">
            <v>37591-T-AKE</v>
          </cell>
          <cell r="B141">
            <v>37591</v>
          </cell>
          <cell r="C141" t="str">
            <v>T-AKE</v>
          </cell>
          <cell r="D141" t="str">
            <v>T-AKE</v>
          </cell>
          <cell r="E141">
            <v>2000</v>
          </cell>
          <cell r="F141" t="str">
            <v>PdE</v>
          </cell>
          <cell r="G141">
            <v>4262.6000000000004</v>
          </cell>
          <cell r="H141">
            <v>4890.2</v>
          </cell>
          <cell r="I141">
            <v>12</v>
          </cell>
          <cell r="J141">
            <v>-254.5</v>
          </cell>
          <cell r="K141">
            <v>-467.5</v>
          </cell>
          <cell r="L141">
            <v>-1</v>
          </cell>
          <cell r="M141">
            <v>4008.1</v>
          </cell>
          <cell r="N141">
            <v>4422.7</v>
          </cell>
          <cell r="O141">
            <v>11</v>
          </cell>
          <cell r="P141">
            <v>1.8</v>
          </cell>
          <cell r="Q141">
            <v>-1.5</v>
          </cell>
        </row>
        <row r="142">
          <cell r="A142" t="str">
            <v>37591-TACTICAL TOMAHAWK</v>
          </cell>
          <cell r="B142">
            <v>37591</v>
          </cell>
          <cell r="C142" t="str">
            <v>TACTICAL TOMAHAWK</v>
          </cell>
          <cell r="D142" t="str">
            <v>TACTICAL TOMAHAWK</v>
          </cell>
          <cell r="E142">
            <v>1999</v>
          </cell>
          <cell r="F142" t="str">
            <v>DE</v>
          </cell>
          <cell r="G142">
            <v>1683.7</v>
          </cell>
          <cell r="H142">
            <v>1863.4</v>
          </cell>
          <cell r="I142">
            <v>1365</v>
          </cell>
          <cell r="J142">
            <v>979.9</v>
          </cell>
          <cell r="K142">
            <v>1095.5</v>
          </cell>
          <cell r="L142">
            <v>1031</v>
          </cell>
          <cell r="M142">
            <v>2663.6</v>
          </cell>
          <cell r="N142">
            <v>2958.9</v>
          </cell>
          <cell r="O142">
            <v>2396</v>
          </cell>
          <cell r="P142">
            <v>17.3</v>
          </cell>
          <cell r="Q142">
            <v>16</v>
          </cell>
        </row>
        <row r="143">
          <cell r="A143" t="str">
            <v>37591-TRIDENT II</v>
          </cell>
          <cell r="B143">
            <v>37591</v>
          </cell>
          <cell r="C143" t="str">
            <v>TRIDENT II MSL</v>
          </cell>
          <cell r="D143" t="str">
            <v>TRIDENT II</v>
          </cell>
          <cell r="E143">
            <v>1983</v>
          </cell>
          <cell r="F143" t="str">
            <v>PdE</v>
          </cell>
          <cell r="G143">
            <v>26556.3</v>
          </cell>
          <cell r="H143">
            <v>35518.5</v>
          </cell>
          <cell r="I143">
            <v>845</v>
          </cell>
          <cell r="J143">
            <v>-554.1</v>
          </cell>
          <cell r="K143">
            <v>1778.2</v>
          </cell>
          <cell r="L143">
            <v>-277</v>
          </cell>
          <cell r="M143">
            <v>26002.2</v>
          </cell>
          <cell r="N143">
            <v>37296.699999999997</v>
          </cell>
          <cell r="O143">
            <v>568</v>
          </cell>
          <cell r="P143">
            <v>14.6</v>
          </cell>
          <cell r="Q143">
            <v>28.5</v>
          </cell>
        </row>
        <row r="144">
          <cell r="A144" t="str">
            <v>37591-H-1 Upgrades</v>
          </cell>
          <cell r="B144">
            <v>37591</v>
          </cell>
          <cell r="C144" t="str">
            <v>USMC H-1 UPGRADES</v>
          </cell>
          <cell r="D144" t="str">
            <v>H-1 Upgrades</v>
          </cell>
          <cell r="E144">
            <v>1996</v>
          </cell>
          <cell r="F144" t="str">
            <v>DE</v>
          </cell>
          <cell r="G144">
            <v>2792.5</v>
          </cell>
          <cell r="H144">
            <v>3547.5</v>
          </cell>
          <cell r="I144">
            <v>284</v>
          </cell>
          <cell r="J144">
            <v>2785.4</v>
          </cell>
          <cell r="K144">
            <v>3173.7</v>
          </cell>
          <cell r="L144" t="str">
            <v>-</v>
          </cell>
          <cell r="M144">
            <v>5577.9</v>
          </cell>
          <cell r="N144">
            <v>6721.2</v>
          </cell>
          <cell r="O144">
            <v>284</v>
          </cell>
          <cell r="P144">
            <v>99.7</v>
          </cell>
          <cell r="Q144">
            <v>89.5</v>
          </cell>
        </row>
        <row r="145">
          <cell r="A145" t="str">
            <v>37591-V-22</v>
          </cell>
          <cell r="B145">
            <v>37591</v>
          </cell>
          <cell r="C145" t="str">
            <v>V-22</v>
          </cell>
          <cell r="D145" t="str">
            <v>V-22</v>
          </cell>
          <cell r="E145">
            <v>1986</v>
          </cell>
          <cell r="F145" t="str">
            <v>DE</v>
          </cell>
          <cell r="G145">
            <v>23073</v>
          </cell>
          <cell r="H145">
            <v>29662.3</v>
          </cell>
          <cell r="I145">
            <v>913</v>
          </cell>
          <cell r="J145">
            <v>8160.2</v>
          </cell>
          <cell r="K145">
            <v>18600.400000000001</v>
          </cell>
          <cell r="L145">
            <v>-455</v>
          </cell>
          <cell r="M145">
            <v>31233.200000000001</v>
          </cell>
          <cell r="N145">
            <v>48262.7</v>
          </cell>
          <cell r="O145">
            <v>458</v>
          </cell>
          <cell r="P145">
            <v>38.1</v>
          </cell>
          <cell r="Q145">
            <v>16.3</v>
          </cell>
        </row>
        <row r="146">
          <cell r="A146" t="str">
            <v>37591-Navy Subtotal</v>
          </cell>
          <cell r="B146">
            <v>37591</v>
          </cell>
          <cell r="C146" t="str">
            <v>Navy Subtotal</v>
          </cell>
          <cell r="D146" t="str">
            <v>Navy Subtotal</v>
          </cell>
          <cell r="G146">
            <v>238795.7</v>
          </cell>
          <cell r="H146">
            <v>306529.8</v>
          </cell>
          <cell r="J146">
            <v>89880.3</v>
          </cell>
          <cell r="K146">
            <v>105538.5</v>
          </cell>
          <cell r="M146">
            <v>328676</v>
          </cell>
          <cell r="N146">
            <v>412068.3</v>
          </cell>
          <cell r="P146">
            <v>24.3</v>
          </cell>
          <cell r="Q146">
            <v>12.3</v>
          </cell>
        </row>
        <row r="148">
          <cell r="C148" t="str">
            <v>AIR FORCE</v>
          </cell>
        </row>
        <row r="149">
          <cell r="A149" t="str">
            <v>37591-AEHF</v>
          </cell>
          <cell r="B149">
            <v>37591</v>
          </cell>
          <cell r="C149" t="str">
            <v xml:space="preserve">AEHF </v>
          </cell>
          <cell r="D149" t="str">
            <v>AEHF</v>
          </cell>
          <cell r="E149">
            <v>2002</v>
          </cell>
          <cell r="F149" t="str">
            <v>DE</v>
          </cell>
          <cell r="G149">
            <v>5279.2</v>
          </cell>
          <cell r="H149">
            <v>5645.3</v>
          </cell>
          <cell r="I149">
            <v>5</v>
          </cell>
          <cell r="J149">
            <v>-558.6</v>
          </cell>
          <cell r="K149">
            <v>-728.4</v>
          </cell>
          <cell r="L149">
            <v>-2</v>
          </cell>
          <cell r="M149">
            <v>4720.6000000000004</v>
          </cell>
          <cell r="N149">
            <v>4916.8999999999996</v>
          </cell>
          <cell r="O149">
            <v>3</v>
          </cell>
          <cell r="P149">
            <v>6.6</v>
          </cell>
          <cell r="Q149">
            <v>5.2</v>
          </cell>
        </row>
        <row r="150">
          <cell r="A150" t="str">
            <v>37591-AMRAAM</v>
          </cell>
          <cell r="B150">
            <v>37591</v>
          </cell>
          <cell r="C150" t="str">
            <v>AMRAAM</v>
          </cell>
          <cell r="D150" t="str">
            <v>AMRAAM</v>
          </cell>
          <cell r="E150">
            <v>1992</v>
          </cell>
          <cell r="F150" t="str">
            <v>PdE</v>
          </cell>
          <cell r="G150">
            <v>12278.2</v>
          </cell>
          <cell r="H150">
            <v>13112.4</v>
          </cell>
          <cell r="I150">
            <v>15450</v>
          </cell>
          <cell r="J150">
            <v>-1734.9</v>
          </cell>
          <cell r="K150">
            <v>-2395</v>
          </cell>
          <cell r="L150">
            <v>-4417</v>
          </cell>
          <cell r="M150">
            <v>10543.3</v>
          </cell>
          <cell r="N150">
            <v>10717.4</v>
          </cell>
          <cell r="O150">
            <v>11033</v>
          </cell>
          <cell r="P150">
            <v>1.9</v>
          </cell>
          <cell r="Q150">
            <v>5.3</v>
          </cell>
        </row>
        <row r="151">
          <cell r="A151" t="str">
            <v>37591-AWACS Upgrade</v>
          </cell>
          <cell r="B151">
            <v>37591</v>
          </cell>
          <cell r="C151" t="str">
            <v>AWACS RSIP (E-3)</v>
          </cell>
          <cell r="D151" t="str">
            <v>AWACS Upgrade</v>
          </cell>
          <cell r="E151">
            <v>1997</v>
          </cell>
          <cell r="F151" t="str">
            <v>PdE</v>
          </cell>
          <cell r="G151">
            <v>890.1</v>
          </cell>
          <cell r="H151">
            <v>891.3</v>
          </cell>
          <cell r="I151">
            <v>32</v>
          </cell>
          <cell r="J151">
            <v>127.1</v>
          </cell>
          <cell r="K151">
            <v>112</v>
          </cell>
          <cell r="L151" t="str">
            <v>-</v>
          </cell>
          <cell r="M151">
            <v>1017.2</v>
          </cell>
          <cell r="N151">
            <v>1003.3</v>
          </cell>
          <cell r="O151">
            <v>32</v>
          </cell>
          <cell r="P151">
            <v>14.3</v>
          </cell>
          <cell r="Q151">
            <v>12.6</v>
          </cell>
        </row>
        <row r="152">
          <cell r="A152" t="str">
            <v>37591-B-1B CMUP</v>
          </cell>
          <cell r="B152">
            <v>37591</v>
          </cell>
          <cell r="C152" t="str">
            <v>B-1B CMUP</v>
          </cell>
          <cell r="D152" t="str">
            <v>B-1B CMUP</v>
          </cell>
          <cell r="E152">
            <v>1995</v>
          </cell>
          <cell r="F152" t="str">
            <v>DE</v>
          </cell>
          <cell r="G152">
            <v>334.4</v>
          </cell>
          <cell r="H152">
            <v>1115.2</v>
          </cell>
          <cell r="I152">
            <v>198</v>
          </cell>
          <cell r="J152">
            <v>35.299999999999997</v>
          </cell>
          <cell r="K152">
            <v>-80.2</v>
          </cell>
          <cell r="L152">
            <v>-138</v>
          </cell>
          <cell r="M152">
            <v>369.7</v>
          </cell>
          <cell r="N152">
            <v>1035</v>
          </cell>
          <cell r="O152">
            <v>60</v>
          </cell>
          <cell r="P152">
            <v>5768.3</v>
          </cell>
          <cell r="Q152">
            <v>51.3</v>
          </cell>
        </row>
        <row r="153">
          <cell r="A153" t="str">
            <v>37591-C-130AMP</v>
          </cell>
          <cell r="B153">
            <v>37591</v>
          </cell>
          <cell r="C153" t="str">
            <v>C-130 AMP</v>
          </cell>
          <cell r="D153" t="str">
            <v>C-130AMP</v>
          </cell>
          <cell r="E153">
            <v>2000</v>
          </cell>
          <cell r="F153" t="str">
            <v>DE</v>
          </cell>
          <cell r="G153">
            <v>3333.9</v>
          </cell>
          <cell r="H153">
            <v>3965.4</v>
          </cell>
          <cell r="I153">
            <v>519</v>
          </cell>
          <cell r="J153">
            <v>559</v>
          </cell>
          <cell r="K153">
            <v>578.5</v>
          </cell>
          <cell r="L153">
            <v>-29</v>
          </cell>
          <cell r="M153">
            <v>3892.9</v>
          </cell>
          <cell r="N153">
            <v>4543.8999999999996</v>
          </cell>
          <cell r="O153">
            <v>490</v>
          </cell>
          <cell r="P153">
            <v>20.8</v>
          </cell>
          <cell r="Q153">
            <v>19.600000000000001</v>
          </cell>
        </row>
        <row r="154">
          <cell r="A154" t="str">
            <v>37591-C-130J</v>
          </cell>
          <cell r="B154">
            <v>37591</v>
          </cell>
          <cell r="C154" t="str">
            <v>C-130J</v>
          </cell>
          <cell r="D154" t="str">
            <v>C-130J</v>
          </cell>
          <cell r="E154">
            <v>1996</v>
          </cell>
          <cell r="F154" t="str">
            <v>PdE</v>
          </cell>
          <cell r="G154">
            <v>730.7</v>
          </cell>
          <cell r="H154">
            <v>839.7</v>
          </cell>
          <cell r="I154">
            <v>11</v>
          </cell>
          <cell r="J154">
            <v>12890.6</v>
          </cell>
          <cell r="K154">
            <v>15661.6</v>
          </cell>
          <cell r="L154">
            <v>157</v>
          </cell>
          <cell r="M154">
            <v>13621.3</v>
          </cell>
          <cell r="N154">
            <v>16501.3</v>
          </cell>
          <cell r="O154">
            <v>168</v>
          </cell>
          <cell r="P154">
            <v>21</v>
          </cell>
          <cell r="Q154">
            <v>15.8</v>
          </cell>
        </row>
        <row r="155">
          <cell r="A155" t="str">
            <v>37591-C-17A</v>
          </cell>
          <cell r="B155">
            <v>37591</v>
          </cell>
          <cell r="C155" t="str">
            <v>C-17A</v>
          </cell>
          <cell r="D155" t="str">
            <v>C-17A</v>
          </cell>
          <cell r="E155">
            <v>1996</v>
          </cell>
          <cell r="F155" t="str">
            <v>PdE</v>
          </cell>
          <cell r="G155">
            <v>41250.9</v>
          </cell>
          <cell r="H155">
            <v>41811.9</v>
          </cell>
          <cell r="I155">
            <v>210</v>
          </cell>
          <cell r="J155">
            <v>16728.8</v>
          </cell>
          <cell r="K155">
            <v>18529.5</v>
          </cell>
          <cell r="L155">
            <v>-30</v>
          </cell>
          <cell r="M155">
            <v>57979.7</v>
          </cell>
          <cell r="N155">
            <v>60341.4</v>
          </cell>
          <cell r="O155">
            <v>180</v>
          </cell>
          <cell r="P155">
            <v>49.7</v>
          </cell>
          <cell r="Q155">
            <v>58.4</v>
          </cell>
        </row>
        <row r="156">
          <cell r="A156" t="str">
            <v>37591-C-5 RERP</v>
          </cell>
          <cell r="B156">
            <v>37591</v>
          </cell>
          <cell r="C156" t="str">
            <v>C-5 RERP</v>
          </cell>
          <cell r="D156" t="str">
            <v>C-5 RERP</v>
          </cell>
          <cell r="E156">
            <v>2000</v>
          </cell>
          <cell r="F156" t="str">
            <v>DE</v>
          </cell>
          <cell r="G156">
            <v>8798</v>
          </cell>
          <cell r="H156">
            <v>11093.9</v>
          </cell>
          <cell r="I156">
            <v>126</v>
          </cell>
          <cell r="J156">
            <v>-243.3</v>
          </cell>
          <cell r="K156">
            <v>-836.8</v>
          </cell>
          <cell r="L156">
            <v>-14</v>
          </cell>
          <cell r="M156">
            <v>8554.7000000000007</v>
          </cell>
          <cell r="N156">
            <v>10257.1</v>
          </cell>
          <cell r="O156">
            <v>112</v>
          </cell>
          <cell r="P156">
            <v>2.8</v>
          </cell>
          <cell r="Q156">
            <v>-2.2000000000000002</v>
          </cell>
        </row>
        <row r="157">
          <cell r="A157" t="str">
            <v>37591-EELV</v>
          </cell>
          <cell r="B157">
            <v>37591</v>
          </cell>
          <cell r="C157" t="str">
            <v>EELV</v>
          </cell>
          <cell r="D157" t="str">
            <v>EELV</v>
          </cell>
          <cell r="E157">
            <v>1995</v>
          </cell>
          <cell r="F157" t="str">
            <v>DE</v>
          </cell>
          <cell r="G157">
            <v>13116.6</v>
          </cell>
          <cell r="H157">
            <v>17347.8</v>
          </cell>
          <cell r="I157">
            <v>181</v>
          </cell>
          <cell r="J157">
            <v>2876.3</v>
          </cell>
          <cell r="K157">
            <v>2936.7</v>
          </cell>
          <cell r="L157">
            <v>1</v>
          </cell>
          <cell r="M157">
            <v>15992.9</v>
          </cell>
          <cell r="N157">
            <v>20284.5</v>
          </cell>
          <cell r="O157">
            <v>182</v>
          </cell>
          <cell r="P157">
            <v>20.8</v>
          </cell>
          <cell r="Q157">
            <v>16</v>
          </cell>
        </row>
        <row r="158">
          <cell r="A158" t="str">
            <v>37591-F-22</v>
          </cell>
          <cell r="B158">
            <v>37591</v>
          </cell>
          <cell r="C158" t="str">
            <v>F/A-22</v>
          </cell>
          <cell r="D158" t="str">
            <v>F-22</v>
          </cell>
          <cell r="E158">
            <v>1990</v>
          </cell>
          <cell r="F158" t="str">
            <v>DE</v>
          </cell>
          <cell r="G158">
            <v>60270</v>
          </cell>
          <cell r="H158">
            <v>99109</v>
          </cell>
          <cell r="I158">
            <v>648</v>
          </cell>
          <cell r="J158">
            <v>-4054.5</v>
          </cell>
          <cell r="K158">
            <v>-27323.7</v>
          </cell>
          <cell r="L158">
            <v>-370</v>
          </cell>
          <cell r="M158">
            <v>56215.5</v>
          </cell>
          <cell r="N158">
            <v>71785.3</v>
          </cell>
          <cell r="O158">
            <v>278</v>
          </cell>
          <cell r="P158">
            <v>36.200000000000003</v>
          </cell>
          <cell r="Q158">
            <v>20.7</v>
          </cell>
        </row>
        <row r="159">
          <cell r="A159" t="str">
            <v>37591-GBS</v>
          </cell>
          <cell r="B159">
            <v>37591</v>
          </cell>
          <cell r="C159" t="str">
            <v>GBS</v>
          </cell>
          <cell r="D159" t="str">
            <v>GBS</v>
          </cell>
          <cell r="E159">
            <v>1997</v>
          </cell>
          <cell r="F159" t="str">
            <v>DE</v>
          </cell>
          <cell r="G159">
            <v>451.4</v>
          </cell>
          <cell r="H159">
            <v>497.1</v>
          </cell>
          <cell r="I159">
            <v>346</v>
          </cell>
          <cell r="J159">
            <v>237.8</v>
          </cell>
          <cell r="K159">
            <v>242.6</v>
          </cell>
          <cell r="L159">
            <v>705</v>
          </cell>
          <cell r="M159">
            <v>689.2</v>
          </cell>
          <cell r="N159">
            <v>739.7</v>
          </cell>
          <cell r="O159">
            <v>1051</v>
          </cell>
          <cell r="P159">
            <v>1.8</v>
          </cell>
          <cell r="Q159">
            <v>-1.8</v>
          </cell>
        </row>
        <row r="160">
          <cell r="A160" t="str">
            <v>37591-RQ-4 GLOBAL HAWK</v>
          </cell>
          <cell r="B160">
            <v>37591</v>
          </cell>
          <cell r="C160" t="str">
            <v>GLOBAL HAWK</v>
          </cell>
          <cell r="D160" t="str">
            <v>RQ-4 GLOBAL HAWK</v>
          </cell>
          <cell r="E160">
            <v>2000</v>
          </cell>
          <cell r="F160" t="str">
            <v>DE</v>
          </cell>
          <cell r="G160">
            <v>4350.3</v>
          </cell>
          <cell r="H160">
            <v>5394</v>
          </cell>
          <cell r="I160">
            <v>63</v>
          </cell>
          <cell r="J160">
            <v>899.5</v>
          </cell>
          <cell r="K160">
            <v>420.9</v>
          </cell>
          <cell r="L160">
            <v>-12</v>
          </cell>
          <cell r="M160">
            <v>5249.8</v>
          </cell>
          <cell r="N160">
            <v>5814.9</v>
          </cell>
          <cell r="O160">
            <v>51</v>
          </cell>
          <cell r="P160">
            <v>34.700000000000003</v>
          </cell>
          <cell r="Q160">
            <v>22.6</v>
          </cell>
        </row>
        <row r="161">
          <cell r="A161" t="str">
            <v>37591-JASSM</v>
          </cell>
          <cell r="B161">
            <v>37591</v>
          </cell>
          <cell r="C161" t="str">
            <v>JASSM</v>
          </cell>
          <cell r="D161" t="str">
            <v>JASSM</v>
          </cell>
          <cell r="E161">
            <v>1995</v>
          </cell>
          <cell r="F161" t="str">
            <v>DE</v>
          </cell>
          <cell r="G161">
            <v>1749.5</v>
          </cell>
          <cell r="H161">
            <v>2073.3000000000002</v>
          </cell>
          <cell r="I161">
            <v>2469</v>
          </cell>
          <cell r="J161">
            <v>1603.2</v>
          </cell>
          <cell r="K161">
            <v>1977.5</v>
          </cell>
          <cell r="L161">
            <v>1965</v>
          </cell>
          <cell r="M161">
            <v>3352.7</v>
          </cell>
          <cell r="N161">
            <v>4050.8</v>
          </cell>
          <cell r="O161">
            <v>4434</v>
          </cell>
          <cell r="P161">
            <v>29.2</v>
          </cell>
          <cell r="Q161">
            <v>25</v>
          </cell>
        </row>
        <row r="162">
          <cell r="A162" t="str">
            <v>37591-JDAM</v>
          </cell>
          <cell r="B162">
            <v>37591</v>
          </cell>
          <cell r="C162" t="str">
            <v>JDAM</v>
          </cell>
          <cell r="D162" t="str">
            <v>JDAM</v>
          </cell>
          <cell r="E162">
            <v>1995</v>
          </cell>
          <cell r="F162" t="str">
            <v>PdE</v>
          </cell>
          <cell r="G162">
            <v>2300.3000000000002</v>
          </cell>
          <cell r="H162">
            <v>2606.6999999999998</v>
          </cell>
          <cell r="I162">
            <v>89065</v>
          </cell>
          <cell r="J162">
            <v>2734.7</v>
          </cell>
          <cell r="K162">
            <v>3148.7</v>
          </cell>
          <cell r="L162">
            <v>137890</v>
          </cell>
          <cell r="M162">
            <v>5035</v>
          </cell>
          <cell r="N162">
            <v>5755.4</v>
          </cell>
          <cell r="O162">
            <v>226955</v>
          </cell>
          <cell r="P162">
            <v>26.7</v>
          </cell>
          <cell r="Q162">
            <v>24.3</v>
          </cell>
        </row>
        <row r="163">
          <cell r="A163" t="str">
            <v>37591-JPATS</v>
          </cell>
          <cell r="B163">
            <v>37591</v>
          </cell>
          <cell r="C163" t="str">
            <v>JPATS</v>
          </cell>
          <cell r="D163" t="str">
            <v>JPATS</v>
          </cell>
          <cell r="E163">
            <v>2002</v>
          </cell>
          <cell r="F163" t="str">
            <v>PdE</v>
          </cell>
          <cell r="G163">
            <v>4529</v>
          </cell>
          <cell r="H163">
            <v>5041.1000000000004</v>
          </cell>
          <cell r="I163">
            <v>783</v>
          </cell>
          <cell r="J163">
            <v>189.7</v>
          </cell>
          <cell r="K163">
            <v>59.3</v>
          </cell>
          <cell r="L163" t="str">
            <v>-</v>
          </cell>
          <cell r="M163">
            <v>4718.7</v>
          </cell>
          <cell r="N163">
            <v>5100.3999999999996</v>
          </cell>
          <cell r="O163">
            <v>783</v>
          </cell>
          <cell r="P163">
            <v>4.2</v>
          </cell>
          <cell r="Q163">
            <v>1.2</v>
          </cell>
        </row>
        <row r="164">
          <cell r="A164" t="str">
            <v>37591-E-8 JSTARS</v>
          </cell>
          <cell r="B164">
            <v>37591</v>
          </cell>
          <cell r="C164" t="str">
            <v>JSTARS</v>
          </cell>
          <cell r="D164" t="str">
            <v>E-8 JSTARS</v>
          </cell>
          <cell r="E164">
            <v>1998</v>
          </cell>
          <cell r="F164" t="str">
            <v>PdE</v>
          </cell>
          <cell r="G164">
            <v>9932.2999999999993</v>
          </cell>
          <cell r="H164">
            <v>9762.1</v>
          </cell>
          <cell r="I164">
            <v>20</v>
          </cell>
          <cell r="J164">
            <v>40.700000000000003</v>
          </cell>
          <cell r="K164">
            <v>-109.9</v>
          </cell>
          <cell r="L164">
            <v>-2</v>
          </cell>
          <cell r="M164">
            <v>9973</v>
          </cell>
          <cell r="N164">
            <v>9652.2000000000007</v>
          </cell>
          <cell r="O164">
            <v>18</v>
          </cell>
          <cell r="P164">
            <v>5.3</v>
          </cell>
          <cell r="Q164">
            <v>5.4</v>
          </cell>
        </row>
        <row r="165">
          <cell r="A165" t="str">
            <v>37591-MINUTEMAN III GRP</v>
          </cell>
          <cell r="B165">
            <v>37591</v>
          </cell>
          <cell r="C165" t="str">
            <v>MINUTEMAN III GRP</v>
          </cell>
          <cell r="D165" t="str">
            <v>MINUTEMAN III GRP</v>
          </cell>
          <cell r="E165">
            <v>1993</v>
          </cell>
          <cell r="F165" t="str">
            <v>PdE</v>
          </cell>
          <cell r="G165">
            <v>2012.5</v>
          </cell>
          <cell r="H165">
            <v>2400.1</v>
          </cell>
          <cell r="I165">
            <v>652</v>
          </cell>
          <cell r="J165">
            <v>157.5</v>
          </cell>
          <cell r="K165">
            <v>94.7</v>
          </cell>
          <cell r="L165">
            <v>-11</v>
          </cell>
          <cell r="M165">
            <v>2170</v>
          </cell>
          <cell r="N165">
            <v>2494.8000000000002</v>
          </cell>
          <cell r="O165">
            <v>641</v>
          </cell>
          <cell r="P165">
            <v>10.7</v>
          </cell>
          <cell r="Q165">
            <v>6.6</v>
          </cell>
        </row>
        <row r="166">
          <cell r="A166" t="str">
            <v>37591-MINUTEMAN III PRP</v>
          </cell>
          <cell r="B166">
            <v>37591</v>
          </cell>
          <cell r="C166" t="str">
            <v>MINUTEMAN III PRP</v>
          </cell>
          <cell r="D166" t="str">
            <v>MINUTEMAN III PRP</v>
          </cell>
          <cell r="E166">
            <v>1994</v>
          </cell>
          <cell r="F166" t="str">
            <v>PdE</v>
          </cell>
          <cell r="G166">
            <v>2086.8000000000002</v>
          </cell>
          <cell r="H166">
            <v>2600.8000000000002</v>
          </cell>
          <cell r="I166">
            <v>607</v>
          </cell>
          <cell r="J166">
            <v>-117</v>
          </cell>
          <cell r="K166">
            <v>-322.7</v>
          </cell>
          <cell r="L166">
            <v>-1</v>
          </cell>
          <cell r="M166">
            <v>1969.8</v>
          </cell>
          <cell r="N166">
            <v>2278.1</v>
          </cell>
          <cell r="O166">
            <v>606</v>
          </cell>
          <cell r="P166">
            <v>-5.5</v>
          </cell>
          <cell r="Q166">
            <v>-12.3</v>
          </cell>
        </row>
        <row r="167">
          <cell r="A167" t="str">
            <v>37591-NAS</v>
          </cell>
          <cell r="B167">
            <v>37591</v>
          </cell>
          <cell r="C167" t="str">
            <v>NAS</v>
          </cell>
          <cell r="D167" t="str">
            <v>NAS</v>
          </cell>
          <cell r="E167">
            <v>1990</v>
          </cell>
          <cell r="F167" t="str">
            <v>DE</v>
          </cell>
          <cell r="G167">
            <v>573.29999999999995</v>
          </cell>
          <cell r="H167">
            <v>791.1</v>
          </cell>
          <cell r="I167">
            <v>53</v>
          </cell>
          <cell r="J167">
            <v>503.8</v>
          </cell>
          <cell r="K167">
            <v>666.2</v>
          </cell>
          <cell r="L167">
            <v>39</v>
          </cell>
          <cell r="M167">
            <v>1077.0999999999999</v>
          </cell>
          <cell r="N167">
            <v>1457.3</v>
          </cell>
          <cell r="O167">
            <v>92</v>
          </cell>
          <cell r="P167">
            <v>36.200000000000003</v>
          </cell>
          <cell r="Q167">
            <v>33.5</v>
          </cell>
        </row>
        <row r="168">
          <cell r="A168" t="str">
            <v>37591-NAVSTAR GPS</v>
          </cell>
          <cell r="B168">
            <v>37591</v>
          </cell>
          <cell r="C168" t="str">
            <v>NAVSTAR GPS</v>
          </cell>
          <cell r="D168" t="str">
            <v>NAVSTAR GPS</v>
          </cell>
          <cell r="E168">
            <v>2000</v>
          </cell>
          <cell r="F168" t="str">
            <v>PdE</v>
          </cell>
          <cell r="G168">
            <v>5813.4</v>
          </cell>
          <cell r="H168">
            <v>5995.3</v>
          </cell>
          <cell r="I168">
            <v>33</v>
          </cell>
          <cell r="J168">
            <v>812.6</v>
          </cell>
          <cell r="K168">
            <v>862</v>
          </cell>
          <cell r="L168">
            <v>4</v>
          </cell>
          <cell r="M168">
            <v>6626</v>
          </cell>
          <cell r="N168">
            <v>6857.3</v>
          </cell>
          <cell r="O168">
            <v>37</v>
          </cell>
          <cell r="P168">
            <v>9.1</v>
          </cell>
          <cell r="Q168">
            <v>9.1</v>
          </cell>
        </row>
        <row r="169">
          <cell r="A169" t="str">
            <v>37591-NPOESS</v>
          </cell>
          <cell r="B169">
            <v>37591</v>
          </cell>
          <cell r="C169" t="str">
            <v xml:space="preserve">NPOESS </v>
          </cell>
          <cell r="D169" t="str">
            <v>NPOESS</v>
          </cell>
          <cell r="E169">
            <v>2002</v>
          </cell>
          <cell r="F169" t="str">
            <v>PdE</v>
          </cell>
          <cell r="G169">
            <v>5538</v>
          </cell>
          <cell r="H169">
            <v>6117.6</v>
          </cell>
          <cell r="I169">
            <v>6</v>
          </cell>
          <cell r="J169">
            <v>538.5</v>
          </cell>
          <cell r="K169">
            <v>468.2</v>
          </cell>
          <cell r="L169" t="str">
            <v>-</v>
          </cell>
          <cell r="M169">
            <v>6076.5</v>
          </cell>
          <cell r="N169">
            <v>6585.8</v>
          </cell>
          <cell r="O169">
            <v>6</v>
          </cell>
          <cell r="P169">
            <v>9.6999999999999993</v>
          </cell>
          <cell r="Q169">
            <v>7.7</v>
          </cell>
        </row>
        <row r="170">
          <cell r="A170" t="str">
            <v>37591-SBIRS</v>
          </cell>
          <cell r="B170">
            <v>37591</v>
          </cell>
          <cell r="C170" t="str">
            <v>SBIRS HIGH</v>
          </cell>
          <cell r="D170" t="str">
            <v>SBIRS</v>
          </cell>
          <cell r="E170">
            <v>1995</v>
          </cell>
          <cell r="F170" t="str">
            <v>DE</v>
          </cell>
          <cell r="G170">
            <v>3679.5</v>
          </cell>
          <cell r="H170">
            <v>4147.3</v>
          </cell>
          <cell r="I170">
            <v>5</v>
          </cell>
          <cell r="J170">
            <v>3855.7</v>
          </cell>
          <cell r="K170">
            <v>4459</v>
          </cell>
          <cell r="L170" t="str">
            <v>-</v>
          </cell>
          <cell r="M170">
            <v>7535.2</v>
          </cell>
          <cell r="N170">
            <v>8606.2999999999993</v>
          </cell>
          <cell r="O170">
            <v>5</v>
          </cell>
          <cell r="P170">
            <v>103.3</v>
          </cell>
          <cell r="Q170">
            <v>106.2</v>
          </cell>
        </row>
        <row r="171">
          <cell r="A171" t="str">
            <v>37591-WGS</v>
          </cell>
          <cell r="B171">
            <v>37591</v>
          </cell>
          <cell r="C171" t="str">
            <v>WIDEBAND GAPFILLER</v>
          </cell>
          <cell r="D171" t="str">
            <v>WGS</v>
          </cell>
          <cell r="E171">
            <v>2001</v>
          </cell>
          <cell r="F171" t="str">
            <v>PdE</v>
          </cell>
          <cell r="G171">
            <v>980.4</v>
          </cell>
          <cell r="H171">
            <v>1042.5</v>
          </cell>
          <cell r="I171">
            <v>3</v>
          </cell>
          <cell r="J171">
            <v>463.1</v>
          </cell>
          <cell r="K171">
            <v>501.6</v>
          </cell>
          <cell r="L171">
            <v>2</v>
          </cell>
          <cell r="M171">
            <v>1443.5</v>
          </cell>
          <cell r="N171">
            <v>1544.1</v>
          </cell>
          <cell r="O171">
            <v>5</v>
          </cell>
          <cell r="P171">
            <v>-6.3</v>
          </cell>
          <cell r="Q171">
            <v>-7.9</v>
          </cell>
        </row>
        <row r="172">
          <cell r="A172" t="str">
            <v>37591-Air Force Subtotal</v>
          </cell>
          <cell r="B172">
            <v>37591</v>
          </cell>
          <cell r="C172" t="str">
            <v>Air Force Subtotal</v>
          </cell>
          <cell r="D172" t="str">
            <v>Air Force Subtotal</v>
          </cell>
          <cell r="G172">
            <v>190278.7</v>
          </cell>
          <cell r="H172">
            <v>243400.9</v>
          </cell>
          <cell r="J172">
            <v>38545.599999999999</v>
          </cell>
          <cell r="K172">
            <v>18922.3</v>
          </cell>
          <cell r="M172">
            <v>228824.3</v>
          </cell>
          <cell r="N172">
            <v>262323.20000000001</v>
          </cell>
          <cell r="P172">
            <v>28.1</v>
          </cell>
          <cell r="Q172">
            <v>21.8</v>
          </cell>
        </row>
        <row r="174">
          <cell r="C174" t="str">
            <v>DoD</v>
          </cell>
        </row>
        <row r="175">
          <cell r="A175" t="e">
            <v>#N/A</v>
          </cell>
          <cell r="B175">
            <v>37591</v>
          </cell>
          <cell r="C175" t="str">
            <v xml:space="preserve">BMDS (RDT&amp;E Only) </v>
          </cell>
          <cell r="D175" t="e">
            <v>#N/A</v>
          </cell>
          <cell r="E175">
            <v>2002</v>
          </cell>
          <cell r="F175" t="str">
            <v>PE</v>
          </cell>
          <cell r="G175">
            <v>44740.1</v>
          </cell>
          <cell r="H175">
            <v>47217.1</v>
          </cell>
          <cell r="I175" t="str">
            <v>-</v>
          </cell>
          <cell r="J175">
            <v>14389.9</v>
          </cell>
          <cell r="K175">
            <v>15679.4</v>
          </cell>
          <cell r="L175" t="str">
            <v>-</v>
          </cell>
          <cell r="M175">
            <v>59130</v>
          </cell>
          <cell r="N175">
            <v>62896.5</v>
          </cell>
          <cell r="O175" t="str">
            <v>-</v>
          </cell>
          <cell r="P175">
            <v>32.200000000000003</v>
          </cell>
          <cell r="Q175">
            <v>33.200000000000003</v>
          </cell>
        </row>
        <row r="176">
          <cell r="A176" t="e">
            <v>#N/A</v>
          </cell>
          <cell r="B176">
            <v>37591</v>
          </cell>
          <cell r="C176" t="str">
            <v>CHEM DEMIL</v>
          </cell>
          <cell r="D176" t="e">
            <v>#N/A</v>
          </cell>
          <cell r="E176">
            <v>1994</v>
          </cell>
          <cell r="F176" t="str">
            <v>PdE</v>
          </cell>
          <cell r="G176">
            <v>13471.1</v>
          </cell>
          <cell r="H176">
            <v>15310.3</v>
          </cell>
          <cell r="I176">
            <v>32194</v>
          </cell>
          <cell r="J176">
            <v>7214.2</v>
          </cell>
          <cell r="K176">
            <v>8510.2999999999993</v>
          </cell>
          <cell r="L176" t="str">
            <v>-</v>
          </cell>
          <cell r="M176">
            <v>20685.3</v>
          </cell>
          <cell r="N176">
            <v>23820.6</v>
          </cell>
          <cell r="O176">
            <v>32194</v>
          </cell>
          <cell r="P176">
            <v>53.6</v>
          </cell>
          <cell r="Q176">
            <v>55.6</v>
          </cell>
        </row>
        <row r="177">
          <cell r="A177" t="str">
            <v>37591-F-35</v>
          </cell>
          <cell r="B177">
            <v>37591</v>
          </cell>
          <cell r="C177" t="str">
            <v xml:space="preserve">JSF (F-35) </v>
          </cell>
          <cell r="D177" t="str">
            <v>F-35</v>
          </cell>
          <cell r="E177">
            <v>2002</v>
          </cell>
          <cell r="F177" t="str">
            <v>DE</v>
          </cell>
          <cell r="G177">
            <v>75600</v>
          </cell>
          <cell r="H177">
            <v>231000</v>
          </cell>
          <cell r="I177">
            <v>2866</v>
          </cell>
          <cell r="J177">
            <v>-14056.1</v>
          </cell>
          <cell r="K177">
            <v>-31263.599999999999</v>
          </cell>
          <cell r="L177">
            <v>-409</v>
          </cell>
          <cell r="M177">
            <v>161543.9</v>
          </cell>
          <cell r="N177">
            <v>199736.4</v>
          </cell>
          <cell r="O177">
            <v>2457</v>
          </cell>
          <cell r="P177">
            <v>1.4</v>
          </cell>
          <cell r="Q177">
            <v>-2.8</v>
          </cell>
        </row>
        <row r="178">
          <cell r="A178" t="str">
            <v>37591-JSIMS</v>
          </cell>
          <cell r="B178">
            <v>37591</v>
          </cell>
          <cell r="C178" t="str">
            <v>JSIMS</v>
          </cell>
          <cell r="D178" t="str">
            <v>JSIMS</v>
          </cell>
          <cell r="E178">
            <v>2001</v>
          </cell>
          <cell r="F178" t="str">
            <v>DE</v>
          </cell>
          <cell r="G178">
            <v>1281.5999999999999</v>
          </cell>
          <cell r="H178">
            <v>1316.7</v>
          </cell>
          <cell r="I178">
            <v>1</v>
          </cell>
          <cell r="J178">
            <v>-351.1</v>
          </cell>
          <cell r="K178">
            <v>-385.5</v>
          </cell>
          <cell r="L178" t="str">
            <v>-</v>
          </cell>
          <cell r="M178">
            <v>930.5</v>
          </cell>
          <cell r="N178">
            <v>931.2</v>
          </cell>
          <cell r="O178">
            <v>1</v>
          </cell>
          <cell r="P178">
            <v>-27.4</v>
          </cell>
          <cell r="Q178">
            <v>-29.3</v>
          </cell>
        </row>
        <row r="179">
          <cell r="A179" t="str">
            <v>37591-JTRS NED</v>
          </cell>
          <cell r="B179">
            <v>37591</v>
          </cell>
          <cell r="C179" t="str">
            <v>JTRS WAVEFORM</v>
          </cell>
          <cell r="D179" t="str">
            <v>JTRS NED</v>
          </cell>
          <cell r="E179">
            <v>2002</v>
          </cell>
          <cell r="F179" t="str">
            <v>DE</v>
          </cell>
          <cell r="G179">
            <v>812.9</v>
          </cell>
          <cell r="H179">
            <v>914.4</v>
          </cell>
          <cell r="I179" t="str">
            <v>-</v>
          </cell>
          <cell r="J179">
            <v>-16.600000000000001</v>
          </cell>
          <cell r="K179">
            <v>30.3</v>
          </cell>
          <cell r="L179" t="str">
            <v>-</v>
          </cell>
          <cell r="M179">
            <v>796.3</v>
          </cell>
          <cell r="N179">
            <v>944.7</v>
          </cell>
          <cell r="O179" t="str">
            <v>-</v>
          </cell>
          <cell r="P179">
            <v>-2</v>
          </cell>
          <cell r="Q179">
            <v>3.3</v>
          </cell>
        </row>
        <row r="180">
          <cell r="A180" t="str">
            <v>37591-DoD Subtotal</v>
          </cell>
          <cell r="B180">
            <v>37591</v>
          </cell>
          <cell r="C180" t="str">
            <v>DoD Subtotal</v>
          </cell>
          <cell r="D180" t="str">
            <v>DoD Subtotal</v>
          </cell>
          <cell r="G180">
            <v>235905.7</v>
          </cell>
          <cell r="H180">
            <v>295758.5</v>
          </cell>
          <cell r="J180">
            <v>7180.3</v>
          </cell>
          <cell r="K180">
            <v>-7429.1</v>
          </cell>
          <cell r="M180">
            <v>243086</v>
          </cell>
          <cell r="N180">
            <v>288329.40000000002</v>
          </cell>
          <cell r="P180">
            <v>10.6</v>
          </cell>
          <cell r="Q180">
            <v>6.8</v>
          </cell>
        </row>
        <row r="181">
          <cell r="A181" t="str">
            <v>37591-Grand Total</v>
          </cell>
          <cell r="B181">
            <v>37591</v>
          </cell>
          <cell r="C181" t="str">
            <v>Grand Total</v>
          </cell>
          <cell r="D181" t="str">
            <v>Grand Total</v>
          </cell>
          <cell r="G181">
            <v>790495.5</v>
          </cell>
          <cell r="H181">
            <v>1004217.7</v>
          </cell>
          <cell r="J181">
            <v>151948.79999999999</v>
          </cell>
          <cell r="K181">
            <v>125450.7</v>
          </cell>
          <cell r="M181">
            <v>942444.3</v>
          </cell>
          <cell r="N181">
            <v>1129668.3999999999</v>
          </cell>
          <cell r="P181">
            <v>21.2</v>
          </cell>
          <cell r="Q181">
            <v>13.5</v>
          </cell>
        </row>
        <row r="821">
          <cell r="D821" t="str">
            <v>AB3 APACHE Block III</v>
          </cell>
          <cell r="E821">
            <v>2006</v>
          </cell>
          <cell r="F821" t="str">
            <v>DE</v>
          </cell>
          <cell r="G821">
            <v>6553</v>
          </cell>
          <cell r="H821">
            <v>8093.9</v>
          </cell>
          <cell r="I821">
            <v>602</v>
          </cell>
          <cell r="J821">
            <v>3161.1</v>
          </cell>
          <cell r="K821">
            <v>3592.1</v>
          </cell>
          <cell r="L821">
            <v>93</v>
          </cell>
          <cell r="M821">
            <v>9714.1</v>
          </cell>
          <cell r="N821">
            <v>11686</v>
          </cell>
          <cell r="O821">
            <v>695</v>
          </cell>
          <cell r="P821">
            <v>42.4</v>
          </cell>
          <cell r="Q821">
            <v>37.700000000000003</v>
          </cell>
        </row>
        <row r="822">
          <cell r="D822" t="str">
            <v>ATIRCM/CMWS SPLIT</v>
          </cell>
          <cell r="E822">
            <v>2003</v>
          </cell>
          <cell r="F822" t="str">
            <v>PDE</v>
          </cell>
          <cell r="G822">
            <v>894.8</v>
          </cell>
          <cell r="H822">
            <v>1054.4000000000001</v>
          </cell>
          <cell r="I822">
            <v>0</v>
          </cell>
          <cell r="J822">
            <v>28.9</v>
          </cell>
          <cell r="K822">
            <v>-20.399999999999999</v>
          </cell>
          <cell r="L822">
            <v>208</v>
          </cell>
          <cell r="M822">
            <v>923.7</v>
          </cell>
          <cell r="N822">
            <v>1034</v>
          </cell>
          <cell r="O822">
            <v>208</v>
          </cell>
          <cell r="P822">
            <v>-14.1</v>
          </cell>
          <cell r="Q822">
            <v>-68</v>
          </cell>
        </row>
        <row r="823">
          <cell r="D823" t="str">
            <v>ATIRCM/CMWS SPLIT</v>
          </cell>
          <cell r="E823">
            <v>2003</v>
          </cell>
          <cell r="F823" t="str">
            <v>PDE</v>
          </cell>
          <cell r="G823">
            <v>1900.9</v>
          </cell>
          <cell r="H823">
            <v>2186.1999999999998</v>
          </cell>
          <cell r="I823">
            <v>2668</v>
          </cell>
          <cell r="J823">
            <v>1168.9000000000001</v>
          </cell>
          <cell r="K823">
            <v>1292.5999999999999</v>
          </cell>
          <cell r="L823">
            <v>1266</v>
          </cell>
          <cell r="M823">
            <v>3069.8</v>
          </cell>
          <cell r="N823">
            <v>3478.8</v>
          </cell>
          <cell r="O823">
            <v>3934</v>
          </cell>
          <cell r="P823">
            <v>34.799999999999997</v>
          </cell>
          <cell r="Q823">
            <v>25.4</v>
          </cell>
        </row>
        <row r="824">
          <cell r="D824" t="str">
            <v>UH-60M</v>
          </cell>
          <cell r="E824">
            <v>2005</v>
          </cell>
          <cell r="F824" t="str">
            <v>PdE</v>
          </cell>
          <cell r="G824">
            <v>16801.7</v>
          </cell>
          <cell r="H824">
            <v>20847.099999999999</v>
          </cell>
          <cell r="I824">
            <v>1235</v>
          </cell>
          <cell r="J824">
            <v>2738.7</v>
          </cell>
          <cell r="K824">
            <v>2834.6</v>
          </cell>
          <cell r="L824">
            <v>0</v>
          </cell>
          <cell r="M824">
            <v>19540.400000000001</v>
          </cell>
          <cell r="N824">
            <v>23681.7</v>
          </cell>
          <cell r="O824">
            <v>1235</v>
          </cell>
          <cell r="P824">
            <v>16.3</v>
          </cell>
          <cell r="Q824">
            <v>13.6</v>
          </cell>
        </row>
        <row r="825">
          <cell r="D825" t="str">
            <v>BRADLEY UPGRADE</v>
          </cell>
          <cell r="E825">
            <v>2001</v>
          </cell>
          <cell r="F825" t="str">
            <v>PdE</v>
          </cell>
          <cell r="G825">
            <v>3724.2</v>
          </cell>
          <cell r="H825">
            <v>3859.8</v>
          </cell>
          <cell r="I825">
            <v>926</v>
          </cell>
          <cell r="J825">
            <v>4344.8</v>
          </cell>
          <cell r="K825">
            <v>5043.3999999999996</v>
          </cell>
          <cell r="L825">
            <v>1715</v>
          </cell>
          <cell r="M825">
            <v>8069</v>
          </cell>
          <cell r="N825">
            <v>8903.2000000000007</v>
          </cell>
          <cell r="O825">
            <v>2641</v>
          </cell>
          <cell r="P825">
            <v>-2.8</v>
          </cell>
          <cell r="Q825">
            <v>-7.7</v>
          </cell>
        </row>
        <row r="826">
          <cell r="D826" t="str">
            <v>CH-47F</v>
          </cell>
          <cell r="E826">
            <v>2005</v>
          </cell>
          <cell r="F826" t="str">
            <v>PdE</v>
          </cell>
          <cell r="G826">
            <v>10614.8</v>
          </cell>
          <cell r="H826">
            <v>12147.4</v>
          </cell>
          <cell r="I826">
            <v>512</v>
          </cell>
          <cell r="J826">
            <v>1437.5</v>
          </cell>
          <cell r="K826">
            <v>1488.8</v>
          </cell>
          <cell r="L826">
            <v>13</v>
          </cell>
          <cell r="M826">
            <v>12052.3</v>
          </cell>
          <cell r="N826">
            <v>13636.2</v>
          </cell>
          <cell r="O826">
            <v>525</v>
          </cell>
          <cell r="P826">
            <v>10.5</v>
          </cell>
          <cell r="Q826">
            <v>9.1</v>
          </cell>
        </row>
        <row r="827">
          <cell r="D827" t="str">
            <v>EXCALIBUR</v>
          </cell>
          <cell r="E827">
            <v>2007</v>
          </cell>
          <cell r="F827" t="str">
            <v>PdE</v>
          </cell>
          <cell r="G827">
            <v>2264.6</v>
          </cell>
          <cell r="H827">
            <v>2518.6999999999998</v>
          </cell>
          <cell r="I827">
            <v>30388</v>
          </cell>
          <cell r="J827">
            <v>33.799999999999997</v>
          </cell>
          <cell r="K827">
            <v>-49.1</v>
          </cell>
          <cell r="L827">
            <v>156</v>
          </cell>
          <cell r="M827">
            <v>2298.4</v>
          </cell>
          <cell r="N827">
            <v>2469.6</v>
          </cell>
          <cell r="O827">
            <v>30544</v>
          </cell>
          <cell r="P827">
            <v>-0.1</v>
          </cell>
          <cell r="Q827">
            <v>-3.5</v>
          </cell>
        </row>
        <row r="828">
          <cell r="D828" t="str">
            <v>FBCB2</v>
          </cell>
          <cell r="E828">
            <v>2005</v>
          </cell>
          <cell r="F828" t="str">
            <v>PdE</v>
          </cell>
          <cell r="G828">
            <v>1579.9</v>
          </cell>
          <cell r="H828">
            <v>1556.7</v>
          </cell>
          <cell r="I828">
            <v>22248</v>
          </cell>
          <cell r="J828">
            <v>2084.6</v>
          </cell>
          <cell r="K828">
            <v>2290.3000000000002</v>
          </cell>
          <cell r="L828">
            <v>67820</v>
          </cell>
          <cell r="M828">
            <v>3664.5</v>
          </cell>
          <cell r="N828">
            <v>3847</v>
          </cell>
          <cell r="O828">
            <v>90068</v>
          </cell>
          <cell r="P828">
            <v>21.7</v>
          </cell>
          <cell r="Q828">
            <v>21.8</v>
          </cell>
        </row>
        <row r="829">
          <cell r="D829" t="str">
            <v>FMTV</v>
          </cell>
          <cell r="E829">
            <v>1996</v>
          </cell>
          <cell r="F829" t="str">
            <v>PdE</v>
          </cell>
          <cell r="G829">
            <v>11594.2</v>
          </cell>
          <cell r="H829">
            <v>18921.3</v>
          </cell>
          <cell r="I829">
            <v>85488</v>
          </cell>
          <cell r="J829">
            <v>5052.6000000000004</v>
          </cell>
          <cell r="K829">
            <v>1705.3</v>
          </cell>
          <cell r="L829">
            <v>-2303</v>
          </cell>
          <cell r="M829">
            <v>16646.8</v>
          </cell>
          <cell r="N829">
            <v>20626.599999999999</v>
          </cell>
          <cell r="O829">
            <v>83185</v>
          </cell>
          <cell r="P829">
            <v>44.8</v>
          </cell>
          <cell r="Q829">
            <v>12.6</v>
          </cell>
        </row>
        <row r="830">
          <cell r="D830" t="str">
            <v>GMLRS</v>
          </cell>
          <cell r="E830">
            <v>2003</v>
          </cell>
          <cell r="F830" t="str">
            <v>PdE</v>
          </cell>
          <cell r="G830">
            <v>9780.2000000000007</v>
          </cell>
          <cell r="H830">
            <v>11848.9</v>
          </cell>
          <cell r="I830">
            <v>140239</v>
          </cell>
          <cell r="J830">
            <v>-4881.3</v>
          </cell>
          <cell r="K830">
            <v>-5790</v>
          </cell>
          <cell r="L830">
            <v>-96357</v>
          </cell>
          <cell r="M830">
            <v>4898.8999999999996</v>
          </cell>
          <cell r="N830">
            <v>6058.9</v>
          </cell>
          <cell r="O830">
            <v>43882</v>
          </cell>
          <cell r="P830">
            <v>22.3</v>
          </cell>
          <cell r="Q830">
            <v>94.4</v>
          </cell>
        </row>
        <row r="831">
          <cell r="D831" t="str">
            <v>HIMARS</v>
          </cell>
          <cell r="E831">
            <v>2003</v>
          </cell>
          <cell r="F831" t="str">
            <v>PdE</v>
          </cell>
          <cell r="G831">
            <v>3711.6</v>
          </cell>
          <cell r="H831">
            <v>4388.3999999999996</v>
          </cell>
          <cell r="I831">
            <v>894</v>
          </cell>
          <cell r="J831">
            <v>-1905.5</v>
          </cell>
          <cell r="K831">
            <v>-2344.6</v>
          </cell>
          <cell r="L831">
            <v>-513</v>
          </cell>
          <cell r="M831">
            <v>1806.1</v>
          </cell>
          <cell r="N831">
            <v>2043.8</v>
          </cell>
          <cell r="O831">
            <v>381</v>
          </cell>
          <cell r="P831">
            <v>-10.7</v>
          </cell>
          <cell r="Q831">
            <v>-0.6</v>
          </cell>
        </row>
        <row r="832">
          <cell r="D832" t="str">
            <v>JLENS</v>
          </cell>
          <cell r="E832">
            <v>2005</v>
          </cell>
          <cell r="F832" t="str">
            <v>DE</v>
          </cell>
          <cell r="G832">
            <v>5850</v>
          </cell>
          <cell r="H832">
            <v>7151</v>
          </cell>
          <cell r="I832">
            <v>16</v>
          </cell>
          <cell r="J832">
            <v>722.5</v>
          </cell>
          <cell r="K832">
            <v>912.8</v>
          </cell>
          <cell r="L832">
            <v>0</v>
          </cell>
          <cell r="M832">
            <v>6572.5</v>
          </cell>
          <cell r="N832">
            <v>8063.8</v>
          </cell>
          <cell r="O832">
            <v>16</v>
          </cell>
          <cell r="P832">
            <v>12.4</v>
          </cell>
          <cell r="Q832">
            <v>12.8</v>
          </cell>
        </row>
        <row r="833">
          <cell r="D833" t="e">
            <v>#N/A</v>
          </cell>
          <cell r="E833">
            <v>1996</v>
          </cell>
          <cell r="F833" t="str">
            <v>PdE</v>
          </cell>
          <cell r="G833">
            <v>5690.6</v>
          </cell>
          <cell r="H833">
            <v>7027.8</v>
          </cell>
          <cell r="I833">
            <v>758</v>
          </cell>
          <cell r="J833">
            <v>5648.2</v>
          </cell>
          <cell r="K833">
            <v>6076.7</v>
          </cell>
          <cell r="L833">
            <v>-2</v>
          </cell>
          <cell r="M833">
            <v>11338.8</v>
          </cell>
          <cell r="N833">
            <v>13104.5</v>
          </cell>
          <cell r="O833">
            <v>756</v>
          </cell>
          <cell r="P833">
            <v>80.2</v>
          </cell>
          <cell r="Q833">
            <v>69.2</v>
          </cell>
        </row>
        <row r="834">
          <cell r="D834" t="str">
            <v>LUH</v>
          </cell>
          <cell r="E834">
            <v>2006</v>
          </cell>
          <cell r="F834" t="str">
            <v>PdE</v>
          </cell>
          <cell r="G834">
            <v>1638.3</v>
          </cell>
          <cell r="H834">
            <v>1883</v>
          </cell>
          <cell r="I834">
            <v>322</v>
          </cell>
          <cell r="J834">
            <v>170</v>
          </cell>
          <cell r="K834">
            <v>120.6</v>
          </cell>
          <cell r="L834">
            <v>23</v>
          </cell>
          <cell r="M834">
            <v>1808.3</v>
          </cell>
          <cell r="N834">
            <v>2003.6</v>
          </cell>
          <cell r="O834">
            <v>345</v>
          </cell>
          <cell r="P834">
            <v>3.4</v>
          </cell>
          <cell r="Q834">
            <v>-0.9</v>
          </cell>
        </row>
        <row r="835">
          <cell r="D835" t="str">
            <v>PATRIOT PAC-3</v>
          </cell>
          <cell r="E835">
            <v>2002</v>
          </cell>
          <cell r="F835" t="str">
            <v>PdE</v>
          </cell>
          <cell r="G835">
            <v>9084</v>
          </cell>
          <cell r="H835">
            <v>9205.7999999999993</v>
          </cell>
          <cell r="I835">
            <v>1159</v>
          </cell>
          <cell r="J835">
            <v>-27.2</v>
          </cell>
          <cell r="K835">
            <v>120.3</v>
          </cell>
          <cell r="L835">
            <v>-53</v>
          </cell>
          <cell r="M835">
            <v>9056.7999999999993</v>
          </cell>
          <cell r="N835">
            <v>9326.1</v>
          </cell>
          <cell r="O835">
            <v>1106</v>
          </cell>
          <cell r="P835">
            <v>-0.3</v>
          </cell>
          <cell r="Q835">
            <v>1.2</v>
          </cell>
        </row>
        <row r="836">
          <cell r="D836" t="str">
            <v>PATRIOT/MEADS CAP SPLIT</v>
          </cell>
          <cell r="E836">
            <v>2004</v>
          </cell>
          <cell r="F836" t="str">
            <v>DE</v>
          </cell>
          <cell r="G836">
            <v>16530.5</v>
          </cell>
          <cell r="H836">
            <v>21839.4</v>
          </cell>
          <cell r="I836">
            <v>48</v>
          </cell>
          <cell r="J836">
            <v>-488.7</v>
          </cell>
          <cell r="K836">
            <v>125.9</v>
          </cell>
          <cell r="L836">
            <v>0</v>
          </cell>
          <cell r="M836">
            <v>16041.8</v>
          </cell>
          <cell r="N836">
            <v>21965.3</v>
          </cell>
          <cell r="O836">
            <v>48</v>
          </cell>
          <cell r="P836">
            <v>-3</v>
          </cell>
          <cell r="Q836">
            <v>0.6</v>
          </cell>
        </row>
        <row r="837">
          <cell r="D837" t="str">
            <v>PATRIOT/MEADS CAP SPLIT</v>
          </cell>
          <cell r="E837">
            <v>2004</v>
          </cell>
          <cell r="F837" t="str">
            <v>DE</v>
          </cell>
          <cell r="G837">
            <v>6220.9</v>
          </cell>
          <cell r="H837">
            <v>8056</v>
          </cell>
          <cell r="I837">
            <v>1528</v>
          </cell>
          <cell r="J837">
            <v>430.9</v>
          </cell>
          <cell r="K837">
            <v>806</v>
          </cell>
          <cell r="L837">
            <v>0</v>
          </cell>
          <cell r="M837">
            <v>6651.8</v>
          </cell>
          <cell r="N837">
            <v>8862</v>
          </cell>
          <cell r="O837">
            <v>1528</v>
          </cell>
          <cell r="P837">
            <v>6.9</v>
          </cell>
          <cell r="Q837">
            <v>10</v>
          </cell>
        </row>
        <row r="838">
          <cell r="D838" t="str">
            <v>STRYKER</v>
          </cell>
          <cell r="E838">
            <v>2004</v>
          </cell>
          <cell r="F838" t="str">
            <v>PdE</v>
          </cell>
          <cell r="G838">
            <v>8276.9</v>
          </cell>
          <cell r="H838">
            <v>8534.7000000000007</v>
          </cell>
          <cell r="I838">
            <v>2096</v>
          </cell>
          <cell r="J838">
            <v>5719.9</v>
          </cell>
          <cell r="K838">
            <v>6661.3</v>
          </cell>
          <cell r="L838">
            <v>1902</v>
          </cell>
          <cell r="M838">
            <v>13996.8</v>
          </cell>
          <cell r="N838">
            <v>15196</v>
          </cell>
          <cell r="O838">
            <v>3998</v>
          </cell>
          <cell r="P838">
            <v>6.3</v>
          </cell>
          <cell r="Q838">
            <v>6.7</v>
          </cell>
        </row>
        <row r="839">
          <cell r="D839" t="str">
            <v>WIN-T Increment 1</v>
          </cell>
          <cell r="E839">
            <v>2007</v>
          </cell>
          <cell r="F839" t="str">
            <v>PdE</v>
          </cell>
          <cell r="G839">
            <v>3798</v>
          </cell>
          <cell r="H839">
            <v>3879.7</v>
          </cell>
          <cell r="I839">
            <v>1677</v>
          </cell>
          <cell r="J839">
            <v>-19.5</v>
          </cell>
          <cell r="K839">
            <v>-44.7</v>
          </cell>
          <cell r="L839">
            <v>100</v>
          </cell>
          <cell r="M839">
            <v>3778.5</v>
          </cell>
          <cell r="N839">
            <v>3835</v>
          </cell>
          <cell r="O839">
            <v>1777</v>
          </cell>
          <cell r="P839">
            <v>-3.4</v>
          </cell>
          <cell r="Q839">
            <v>-4.0999999999999996</v>
          </cell>
        </row>
        <row r="840">
          <cell r="D840" t="str">
            <v>WIN-T Increment 2</v>
          </cell>
          <cell r="E840">
            <v>2010</v>
          </cell>
          <cell r="F840" t="str">
            <v>DE/PdE</v>
          </cell>
          <cell r="G840">
            <v>3617.2</v>
          </cell>
          <cell r="H840">
            <v>3907</v>
          </cell>
          <cell r="I840">
            <v>1893</v>
          </cell>
          <cell r="J840">
            <v>1069.5999999999999</v>
          </cell>
          <cell r="K840">
            <v>1090.7</v>
          </cell>
          <cell r="L840">
            <v>323</v>
          </cell>
          <cell r="M840">
            <v>4686.8</v>
          </cell>
          <cell r="N840">
            <v>4997.7</v>
          </cell>
          <cell r="O840">
            <v>2216</v>
          </cell>
          <cell r="P840">
            <v>14.5</v>
          </cell>
          <cell r="Q840">
            <v>12.7</v>
          </cell>
        </row>
        <row r="841">
          <cell r="D841" t="str">
            <v>Army Subtotal</v>
          </cell>
          <cell r="G841">
            <v>130126.3</v>
          </cell>
          <cell r="H841">
            <v>158907.20000000001</v>
          </cell>
          <cell r="I841">
            <v>294697</v>
          </cell>
          <cell r="J841">
            <v>26489.8</v>
          </cell>
          <cell r="K841">
            <v>25912.6</v>
          </cell>
          <cell r="L841">
            <v>-25609</v>
          </cell>
          <cell r="M841">
            <v>156616.1</v>
          </cell>
          <cell r="N841">
            <v>184819.8</v>
          </cell>
          <cell r="O841">
            <v>269088</v>
          </cell>
          <cell r="P841">
            <v>15.2</v>
          </cell>
          <cell r="Q841">
            <v>11.7</v>
          </cell>
        </row>
        <row r="844">
          <cell r="D844" t="str">
            <v>AGM-88E</v>
          </cell>
          <cell r="E844">
            <v>2003</v>
          </cell>
          <cell r="F844" t="str">
            <v>DE/PdE</v>
          </cell>
          <cell r="G844">
            <v>1339.8</v>
          </cell>
          <cell r="H844">
            <v>1510.9</v>
          </cell>
          <cell r="I844">
            <v>1790</v>
          </cell>
          <cell r="J844">
            <v>210.3</v>
          </cell>
          <cell r="K844">
            <v>340.8</v>
          </cell>
          <cell r="L844">
            <v>129</v>
          </cell>
          <cell r="M844">
            <v>1550.1</v>
          </cell>
          <cell r="N844">
            <v>1851.7</v>
          </cell>
          <cell r="O844">
            <v>1919</v>
          </cell>
          <cell r="P844">
            <v>12</v>
          </cell>
          <cell r="Q844">
            <v>17.899999999999999</v>
          </cell>
        </row>
        <row r="845">
          <cell r="D845" t="str">
            <v>AIM-9X</v>
          </cell>
          <cell r="E845">
            <v>1997</v>
          </cell>
          <cell r="F845" t="str">
            <v>PdE</v>
          </cell>
          <cell r="G845">
            <v>2464</v>
          </cell>
          <cell r="H845">
            <v>3232.9</v>
          </cell>
          <cell r="I845">
            <v>10049</v>
          </cell>
          <cell r="J845">
            <v>392.2</v>
          </cell>
          <cell r="K845">
            <v>433.9</v>
          </cell>
          <cell r="L845">
            <v>93</v>
          </cell>
          <cell r="M845">
            <v>2856.2</v>
          </cell>
          <cell r="N845">
            <v>3666.8</v>
          </cell>
          <cell r="O845">
            <v>10142</v>
          </cell>
          <cell r="P845">
            <v>15.3</v>
          </cell>
          <cell r="Q845">
            <v>12.7</v>
          </cell>
        </row>
        <row r="846">
          <cell r="D846" t="str">
            <v>CEC</v>
          </cell>
          <cell r="E846">
            <v>2002</v>
          </cell>
          <cell r="F846" t="str">
            <v>PdE</v>
          </cell>
          <cell r="G846">
            <v>4123.3</v>
          </cell>
          <cell r="H846">
            <v>4310.7</v>
          </cell>
          <cell r="I846">
            <v>272</v>
          </cell>
          <cell r="J846">
            <v>135.4</v>
          </cell>
          <cell r="K846">
            <v>234.4</v>
          </cell>
          <cell r="L846">
            <v>9</v>
          </cell>
          <cell r="M846">
            <v>4258.7</v>
          </cell>
          <cell r="N846">
            <v>4545.1000000000004</v>
          </cell>
          <cell r="O846">
            <v>281</v>
          </cell>
          <cell r="P846">
            <v>6.1</v>
          </cell>
          <cell r="Q846">
            <v>9.4</v>
          </cell>
        </row>
        <row r="847">
          <cell r="D847" t="str">
            <v>CH-53K</v>
          </cell>
          <cell r="E847">
            <v>2006</v>
          </cell>
          <cell r="F847" t="str">
            <v>DE</v>
          </cell>
          <cell r="G847">
            <v>14980.9</v>
          </cell>
          <cell r="H847">
            <v>18766.3</v>
          </cell>
          <cell r="I847">
            <v>156</v>
          </cell>
          <cell r="J847">
            <v>5134.8</v>
          </cell>
          <cell r="K847">
            <v>6759.8</v>
          </cell>
          <cell r="L847">
            <v>44</v>
          </cell>
          <cell r="M847">
            <v>20115.7</v>
          </cell>
          <cell r="N847">
            <v>25526.1</v>
          </cell>
          <cell r="O847">
            <v>200</v>
          </cell>
          <cell r="P847">
            <v>16.2</v>
          </cell>
          <cell r="Q847">
            <v>16.7</v>
          </cell>
        </row>
        <row r="848">
          <cell r="D848" t="str">
            <v>COBRA JUDY REPLACEMENT</v>
          </cell>
          <cell r="E848">
            <v>2003</v>
          </cell>
          <cell r="F848" t="str">
            <v>DE</v>
          </cell>
          <cell r="G848">
            <v>1365</v>
          </cell>
          <cell r="H848">
            <v>1464</v>
          </cell>
          <cell r="I848">
            <v>1</v>
          </cell>
          <cell r="J848">
            <v>161.30000000000001</v>
          </cell>
          <cell r="K848">
            <v>248.7</v>
          </cell>
          <cell r="L848">
            <v>0</v>
          </cell>
          <cell r="M848">
            <v>1526.3</v>
          </cell>
          <cell r="N848">
            <v>1712.7</v>
          </cell>
          <cell r="O848">
            <v>1</v>
          </cell>
          <cell r="P848">
            <v>11.8</v>
          </cell>
          <cell r="Q848">
            <v>17</v>
          </cell>
        </row>
        <row r="849">
          <cell r="D849" t="str">
            <v>CVN 68</v>
          </cell>
          <cell r="E849">
            <v>1995</v>
          </cell>
          <cell r="F849" t="str">
            <v>PdE</v>
          </cell>
          <cell r="G849">
            <v>4557.1000000000004</v>
          </cell>
          <cell r="H849">
            <v>5540.8</v>
          </cell>
          <cell r="I849">
            <v>1</v>
          </cell>
          <cell r="J849">
            <v>709.7</v>
          </cell>
          <cell r="K849">
            <v>725</v>
          </cell>
          <cell r="L849">
            <v>0</v>
          </cell>
          <cell r="M849">
            <v>5266.8</v>
          </cell>
          <cell r="N849">
            <v>6265.8</v>
          </cell>
          <cell r="O849">
            <v>1</v>
          </cell>
          <cell r="P849">
            <v>15.6</v>
          </cell>
          <cell r="Q849">
            <v>13.1</v>
          </cell>
        </row>
        <row r="850">
          <cell r="D850" t="str">
            <v>CVN 78</v>
          </cell>
          <cell r="E850">
            <v>2000</v>
          </cell>
          <cell r="F850" t="str">
            <v>DE</v>
          </cell>
          <cell r="G850">
            <v>28701.200000000001</v>
          </cell>
          <cell r="H850">
            <v>36082.1</v>
          </cell>
          <cell r="I850">
            <v>3</v>
          </cell>
          <cell r="J850">
            <v>-706.5</v>
          </cell>
          <cell r="K850">
            <v>4463.3999999999996</v>
          </cell>
          <cell r="L850">
            <v>0</v>
          </cell>
          <cell r="M850">
            <v>27994.7</v>
          </cell>
          <cell r="N850">
            <v>40545.5</v>
          </cell>
          <cell r="O850">
            <v>3</v>
          </cell>
          <cell r="P850">
            <v>-2.5</v>
          </cell>
          <cell r="Q850">
            <v>12.4</v>
          </cell>
        </row>
        <row r="851">
          <cell r="D851" t="str">
            <v>DDG 1000</v>
          </cell>
          <cell r="E851">
            <v>2005</v>
          </cell>
          <cell r="F851" t="str">
            <v>DE</v>
          </cell>
          <cell r="G851">
            <v>31547.9</v>
          </cell>
          <cell r="H851">
            <v>36296.300000000003</v>
          </cell>
          <cell r="I851">
            <v>10</v>
          </cell>
          <cell r="J851">
            <v>-13900.4</v>
          </cell>
          <cell r="K851">
            <v>-16524.900000000001</v>
          </cell>
          <cell r="L851">
            <v>-7</v>
          </cell>
          <cell r="M851">
            <v>17647.5</v>
          </cell>
          <cell r="N851">
            <v>19771.400000000001</v>
          </cell>
          <cell r="O851">
            <v>3</v>
          </cell>
          <cell r="P851">
            <v>6.2</v>
          </cell>
          <cell r="Q851">
            <v>17.399999999999999</v>
          </cell>
        </row>
        <row r="852">
          <cell r="D852" t="str">
            <v>DDG 51</v>
          </cell>
          <cell r="E852">
            <v>1987</v>
          </cell>
          <cell r="F852" t="str">
            <v>PdE</v>
          </cell>
          <cell r="G852">
            <v>16953.7</v>
          </cell>
          <cell r="H852">
            <v>20117.5</v>
          </cell>
          <cell r="I852">
            <v>23</v>
          </cell>
          <cell r="J852">
            <v>39638</v>
          </cell>
          <cell r="K852">
            <v>60290.2</v>
          </cell>
          <cell r="L852">
            <v>48</v>
          </cell>
          <cell r="M852">
            <v>56591.7</v>
          </cell>
          <cell r="N852">
            <v>80407.7</v>
          </cell>
          <cell r="O852">
            <v>71</v>
          </cell>
          <cell r="P852">
            <v>22.1</v>
          </cell>
          <cell r="Q852">
            <v>21.4</v>
          </cell>
        </row>
        <row r="853">
          <cell r="D853" t="str">
            <v>E-2D AHE</v>
          </cell>
          <cell r="E853">
            <v>2009</v>
          </cell>
          <cell r="F853" t="str">
            <v>PdE</v>
          </cell>
          <cell r="G853">
            <v>17468.599999999999</v>
          </cell>
          <cell r="H853">
            <v>19031.400000000001</v>
          </cell>
          <cell r="I853">
            <v>75</v>
          </cell>
          <cell r="J853">
            <v>11.3</v>
          </cell>
          <cell r="K853">
            <v>-127.1</v>
          </cell>
          <cell r="L853">
            <v>0</v>
          </cell>
          <cell r="M853">
            <v>17479.900000000001</v>
          </cell>
          <cell r="N853">
            <v>18904.3</v>
          </cell>
          <cell r="O853">
            <v>75</v>
          </cell>
          <cell r="P853">
            <v>0.1</v>
          </cell>
          <cell r="Q853">
            <v>-0.7</v>
          </cell>
        </row>
        <row r="854">
          <cell r="D854" t="str">
            <v>EA-18G</v>
          </cell>
          <cell r="E854">
            <v>2004</v>
          </cell>
          <cell r="F854" t="str">
            <v>PdE</v>
          </cell>
          <cell r="G854">
            <v>7530.8</v>
          </cell>
          <cell r="H854">
            <v>8636.4</v>
          </cell>
          <cell r="I854">
            <v>84</v>
          </cell>
          <cell r="J854">
            <v>2521.1</v>
          </cell>
          <cell r="K854">
            <v>2913.7</v>
          </cell>
          <cell r="L854">
            <v>30</v>
          </cell>
          <cell r="M854">
            <v>10051.9</v>
          </cell>
          <cell r="N854">
            <v>11550.1</v>
          </cell>
          <cell r="O854">
            <v>114</v>
          </cell>
          <cell r="P854">
            <v>8</v>
          </cell>
          <cell r="Q854">
            <v>7.3</v>
          </cell>
        </row>
        <row r="855">
          <cell r="D855" t="str">
            <v>EA-6B ICAP III</v>
          </cell>
          <cell r="E855">
            <v>2008</v>
          </cell>
          <cell r="F855" t="str">
            <v>PdE</v>
          </cell>
          <cell r="G855">
            <v>1130.0999999999999</v>
          </cell>
          <cell r="H855">
            <v>1053.8</v>
          </cell>
          <cell r="I855">
            <v>34</v>
          </cell>
          <cell r="J855">
            <v>16</v>
          </cell>
          <cell r="K855">
            <v>12.2</v>
          </cell>
          <cell r="L855">
            <v>-2</v>
          </cell>
          <cell r="M855">
            <v>1146.0999999999999</v>
          </cell>
          <cell r="N855">
            <v>1066</v>
          </cell>
          <cell r="O855">
            <v>32</v>
          </cell>
          <cell r="P855">
            <v>3.2</v>
          </cell>
          <cell r="Q855">
            <v>3.2</v>
          </cell>
        </row>
        <row r="856">
          <cell r="D856" t="str">
            <v>EFV</v>
          </cell>
          <cell r="E856">
            <v>2007</v>
          </cell>
          <cell r="F856" t="str">
            <v>DE</v>
          </cell>
          <cell r="G856">
            <v>8493.2000000000007</v>
          </cell>
          <cell r="H856">
            <v>8725.2000000000007</v>
          </cell>
          <cell r="I856">
            <v>1025</v>
          </cell>
          <cell r="J856">
            <v>4753.2</v>
          </cell>
          <cell r="K856">
            <v>6827.8</v>
          </cell>
          <cell r="L856">
            <v>-432</v>
          </cell>
          <cell r="M856">
            <v>13246.4</v>
          </cell>
          <cell r="N856">
            <v>15553</v>
          </cell>
          <cell r="O856">
            <v>593</v>
          </cell>
          <cell r="P856">
            <v>116.2</v>
          </cell>
          <cell r="Q856">
            <v>169.3</v>
          </cell>
        </row>
        <row r="857">
          <cell r="D857" t="str">
            <v>F/A-18E/F</v>
          </cell>
          <cell r="E857">
            <v>2000</v>
          </cell>
          <cell r="F857" t="str">
            <v>PdE</v>
          </cell>
          <cell r="G857">
            <v>38884.699999999997</v>
          </cell>
          <cell r="H857">
            <v>41637.300000000003</v>
          </cell>
          <cell r="I857">
            <v>458</v>
          </cell>
          <cell r="J857">
            <v>5847.4</v>
          </cell>
          <cell r="K857">
            <v>6454.1</v>
          </cell>
          <cell r="L857">
            <v>57</v>
          </cell>
          <cell r="M857">
            <v>44732.1</v>
          </cell>
          <cell r="N857">
            <v>48091.4</v>
          </cell>
          <cell r="O857">
            <v>515</v>
          </cell>
          <cell r="P857">
            <v>7.9</v>
          </cell>
          <cell r="Q857">
            <v>7.1</v>
          </cell>
        </row>
        <row r="858">
          <cell r="D858" t="str">
            <v>H-1 Upgrades</v>
          </cell>
          <cell r="E858">
            <v>2008</v>
          </cell>
          <cell r="F858" t="str">
            <v>PdE</v>
          </cell>
          <cell r="G858">
            <v>11203.4</v>
          </cell>
          <cell r="H858">
            <v>12186.8</v>
          </cell>
          <cell r="I858">
            <v>353</v>
          </cell>
          <cell r="J858">
            <v>257.60000000000002</v>
          </cell>
          <cell r="K858">
            <v>-66.7</v>
          </cell>
          <cell r="L858">
            <v>0</v>
          </cell>
          <cell r="M858">
            <v>11461</v>
          </cell>
          <cell r="N858">
            <v>12120.1</v>
          </cell>
          <cell r="O858">
            <v>353</v>
          </cell>
          <cell r="P858">
            <v>2.2999999999999998</v>
          </cell>
          <cell r="Q858">
            <v>-0.5</v>
          </cell>
        </row>
        <row r="859">
          <cell r="D859" t="str">
            <v>IDECM Split</v>
          </cell>
          <cell r="E859">
            <v>2008</v>
          </cell>
          <cell r="F859" t="str">
            <v>PdE</v>
          </cell>
          <cell r="G859">
            <v>1410.9</v>
          </cell>
          <cell r="H859">
            <v>1535.2</v>
          </cell>
          <cell r="I859">
            <v>12809</v>
          </cell>
          <cell r="J859">
            <v>68.099999999999994</v>
          </cell>
          <cell r="K859">
            <v>107.9</v>
          </cell>
          <cell r="L859">
            <v>-4</v>
          </cell>
          <cell r="M859">
            <v>1479</v>
          </cell>
          <cell r="N859">
            <v>1643.1</v>
          </cell>
          <cell r="O859">
            <v>12805</v>
          </cell>
          <cell r="P859">
            <v>5.6</v>
          </cell>
          <cell r="Q859">
            <v>7.8</v>
          </cell>
        </row>
        <row r="860">
          <cell r="D860" t="str">
            <v>IDECM Split</v>
          </cell>
          <cell r="E860">
            <v>2008</v>
          </cell>
          <cell r="F860" t="str">
            <v>DE</v>
          </cell>
          <cell r="G860">
            <v>660.7</v>
          </cell>
          <cell r="H860">
            <v>746.1</v>
          </cell>
          <cell r="I860">
            <v>160</v>
          </cell>
          <cell r="J860">
            <v>8</v>
          </cell>
          <cell r="K860">
            <v>-9.6</v>
          </cell>
          <cell r="L860">
            <v>6</v>
          </cell>
          <cell r="M860">
            <v>668.7</v>
          </cell>
          <cell r="N860">
            <v>736.5</v>
          </cell>
          <cell r="O860">
            <v>166</v>
          </cell>
          <cell r="P860">
            <v>-1.2</v>
          </cell>
          <cell r="Q860">
            <v>-3.7</v>
          </cell>
        </row>
        <row r="861">
          <cell r="D861" t="str">
            <v>Joint MRAP</v>
          </cell>
          <cell r="E861">
            <v>2008</v>
          </cell>
          <cell r="F861" t="str">
            <v>PdE</v>
          </cell>
          <cell r="G861">
            <v>22013.5</v>
          </cell>
          <cell r="H861">
            <v>22415</v>
          </cell>
          <cell r="I861">
            <v>15374</v>
          </cell>
          <cell r="J861">
            <v>13117.8</v>
          </cell>
          <cell r="K861">
            <v>13876.6</v>
          </cell>
          <cell r="L861">
            <v>7508</v>
          </cell>
          <cell r="M861">
            <v>35131.300000000003</v>
          </cell>
          <cell r="N861">
            <v>36291.599999999999</v>
          </cell>
          <cell r="O861">
            <v>22882</v>
          </cell>
          <cell r="P861">
            <v>20.3</v>
          </cell>
          <cell r="Q861">
            <v>21.7</v>
          </cell>
        </row>
        <row r="862">
          <cell r="D862" t="str">
            <v>JSOW Split</v>
          </cell>
          <cell r="E862">
            <v>1990</v>
          </cell>
          <cell r="F862" t="str">
            <v>PdE</v>
          </cell>
          <cell r="G862">
            <v>3566.3</v>
          </cell>
          <cell r="H862">
            <v>4898.7</v>
          </cell>
          <cell r="I862">
            <v>16124</v>
          </cell>
          <cell r="J862">
            <v>-2087.8000000000002</v>
          </cell>
          <cell r="K862">
            <v>-3036</v>
          </cell>
          <cell r="L862">
            <v>-12790</v>
          </cell>
          <cell r="M862">
            <v>1478.5</v>
          </cell>
          <cell r="N862">
            <v>1862.7</v>
          </cell>
          <cell r="O862">
            <v>3334</v>
          </cell>
          <cell r="P862">
            <v>-1.9</v>
          </cell>
          <cell r="Q862">
            <v>9.9</v>
          </cell>
        </row>
        <row r="863">
          <cell r="D863" t="str">
            <v>JSOW Split</v>
          </cell>
          <cell r="E863">
            <v>1990</v>
          </cell>
          <cell r="F863" t="str">
            <v>PdE</v>
          </cell>
          <cell r="G863">
            <v>1977.8</v>
          </cell>
          <cell r="H863">
            <v>2974.8</v>
          </cell>
          <cell r="I863">
            <v>7000</v>
          </cell>
          <cell r="J863">
            <v>116.9</v>
          </cell>
          <cell r="K863">
            <v>239.2</v>
          </cell>
          <cell r="L863">
            <v>0</v>
          </cell>
          <cell r="M863">
            <v>2094.6999999999998</v>
          </cell>
          <cell r="N863">
            <v>3214</v>
          </cell>
          <cell r="O863">
            <v>7000</v>
          </cell>
          <cell r="P863">
            <v>5.9</v>
          </cell>
          <cell r="Q863">
            <v>8</v>
          </cell>
        </row>
        <row r="864">
          <cell r="D864" t="str">
            <v>LCS</v>
          </cell>
          <cell r="E864">
            <v>2004</v>
          </cell>
          <cell r="F864" t="str">
            <v>PE</v>
          </cell>
          <cell r="G864">
            <v>1172.7</v>
          </cell>
          <cell r="H864">
            <v>1211.7</v>
          </cell>
          <cell r="I864">
            <v>2</v>
          </cell>
          <cell r="J864">
            <v>2176.6999999999998</v>
          </cell>
          <cell r="K864">
            <v>2520.8000000000002</v>
          </cell>
          <cell r="L864">
            <v>0</v>
          </cell>
          <cell r="M864">
            <v>3349.4</v>
          </cell>
          <cell r="N864">
            <v>3732.5</v>
          </cell>
          <cell r="O864">
            <v>2</v>
          </cell>
          <cell r="P864">
            <v>185.6</v>
          </cell>
          <cell r="Q864">
            <v>208</v>
          </cell>
        </row>
        <row r="865">
          <cell r="D865" t="str">
            <v>LHA Replacement</v>
          </cell>
          <cell r="E865">
            <v>2006</v>
          </cell>
          <cell r="F865" t="str">
            <v>DE</v>
          </cell>
          <cell r="G865">
            <v>2877.4</v>
          </cell>
          <cell r="H865">
            <v>3093.5</v>
          </cell>
          <cell r="I865">
            <v>1</v>
          </cell>
          <cell r="J865">
            <v>2988.7</v>
          </cell>
          <cell r="K865">
            <v>3733.3</v>
          </cell>
          <cell r="L865">
            <v>1</v>
          </cell>
          <cell r="M865">
            <v>5866.1</v>
          </cell>
          <cell r="N865">
            <v>6826.8</v>
          </cell>
          <cell r="O865">
            <v>2</v>
          </cell>
          <cell r="P865">
            <v>3</v>
          </cell>
          <cell r="Q865">
            <v>4.9000000000000004</v>
          </cell>
        </row>
        <row r="866">
          <cell r="D866" t="str">
            <v>LPD 17</v>
          </cell>
          <cell r="E866">
            <v>1996</v>
          </cell>
          <cell r="F866" t="str">
            <v>DE</v>
          </cell>
          <cell r="G866">
            <v>9018.1</v>
          </cell>
          <cell r="H866">
            <v>10761.8</v>
          </cell>
          <cell r="I866">
            <v>12</v>
          </cell>
          <cell r="J866">
            <v>5331.6</v>
          </cell>
          <cell r="K866">
            <v>7897.4</v>
          </cell>
          <cell r="L866">
            <v>-1</v>
          </cell>
          <cell r="M866">
            <v>14349.7</v>
          </cell>
          <cell r="N866">
            <v>18659.2</v>
          </cell>
          <cell r="O866">
            <v>11</v>
          </cell>
          <cell r="P866">
            <v>86.5</v>
          </cell>
          <cell r="Q866">
            <v>101</v>
          </cell>
        </row>
        <row r="867">
          <cell r="D867" t="str">
            <v>MH-60R</v>
          </cell>
          <cell r="E867">
            <v>2006</v>
          </cell>
          <cell r="F867" t="str">
            <v>PdE</v>
          </cell>
          <cell r="G867">
            <v>10627</v>
          </cell>
          <cell r="H867">
            <v>11424.7</v>
          </cell>
          <cell r="I867">
            <v>254</v>
          </cell>
          <cell r="J867">
            <v>2543.3000000000002</v>
          </cell>
          <cell r="K867">
            <v>2816.3</v>
          </cell>
          <cell r="L867">
            <v>46</v>
          </cell>
          <cell r="M867">
            <v>13170.3</v>
          </cell>
          <cell r="N867">
            <v>14241</v>
          </cell>
          <cell r="O867">
            <v>300</v>
          </cell>
          <cell r="P867">
            <v>11.8</v>
          </cell>
          <cell r="Q867">
            <v>11.2</v>
          </cell>
        </row>
        <row r="868">
          <cell r="D868" t="str">
            <v>MH-60S</v>
          </cell>
          <cell r="E868">
            <v>1998</v>
          </cell>
          <cell r="F868" t="str">
            <v>PdE</v>
          </cell>
          <cell r="G868">
            <v>5270.1</v>
          </cell>
          <cell r="H868">
            <v>6093.8</v>
          </cell>
          <cell r="I868">
            <v>237</v>
          </cell>
          <cell r="J868">
            <v>1395.4</v>
          </cell>
          <cell r="K868">
            <v>1881.9</v>
          </cell>
          <cell r="L868">
            <v>38</v>
          </cell>
          <cell r="M868">
            <v>6665.5</v>
          </cell>
          <cell r="N868">
            <v>7975.7</v>
          </cell>
          <cell r="O868">
            <v>275</v>
          </cell>
          <cell r="P868">
            <v>14.1</v>
          </cell>
          <cell r="Q868">
            <v>16.2</v>
          </cell>
        </row>
        <row r="869">
          <cell r="D869" t="str">
            <v>MUOS</v>
          </cell>
          <cell r="E869">
            <v>2004</v>
          </cell>
          <cell r="F869" t="str">
            <v>DE/PdE</v>
          </cell>
          <cell r="G869">
            <v>5738</v>
          </cell>
          <cell r="H869">
            <v>6481.1</v>
          </cell>
          <cell r="I869">
            <v>6</v>
          </cell>
          <cell r="J869">
            <v>180.4</v>
          </cell>
          <cell r="K869">
            <v>407.4</v>
          </cell>
          <cell r="L869">
            <v>0</v>
          </cell>
          <cell r="M869">
            <v>5918.4</v>
          </cell>
          <cell r="N869">
            <v>6888.5</v>
          </cell>
          <cell r="O869">
            <v>6</v>
          </cell>
          <cell r="P869">
            <v>3.1</v>
          </cell>
          <cell r="Q869">
            <v>6.3</v>
          </cell>
        </row>
        <row r="870">
          <cell r="D870" t="str">
            <v>NMT</v>
          </cell>
          <cell r="E870">
            <v>2002</v>
          </cell>
          <cell r="F870" t="str">
            <v>DE</v>
          </cell>
          <cell r="G870">
            <v>1923.4</v>
          </cell>
          <cell r="H870">
            <v>2321.1</v>
          </cell>
          <cell r="I870">
            <v>333</v>
          </cell>
          <cell r="J870">
            <v>-237.6</v>
          </cell>
          <cell r="K870">
            <v>-250.7</v>
          </cell>
          <cell r="L870">
            <v>-29</v>
          </cell>
          <cell r="M870">
            <v>1685.8</v>
          </cell>
          <cell r="N870">
            <v>2070.4</v>
          </cell>
          <cell r="O870">
            <v>304</v>
          </cell>
          <cell r="P870">
            <v>-12.2</v>
          </cell>
          <cell r="Q870">
            <v>-10.5</v>
          </cell>
        </row>
        <row r="871">
          <cell r="D871" t="str">
            <v>P-8A</v>
          </cell>
          <cell r="E871">
            <v>2004</v>
          </cell>
          <cell r="F871" t="str">
            <v>DE</v>
          </cell>
          <cell r="G871">
            <v>26494</v>
          </cell>
          <cell r="H871">
            <v>31428.6</v>
          </cell>
          <cell r="I871">
            <v>115</v>
          </cell>
          <cell r="J871">
            <v>1546.9</v>
          </cell>
          <cell r="K871">
            <v>2712.3</v>
          </cell>
          <cell r="L871">
            <v>7</v>
          </cell>
          <cell r="M871">
            <v>28040.9</v>
          </cell>
          <cell r="N871">
            <v>34140.9</v>
          </cell>
          <cell r="O871">
            <v>122</v>
          </cell>
          <cell r="P871">
            <v>0.5</v>
          </cell>
          <cell r="Q871">
            <v>3.9</v>
          </cell>
        </row>
        <row r="872">
          <cell r="D872" t="str">
            <v>RMS</v>
          </cell>
          <cell r="E872">
            <v>2006</v>
          </cell>
          <cell r="F872" t="str">
            <v>PdE</v>
          </cell>
          <cell r="G872">
            <v>1304.5999999999999</v>
          </cell>
          <cell r="H872">
            <v>1399.4</v>
          </cell>
          <cell r="I872">
            <v>108</v>
          </cell>
          <cell r="J872">
            <v>-133.4</v>
          </cell>
          <cell r="K872">
            <v>-92.9</v>
          </cell>
          <cell r="L872">
            <v>-54</v>
          </cell>
          <cell r="M872">
            <v>1171.2</v>
          </cell>
          <cell r="N872">
            <v>1306.5</v>
          </cell>
          <cell r="O872">
            <v>54</v>
          </cell>
          <cell r="P872">
            <v>34.6</v>
          </cell>
          <cell r="Q872">
            <v>49.2</v>
          </cell>
        </row>
        <row r="873">
          <cell r="D873" t="str">
            <v>SM-6</v>
          </cell>
          <cell r="E873">
            <v>2004</v>
          </cell>
          <cell r="F873" t="str">
            <v>DE</v>
          </cell>
          <cell r="G873">
            <v>4866.3</v>
          </cell>
          <cell r="H873">
            <v>5983.3</v>
          </cell>
          <cell r="I873">
            <v>1200</v>
          </cell>
          <cell r="J873">
            <v>447.8</v>
          </cell>
          <cell r="K873">
            <v>616.70000000000005</v>
          </cell>
          <cell r="L873">
            <v>0</v>
          </cell>
          <cell r="M873">
            <v>5314.1</v>
          </cell>
          <cell r="N873">
            <v>6600</v>
          </cell>
          <cell r="O873">
            <v>1200</v>
          </cell>
          <cell r="P873">
            <v>9.1999999999999993</v>
          </cell>
          <cell r="Q873">
            <v>10.3</v>
          </cell>
        </row>
        <row r="874">
          <cell r="D874" t="str">
            <v>SSN 774</v>
          </cell>
          <cell r="E874">
            <v>1995</v>
          </cell>
          <cell r="F874" t="str">
            <v>DE</v>
          </cell>
          <cell r="G874">
            <v>45633.1</v>
          </cell>
          <cell r="H874">
            <v>71080.800000000003</v>
          </cell>
          <cell r="I874">
            <v>30</v>
          </cell>
          <cell r="J874">
            <v>17351.3</v>
          </cell>
          <cell r="K874">
            <v>20313.099999999999</v>
          </cell>
          <cell r="L874">
            <v>0</v>
          </cell>
          <cell r="M874">
            <v>62984.4</v>
          </cell>
          <cell r="N874">
            <v>91393.9</v>
          </cell>
          <cell r="O874">
            <v>30</v>
          </cell>
          <cell r="P874">
            <v>38</v>
          </cell>
          <cell r="Q874">
            <v>28.6</v>
          </cell>
        </row>
        <row r="875">
          <cell r="D875" t="str">
            <v>TACTICAL TOMAHAWK</v>
          </cell>
          <cell r="E875">
            <v>1999</v>
          </cell>
          <cell r="F875" t="str">
            <v>PdE</v>
          </cell>
          <cell r="G875">
            <v>2977.3</v>
          </cell>
          <cell r="H875">
            <v>3290.3</v>
          </cell>
          <cell r="I875">
            <v>2790</v>
          </cell>
          <cell r="J875">
            <v>2550.4</v>
          </cell>
          <cell r="K875">
            <v>3595.1</v>
          </cell>
          <cell r="L875">
            <v>1950</v>
          </cell>
          <cell r="M875">
            <v>5527.7</v>
          </cell>
          <cell r="N875">
            <v>6885.4</v>
          </cell>
          <cell r="O875">
            <v>4740</v>
          </cell>
          <cell r="P875">
            <v>31.9</v>
          </cell>
          <cell r="Q875">
            <v>37.9</v>
          </cell>
        </row>
        <row r="876">
          <cell r="D876" t="str">
            <v>T-AKE</v>
          </cell>
          <cell r="E876">
            <v>2000</v>
          </cell>
          <cell r="F876" t="str">
            <v>PdE</v>
          </cell>
          <cell r="G876">
            <v>4262.6000000000004</v>
          </cell>
          <cell r="H876">
            <v>4890.2</v>
          </cell>
          <cell r="I876">
            <v>12</v>
          </cell>
          <cell r="J876">
            <v>1130.3</v>
          </cell>
          <cell r="K876">
            <v>1999</v>
          </cell>
          <cell r="L876">
            <v>2</v>
          </cell>
          <cell r="M876">
            <v>5392.9</v>
          </cell>
          <cell r="N876">
            <v>6889.2</v>
          </cell>
          <cell r="O876">
            <v>14</v>
          </cell>
          <cell r="P876">
            <v>9.3000000000000007</v>
          </cell>
          <cell r="Q876">
            <v>16.899999999999999</v>
          </cell>
        </row>
        <row r="877">
          <cell r="D877" t="str">
            <v>TRIDENT II</v>
          </cell>
          <cell r="E877">
            <v>1983</v>
          </cell>
          <cell r="F877" t="str">
            <v>PdE</v>
          </cell>
          <cell r="G877">
            <v>26556.3</v>
          </cell>
          <cell r="H877">
            <v>35518.5</v>
          </cell>
          <cell r="I877">
            <v>845</v>
          </cell>
          <cell r="J877">
            <v>238.7</v>
          </cell>
          <cell r="K877">
            <v>4027.5</v>
          </cell>
          <cell r="L877">
            <v>-284</v>
          </cell>
          <cell r="M877">
            <v>26795</v>
          </cell>
          <cell r="N877">
            <v>39546</v>
          </cell>
          <cell r="O877">
            <v>561</v>
          </cell>
          <cell r="P877">
            <v>18.600000000000001</v>
          </cell>
          <cell r="Q877">
            <v>37.299999999999997</v>
          </cell>
        </row>
        <row r="878">
          <cell r="D878" t="str">
            <v>V-22</v>
          </cell>
          <cell r="E878">
            <v>2005</v>
          </cell>
          <cell r="F878" t="str">
            <v>PdE</v>
          </cell>
          <cell r="G878">
            <v>50250.400000000001</v>
          </cell>
          <cell r="H878">
            <v>53253.4</v>
          </cell>
          <cell r="I878">
            <v>458</v>
          </cell>
          <cell r="J878">
            <v>-309.89999999999998</v>
          </cell>
          <cell r="K878">
            <v>-354.4</v>
          </cell>
          <cell r="L878">
            <v>0</v>
          </cell>
          <cell r="M878">
            <v>49940.5</v>
          </cell>
          <cell r="N878">
            <v>52899</v>
          </cell>
          <cell r="O878">
            <v>458</v>
          </cell>
          <cell r="P878">
            <v>-0.6</v>
          </cell>
          <cell r="Q878">
            <v>-0.7</v>
          </cell>
        </row>
        <row r="879">
          <cell r="D879" t="str">
            <v>VTUAV</v>
          </cell>
          <cell r="E879">
            <v>2006</v>
          </cell>
          <cell r="F879" t="str">
            <v>DE/PdE</v>
          </cell>
          <cell r="G879">
            <v>2366.4</v>
          </cell>
          <cell r="H879">
            <v>2787.1</v>
          </cell>
          <cell r="I879">
            <v>177</v>
          </cell>
          <cell r="J879">
            <v>-99</v>
          </cell>
          <cell r="K879">
            <v>-162.30000000000001</v>
          </cell>
          <cell r="L879">
            <v>-2</v>
          </cell>
          <cell r="M879">
            <v>2267.4</v>
          </cell>
          <cell r="N879">
            <v>2624.8</v>
          </cell>
          <cell r="O879">
            <v>175</v>
          </cell>
          <cell r="P879">
            <v>-3.7</v>
          </cell>
          <cell r="Q879">
            <v>-5.4</v>
          </cell>
        </row>
        <row r="880">
          <cell r="D880" t="str">
            <v>Navy Subtotal</v>
          </cell>
          <cell r="G880">
            <v>421710.6</v>
          </cell>
          <cell r="H880">
            <v>502181.5</v>
          </cell>
          <cell r="I880">
            <v>72381</v>
          </cell>
          <cell r="J880">
            <v>93506</v>
          </cell>
          <cell r="K880">
            <v>135823.9</v>
          </cell>
          <cell r="L880">
            <v>-3637</v>
          </cell>
          <cell r="M880">
            <v>515216.6</v>
          </cell>
          <cell r="N880">
            <v>638005.4</v>
          </cell>
          <cell r="O880">
            <v>68744</v>
          </cell>
          <cell r="P880">
            <v>15.1</v>
          </cell>
          <cell r="Q880">
            <v>18.3</v>
          </cell>
        </row>
        <row r="883">
          <cell r="D883" t="str">
            <v>AEHF</v>
          </cell>
          <cell r="E883">
            <v>2002</v>
          </cell>
          <cell r="F883" t="str">
            <v>PdE</v>
          </cell>
          <cell r="G883">
            <v>5800.7</v>
          </cell>
          <cell r="H883">
            <v>6085.7</v>
          </cell>
          <cell r="I883">
            <v>3</v>
          </cell>
          <cell r="J883">
            <v>5066</v>
          </cell>
          <cell r="K883">
            <v>6363.2</v>
          </cell>
          <cell r="L883">
            <v>3</v>
          </cell>
          <cell r="M883">
            <v>10866.7</v>
          </cell>
          <cell r="N883">
            <v>12448.9</v>
          </cell>
          <cell r="O883">
            <v>6</v>
          </cell>
          <cell r="P883">
            <v>25.5</v>
          </cell>
          <cell r="Q883">
            <v>28.9</v>
          </cell>
        </row>
        <row r="884">
          <cell r="D884" t="str">
            <v>AMRAAM</v>
          </cell>
          <cell r="E884">
            <v>1992</v>
          </cell>
          <cell r="F884" t="str">
            <v>PdE</v>
          </cell>
          <cell r="G884">
            <v>12278.2</v>
          </cell>
          <cell r="H884">
            <v>13112.4</v>
          </cell>
          <cell r="I884">
            <v>15450</v>
          </cell>
          <cell r="J884">
            <v>4931.3999999999996</v>
          </cell>
          <cell r="K884">
            <v>8170.9</v>
          </cell>
          <cell r="L884">
            <v>2390</v>
          </cell>
          <cell r="M884">
            <v>17209.599999999999</v>
          </cell>
          <cell r="N884">
            <v>21283.3</v>
          </cell>
          <cell r="O884">
            <v>17840</v>
          </cell>
          <cell r="P884">
            <v>27.8</v>
          </cell>
          <cell r="Q884">
            <v>41.3</v>
          </cell>
        </row>
        <row r="885">
          <cell r="D885" t="str">
            <v>B-2 EHF Increment I</v>
          </cell>
          <cell r="E885">
            <v>2007</v>
          </cell>
          <cell r="F885" t="str">
            <v>DE</v>
          </cell>
          <cell r="G885">
            <v>659.7</v>
          </cell>
          <cell r="H885">
            <v>706.1</v>
          </cell>
          <cell r="I885">
            <v>21</v>
          </cell>
          <cell r="J885">
            <v>-76.2</v>
          </cell>
          <cell r="K885">
            <v>-87.5</v>
          </cell>
          <cell r="L885">
            <v>-1</v>
          </cell>
          <cell r="M885">
            <v>583.5</v>
          </cell>
          <cell r="N885">
            <v>618.6</v>
          </cell>
          <cell r="O885">
            <v>20</v>
          </cell>
          <cell r="P885">
            <v>-10.8</v>
          </cell>
          <cell r="Q885">
            <v>-11.6</v>
          </cell>
        </row>
        <row r="886">
          <cell r="D886" t="str">
            <v>B-2 RMP</v>
          </cell>
          <cell r="E886">
            <v>2008</v>
          </cell>
          <cell r="F886" t="str">
            <v>DE/PdE</v>
          </cell>
          <cell r="G886">
            <v>1273.8</v>
          </cell>
          <cell r="H886">
            <v>1220</v>
          </cell>
          <cell r="I886">
            <v>21</v>
          </cell>
          <cell r="J886">
            <v>-13.7</v>
          </cell>
          <cell r="K886">
            <v>45.8</v>
          </cell>
          <cell r="L886">
            <v>-1</v>
          </cell>
          <cell r="M886">
            <v>1260.0999999999999</v>
          </cell>
          <cell r="N886">
            <v>1265.8</v>
          </cell>
          <cell r="O886">
            <v>20</v>
          </cell>
          <cell r="P886">
            <v>1.8</v>
          </cell>
          <cell r="Q886">
            <v>7</v>
          </cell>
        </row>
        <row r="887">
          <cell r="D887" t="str">
            <v>C-130AMP</v>
          </cell>
          <cell r="E887">
            <v>2000</v>
          </cell>
          <cell r="F887" t="str">
            <v>DE</v>
          </cell>
          <cell r="G887">
            <v>3333.9</v>
          </cell>
          <cell r="H887">
            <v>3965.4</v>
          </cell>
          <cell r="I887">
            <v>519</v>
          </cell>
          <cell r="J887">
            <v>1622.5</v>
          </cell>
          <cell r="K887">
            <v>2387.5</v>
          </cell>
          <cell r="L887">
            <v>-298</v>
          </cell>
          <cell r="M887">
            <v>4956.3999999999996</v>
          </cell>
          <cell r="N887">
            <v>6352.9</v>
          </cell>
          <cell r="O887">
            <v>221</v>
          </cell>
          <cell r="P887">
            <v>94.2</v>
          </cell>
          <cell r="Q887">
            <v>122.6</v>
          </cell>
        </row>
        <row r="888">
          <cell r="D888" t="str">
            <v>C-130J</v>
          </cell>
          <cell r="E888">
            <v>1996</v>
          </cell>
          <cell r="F888" t="str">
            <v>PdE</v>
          </cell>
          <cell r="G888">
            <v>730.7</v>
          </cell>
          <cell r="H888">
            <v>839.7</v>
          </cell>
          <cell r="I888">
            <v>11</v>
          </cell>
          <cell r="J888">
            <v>11247.9</v>
          </cell>
          <cell r="K888">
            <v>14338.4</v>
          </cell>
          <cell r="L888">
            <v>157</v>
          </cell>
          <cell r="M888">
            <v>11978.6</v>
          </cell>
          <cell r="N888">
            <v>15178.1</v>
          </cell>
          <cell r="O888">
            <v>168</v>
          </cell>
          <cell r="P888">
            <v>28.5</v>
          </cell>
          <cell r="Q888">
            <v>26.7</v>
          </cell>
        </row>
        <row r="889">
          <cell r="D889" t="str">
            <v>C-17A</v>
          </cell>
          <cell r="E889">
            <v>1996</v>
          </cell>
          <cell r="F889" t="str">
            <v>PdE</v>
          </cell>
          <cell r="G889">
            <v>41250.9</v>
          </cell>
          <cell r="H889">
            <v>41811.9</v>
          </cell>
          <cell r="I889">
            <v>210</v>
          </cell>
          <cell r="J889">
            <v>23119</v>
          </cell>
          <cell r="K889">
            <v>27758.9</v>
          </cell>
          <cell r="L889">
            <v>13</v>
          </cell>
          <cell r="M889">
            <v>64369.9</v>
          </cell>
          <cell r="N889">
            <v>69570.8</v>
          </cell>
          <cell r="O889">
            <v>223</v>
          </cell>
          <cell r="P889">
            <v>47</v>
          </cell>
          <cell r="Q889">
            <v>56.4</v>
          </cell>
        </row>
        <row r="890">
          <cell r="D890" t="str">
            <v>C-5 AMP</v>
          </cell>
          <cell r="E890">
            <v>2006</v>
          </cell>
          <cell r="F890" t="str">
            <v>PdE</v>
          </cell>
          <cell r="G890">
            <v>888.4</v>
          </cell>
          <cell r="H890">
            <v>856.3</v>
          </cell>
          <cell r="I890">
            <v>61</v>
          </cell>
          <cell r="J890">
            <v>324.10000000000002</v>
          </cell>
          <cell r="K890">
            <v>348.8</v>
          </cell>
          <cell r="L890">
            <v>31</v>
          </cell>
          <cell r="M890">
            <v>1212.5</v>
          </cell>
          <cell r="N890">
            <v>1205.0999999999999</v>
          </cell>
          <cell r="O890">
            <v>92</v>
          </cell>
          <cell r="P890">
            <v>15.8</v>
          </cell>
          <cell r="Q890">
            <v>16.5</v>
          </cell>
        </row>
        <row r="891">
          <cell r="D891" t="str">
            <v>C-5 RERP</v>
          </cell>
          <cell r="E891">
            <v>2008</v>
          </cell>
          <cell r="F891" t="str">
            <v>PdE</v>
          </cell>
          <cell r="G891">
            <v>7146.6</v>
          </cell>
          <cell r="H891">
            <v>7694.1</v>
          </cell>
          <cell r="I891">
            <v>52</v>
          </cell>
          <cell r="J891">
            <v>-49.5</v>
          </cell>
          <cell r="K891">
            <v>-222.2</v>
          </cell>
          <cell r="L891">
            <v>0</v>
          </cell>
          <cell r="M891">
            <v>7097.1</v>
          </cell>
          <cell r="N891">
            <v>7471.9</v>
          </cell>
          <cell r="O891">
            <v>52</v>
          </cell>
          <cell r="P891">
            <v>-0.7</v>
          </cell>
          <cell r="Q891">
            <v>-2.9</v>
          </cell>
        </row>
        <row r="892">
          <cell r="D892" t="str">
            <v>F-22</v>
          </cell>
          <cell r="E892">
            <v>2005</v>
          </cell>
          <cell r="F892" t="str">
            <v>PdE</v>
          </cell>
          <cell r="G892">
            <v>64281.7</v>
          </cell>
          <cell r="H892">
            <v>61323.7</v>
          </cell>
          <cell r="I892">
            <v>181</v>
          </cell>
          <cell r="J892">
            <v>4663.7</v>
          </cell>
          <cell r="K892">
            <v>5390.4</v>
          </cell>
          <cell r="L892">
            <v>7</v>
          </cell>
          <cell r="M892">
            <v>68945.399999999994</v>
          </cell>
          <cell r="N892">
            <v>66714.100000000006</v>
          </cell>
          <cell r="O892">
            <v>188</v>
          </cell>
          <cell r="P892">
            <v>6</v>
          </cell>
          <cell r="Q892">
            <v>7.3</v>
          </cell>
        </row>
        <row r="893">
          <cell r="D893" t="str">
            <v>FAB-T</v>
          </cell>
          <cell r="E893">
            <v>2002</v>
          </cell>
          <cell r="F893" t="str">
            <v>DE</v>
          </cell>
          <cell r="G893">
            <v>2642.3</v>
          </cell>
          <cell r="H893">
            <v>3167.4</v>
          </cell>
          <cell r="I893">
            <v>216</v>
          </cell>
          <cell r="J893">
            <v>663.1</v>
          </cell>
          <cell r="K893">
            <v>814.5</v>
          </cell>
          <cell r="L893">
            <v>27</v>
          </cell>
          <cell r="M893">
            <v>3305.4</v>
          </cell>
          <cell r="N893">
            <v>3981.9</v>
          </cell>
          <cell r="O893">
            <v>243</v>
          </cell>
          <cell r="P893">
            <v>19</v>
          </cell>
          <cell r="Q893">
            <v>19</v>
          </cell>
        </row>
        <row r="894">
          <cell r="D894" t="str">
            <v>GBS</v>
          </cell>
          <cell r="E894">
            <v>1997</v>
          </cell>
          <cell r="F894" t="str">
            <v>DE</v>
          </cell>
          <cell r="G894">
            <v>451.4</v>
          </cell>
          <cell r="H894">
            <v>497.1</v>
          </cell>
          <cell r="I894">
            <v>346</v>
          </cell>
          <cell r="J894">
            <v>439.1</v>
          </cell>
          <cell r="K894">
            <v>519.79999999999995</v>
          </cell>
          <cell r="L894">
            <v>1880</v>
          </cell>
          <cell r="M894">
            <v>890.5</v>
          </cell>
          <cell r="N894">
            <v>1016.9</v>
          </cell>
          <cell r="O894">
            <v>2226</v>
          </cell>
          <cell r="P894">
            <v>11.5</v>
          </cell>
          <cell r="Q894">
            <v>11.4</v>
          </cell>
        </row>
        <row r="895">
          <cell r="D895" t="str">
            <v>RQ-4 GLOBAL HAWK</v>
          </cell>
          <cell r="E895">
            <v>2000</v>
          </cell>
          <cell r="F895" t="str">
            <v>DE</v>
          </cell>
          <cell r="G895">
            <v>4350.3</v>
          </cell>
          <cell r="H895">
            <v>5394</v>
          </cell>
          <cell r="I895">
            <v>63</v>
          </cell>
          <cell r="J895">
            <v>6766.8</v>
          </cell>
          <cell r="K895">
            <v>8314.2999999999993</v>
          </cell>
          <cell r="L895">
            <v>14</v>
          </cell>
          <cell r="M895">
            <v>11117.1</v>
          </cell>
          <cell r="N895">
            <v>13708.3</v>
          </cell>
          <cell r="O895">
            <v>77</v>
          </cell>
          <cell r="P895">
            <v>116.5</v>
          </cell>
          <cell r="Q895">
            <v>113.2</v>
          </cell>
        </row>
        <row r="896">
          <cell r="D896" t="str">
            <v>GPS IIIA</v>
          </cell>
          <cell r="E896">
            <v>2000</v>
          </cell>
          <cell r="F896" t="str">
            <v>DE</v>
          </cell>
          <cell r="G896">
            <v>3179.9</v>
          </cell>
          <cell r="H896">
            <v>4002.3</v>
          </cell>
          <cell r="I896">
            <v>8</v>
          </cell>
          <cell r="J896">
            <v>211.2</v>
          </cell>
          <cell r="K896">
            <v>204.6</v>
          </cell>
          <cell r="L896">
            <v>0</v>
          </cell>
          <cell r="M896">
            <v>3391.1</v>
          </cell>
          <cell r="N896">
            <v>4206.8999999999996</v>
          </cell>
          <cell r="O896">
            <v>8</v>
          </cell>
          <cell r="P896">
            <v>6.6</v>
          </cell>
          <cell r="Q896">
            <v>5.0999999999999996</v>
          </cell>
        </row>
        <row r="897">
          <cell r="D897" t="str">
            <v>JASSM</v>
          </cell>
          <cell r="E897">
            <v>1995</v>
          </cell>
          <cell r="F897" t="str">
            <v>PdE</v>
          </cell>
          <cell r="G897">
            <v>4016.4</v>
          </cell>
          <cell r="H897">
            <v>4981.1000000000004</v>
          </cell>
          <cell r="I897">
            <v>5447</v>
          </cell>
          <cell r="J897">
            <v>1502.9</v>
          </cell>
          <cell r="K897">
            <v>2730.2</v>
          </cell>
          <cell r="L897">
            <v>-429</v>
          </cell>
          <cell r="M897">
            <v>5519.3</v>
          </cell>
          <cell r="N897">
            <v>7711.3</v>
          </cell>
          <cell r="O897">
            <v>5018</v>
          </cell>
          <cell r="P897">
            <v>44.6</v>
          </cell>
          <cell r="Q897">
            <v>64</v>
          </cell>
        </row>
        <row r="898">
          <cell r="D898" t="str">
            <v>JDAM</v>
          </cell>
          <cell r="E898">
            <v>1995</v>
          </cell>
          <cell r="F898" t="str">
            <v>PdE</v>
          </cell>
          <cell r="G898">
            <v>2300.3000000000002</v>
          </cell>
          <cell r="H898">
            <v>2606.6999999999998</v>
          </cell>
          <cell r="I898">
            <v>89065</v>
          </cell>
          <cell r="J898">
            <v>2586.6999999999998</v>
          </cell>
          <cell r="K898">
            <v>3145.7</v>
          </cell>
          <cell r="L898">
            <v>131252</v>
          </cell>
          <cell r="M898">
            <v>4887</v>
          </cell>
          <cell r="N898">
            <v>5752.4</v>
          </cell>
          <cell r="O898">
            <v>220317</v>
          </cell>
          <cell r="P898">
            <v>26.7</v>
          </cell>
          <cell r="Q898">
            <v>27.4</v>
          </cell>
        </row>
        <row r="899">
          <cell r="D899" t="str">
            <v>JPATS</v>
          </cell>
          <cell r="E899">
            <v>2002</v>
          </cell>
          <cell r="F899" t="str">
            <v>PdE</v>
          </cell>
          <cell r="G899">
            <v>4529</v>
          </cell>
          <cell r="H899">
            <v>5041.1000000000004</v>
          </cell>
          <cell r="I899">
            <v>783</v>
          </cell>
          <cell r="J899">
            <v>361.6</v>
          </cell>
          <cell r="K899">
            <v>413.3</v>
          </cell>
          <cell r="L899">
            <v>-16</v>
          </cell>
          <cell r="M899">
            <v>4890.6000000000004</v>
          </cell>
          <cell r="N899">
            <v>5454.4</v>
          </cell>
          <cell r="O899">
            <v>767</v>
          </cell>
          <cell r="P899">
            <v>9.5</v>
          </cell>
          <cell r="Q899">
            <v>10</v>
          </cell>
        </row>
        <row r="900">
          <cell r="D900" t="str">
            <v>LAIRCM</v>
          </cell>
          <cell r="E900">
            <v>2008</v>
          </cell>
          <cell r="F900" t="str">
            <v>PdE</v>
          </cell>
          <cell r="G900">
            <v>383.6</v>
          </cell>
          <cell r="H900">
            <v>366</v>
          </cell>
          <cell r="I900">
            <v>8</v>
          </cell>
          <cell r="J900">
            <v>55.2</v>
          </cell>
          <cell r="K900">
            <v>49.4</v>
          </cell>
          <cell r="L900">
            <v>0</v>
          </cell>
          <cell r="M900">
            <v>438.8</v>
          </cell>
          <cell r="N900">
            <v>415.4</v>
          </cell>
          <cell r="O900">
            <v>8</v>
          </cell>
          <cell r="P900">
            <v>14.4</v>
          </cell>
          <cell r="Q900">
            <v>13.5</v>
          </cell>
        </row>
        <row r="901">
          <cell r="D901" t="str">
            <v>MINUTEMAN III PRP</v>
          </cell>
          <cell r="E901">
            <v>1994</v>
          </cell>
          <cell r="F901" t="str">
            <v>PdE</v>
          </cell>
          <cell r="G901">
            <v>2086.8000000000002</v>
          </cell>
          <cell r="H901">
            <v>2600.8000000000002</v>
          </cell>
          <cell r="I901">
            <v>607</v>
          </cell>
          <cell r="J901">
            <v>104.1</v>
          </cell>
          <cell r="K901">
            <v>1</v>
          </cell>
          <cell r="L901">
            <v>-6</v>
          </cell>
          <cell r="M901">
            <v>2190.9</v>
          </cell>
          <cell r="N901">
            <v>2601.8000000000002</v>
          </cell>
          <cell r="O901">
            <v>601</v>
          </cell>
          <cell r="P901">
            <v>5.5</v>
          </cell>
          <cell r="Q901">
            <v>0.5</v>
          </cell>
        </row>
        <row r="902">
          <cell r="D902" t="str">
            <v>MP RTIP</v>
          </cell>
          <cell r="E902">
            <v>2000</v>
          </cell>
          <cell r="F902" t="str">
            <v>DE</v>
          </cell>
          <cell r="G902">
            <v>1449.3</v>
          </cell>
          <cell r="H902">
            <v>1568.4</v>
          </cell>
          <cell r="I902">
            <v>0</v>
          </cell>
          <cell r="J902">
            <v>-333.1</v>
          </cell>
          <cell r="K902">
            <v>-321.89999999999998</v>
          </cell>
          <cell r="L902">
            <v>0</v>
          </cell>
          <cell r="M902">
            <v>1116.2</v>
          </cell>
          <cell r="N902">
            <v>1246.5</v>
          </cell>
          <cell r="O902">
            <v>0</v>
          </cell>
          <cell r="P902">
            <v>-23</v>
          </cell>
          <cell r="Q902">
            <v>-20.5</v>
          </cell>
        </row>
        <row r="903">
          <cell r="D903" t="str">
            <v>NAS</v>
          </cell>
          <cell r="E903">
            <v>2005</v>
          </cell>
          <cell r="F903" t="str">
            <v>PdE</v>
          </cell>
          <cell r="G903">
            <v>1373.2</v>
          </cell>
          <cell r="H903">
            <v>1421.1</v>
          </cell>
          <cell r="I903">
            <v>93</v>
          </cell>
          <cell r="J903">
            <v>49.8</v>
          </cell>
          <cell r="K903">
            <v>55.2</v>
          </cell>
          <cell r="L903">
            <v>-2</v>
          </cell>
          <cell r="M903">
            <v>1423</v>
          </cell>
          <cell r="N903">
            <v>1476.3</v>
          </cell>
          <cell r="O903">
            <v>91</v>
          </cell>
          <cell r="P903">
            <v>4.8</v>
          </cell>
          <cell r="Q903">
            <v>5.3</v>
          </cell>
        </row>
        <row r="904">
          <cell r="D904" t="str">
            <v>NAVSTAR GPS SPLIT</v>
          </cell>
          <cell r="E904">
            <v>2000</v>
          </cell>
          <cell r="F904" t="str">
            <v>PdE</v>
          </cell>
          <cell r="G904">
            <v>5015.6000000000004</v>
          </cell>
          <cell r="H904">
            <v>5120.8999999999996</v>
          </cell>
          <cell r="I904">
            <v>33</v>
          </cell>
          <cell r="J904">
            <v>1012.5</v>
          </cell>
          <cell r="K904">
            <v>1240.5</v>
          </cell>
          <cell r="L904">
            <v>0</v>
          </cell>
          <cell r="M904">
            <v>6028.1</v>
          </cell>
          <cell r="N904">
            <v>6361.4</v>
          </cell>
          <cell r="O904">
            <v>33</v>
          </cell>
          <cell r="P904">
            <v>19.7</v>
          </cell>
          <cell r="Q904">
            <v>24.3</v>
          </cell>
        </row>
        <row r="905">
          <cell r="D905" t="str">
            <v>NAVSTAR GPS SPLIT</v>
          </cell>
          <cell r="E905">
            <v>2000</v>
          </cell>
          <cell r="F905" t="str">
            <v>PdE</v>
          </cell>
          <cell r="G905">
            <v>797.8</v>
          </cell>
          <cell r="H905">
            <v>874.4</v>
          </cell>
          <cell r="I905">
            <v>0</v>
          </cell>
          <cell r="J905">
            <v>974.9</v>
          </cell>
          <cell r="K905">
            <v>1174.7</v>
          </cell>
          <cell r="L905">
            <v>0</v>
          </cell>
          <cell r="M905">
            <v>1772.7</v>
          </cell>
          <cell r="N905">
            <v>2049.1</v>
          </cell>
          <cell r="O905">
            <v>0</v>
          </cell>
          <cell r="P905">
            <v>122.2</v>
          </cell>
          <cell r="Q905">
            <v>134.30000000000001</v>
          </cell>
        </row>
        <row r="906">
          <cell r="D906" t="str">
            <v>NPOESS</v>
          </cell>
          <cell r="E906">
            <v>2002</v>
          </cell>
          <cell r="F906" t="str">
            <v>PdE</v>
          </cell>
          <cell r="G906">
            <v>5538</v>
          </cell>
          <cell r="H906">
            <v>6117.6</v>
          </cell>
          <cell r="I906">
            <v>6</v>
          </cell>
          <cell r="J906">
            <v>-231.7</v>
          </cell>
          <cell r="K906">
            <v>-308</v>
          </cell>
          <cell r="L906">
            <v>-6</v>
          </cell>
          <cell r="M906">
            <v>5306.3</v>
          </cell>
          <cell r="N906">
            <v>5809.6</v>
          </cell>
          <cell r="O906">
            <v>0</v>
          </cell>
          <cell r="P906">
            <v>19.3</v>
          </cell>
          <cell r="Q906">
            <v>23.6</v>
          </cell>
        </row>
        <row r="907">
          <cell r="D907" t="str">
            <v>SBIRS</v>
          </cell>
          <cell r="E907">
            <v>1995</v>
          </cell>
          <cell r="F907" t="str">
            <v>DE</v>
          </cell>
          <cell r="G907">
            <v>3679.5</v>
          </cell>
          <cell r="H907">
            <v>4147.3</v>
          </cell>
          <cell r="I907">
            <v>5</v>
          </cell>
          <cell r="J907">
            <v>8547</v>
          </cell>
          <cell r="K907">
            <v>10968.3</v>
          </cell>
          <cell r="L907">
            <v>1</v>
          </cell>
          <cell r="M907">
            <v>12226.5</v>
          </cell>
          <cell r="N907">
            <v>15115.6</v>
          </cell>
          <cell r="O907">
            <v>6</v>
          </cell>
          <cell r="P907">
            <v>143.1</v>
          </cell>
          <cell r="Q907">
            <v>151.4</v>
          </cell>
        </row>
        <row r="908">
          <cell r="D908" t="str">
            <v>SBSS B10</v>
          </cell>
          <cell r="E908">
            <v>2007</v>
          </cell>
          <cell r="F908" t="str">
            <v>DE</v>
          </cell>
          <cell r="G908">
            <v>810.5</v>
          </cell>
          <cell r="H908">
            <v>825.8</v>
          </cell>
          <cell r="I908">
            <v>1</v>
          </cell>
          <cell r="J908">
            <v>59</v>
          </cell>
          <cell r="K908">
            <v>55.9</v>
          </cell>
          <cell r="L908">
            <v>0</v>
          </cell>
          <cell r="M908">
            <v>869.5</v>
          </cell>
          <cell r="N908">
            <v>881.7</v>
          </cell>
          <cell r="O908">
            <v>1</v>
          </cell>
          <cell r="P908">
            <v>7.3</v>
          </cell>
          <cell r="Q908">
            <v>6.8</v>
          </cell>
        </row>
        <row r="909">
          <cell r="D909" t="str">
            <v>WGS</v>
          </cell>
          <cell r="E909">
            <v>2001</v>
          </cell>
          <cell r="F909" t="str">
            <v>PdE</v>
          </cell>
          <cell r="G909">
            <v>980.4</v>
          </cell>
          <cell r="H909">
            <v>1042.5</v>
          </cell>
          <cell r="I909">
            <v>3</v>
          </cell>
          <cell r="J909">
            <v>1990.8</v>
          </cell>
          <cell r="K909">
            <v>2399.1999999999998</v>
          </cell>
          <cell r="L909">
            <v>4</v>
          </cell>
          <cell r="M909">
            <v>2971.2</v>
          </cell>
          <cell r="N909">
            <v>3441.7</v>
          </cell>
          <cell r="O909">
            <v>7</v>
          </cell>
          <cell r="P909">
            <v>15.3</v>
          </cell>
          <cell r="Q909">
            <v>16.600000000000001</v>
          </cell>
        </row>
        <row r="910">
          <cell r="D910" t="str">
            <v>Air Force Subtotal</v>
          </cell>
          <cell r="G910">
            <v>181228.9</v>
          </cell>
          <cell r="H910">
            <v>187389.8</v>
          </cell>
          <cell r="I910">
            <v>113213</v>
          </cell>
          <cell r="J910">
            <v>75595.100000000006</v>
          </cell>
          <cell r="K910">
            <v>95950.9</v>
          </cell>
          <cell r="L910">
            <v>135020</v>
          </cell>
          <cell r="M910">
            <v>256824</v>
          </cell>
          <cell r="N910">
            <v>283340.7</v>
          </cell>
          <cell r="O910">
            <v>248233</v>
          </cell>
          <cell r="P910">
            <v>27.8</v>
          </cell>
          <cell r="Q910">
            <v>33.6</v>
          </cell>
        </row>
        <row r="913">
          <cell r="D913" t="str">
            <v>BMDS</v>
          </cell>
          <cell r="E913">
            <v>2002</v>
          </cell>
          <cell r="F913" t="str">
            <v>PE</v>
          </cell>
          <cell r="G913">
            <v>63556.2</v>
          </cell>
          <cell r="H913">
            <v>71077.5</v>
          </cell>
          <cell r="I913">
            <v>0</v>
          </cell>
          <cell r="J913">
            <v>37334.5</v>
          </cell>
          <cell r="K913">
            <v>45626.400000000001</v>
          </cell>
          <cell r="L913">
            <v>0</v>
          </cell>
          <cell r="M913">
            <v>100890.7</v>
          </cell>
          <cell r="N913">
            <v>116703.9</v>
          </cell>
          <cell r="O913">
            <v>0</v>
          </cell>
          <cell r="P913">
            <v>58.7</v>
          </cell>
          <cell r="Q913">
            <v>64.2</v>
          </cell>
        </row>
        <row r="914">
          <cell r="D914" t="str">
            <v>CHEM DEMIL-ACWA</v>
          </cell>
          <cell r="E914">
            <v>1994</v>
          </cell>
          <cell r="F914" t="str">
            <v>PdE</v>
          </cell>
          <cell r="G914">
            <v>1957.4</v>
          </cell>
          <cell r="H914">
            <v>2430.4</v>
          </cell>
          <cell r="I914">
            <v>0</v>
          </cell>
          <cell r="J914">
            <v>4016</v>
          </cell>
          <cell r="K914">
            <v>5921.9</v>
          </cell>
          <cell r="L914">
            <v>3136</v>
          </cell>
          <cell r="M914">
            <v>5973.4</v>
          </cell>
          <cell r="N914">
            <v>8352.2999999999993</v>
          </cell>
          <cell r="O914">
            <v>3136</v>
          </cell>
          <cell r="P914">
            <v>205.2</v>
          </cell>
          <cell r="Q914">
            <v>243.7</v>
          </cell>
        </row>
        <row r="915">
          <cell r="D915" t="str">
            <v>CHEM DEMIL-CMA</v>
          </cell>
          <cell r="E915">
            <v>1994</v>
          </cell>
          <cell r="F915" t="str">
            <v>PdE</v>
          </cell>
          <cell r="G915">
            <v>11513.7</v>
          </cell>
          <cell r="H915">
            <v>12879.9</v>
          </cell>
          <cell r="I915">
            <v>29060</v>
          </cell>
          <cell r="J915">
            <v>9898.4</v>
          </cell>
          <cell r="K915">
            <v>12874.5</v>
          </cell>
          <cell r="L915">
            <v>0</v>
          </cell>
          <cell r="M915">
            <v>21412.1</v>
          </cell>
          <cell r="N915">
            <v>25754.400000000001</v>
          </cell>
          <cell r="O915">
            <v>29060</v>
          </cell>
          <cell r="P915">
            <v>86</v>
          </cell>
          <cell r="Q915">
            <v>100</v>
          </cell>
        </row>
        <row r="916">
          <cell r="D916" t="str">
            <v>F-35</v>
          </cell>
          <cell r="E916">
            <v>2002</v>
          </cell>
          <cell r="F916" t="str">
            <v>DE</v>
          </cell>
          <cell r="G916">
            <v>177100</v>
          </cell>
          <cell r="H916">
            <v>233000</v>
          </cell>
          <cell r="I916">
            <v>2866</v>
          </cell>
          <cell r="J916">
            <v>61498.6</v>
          </cell>
          <cell r="K916">
            <v>95252.9</v>
          </cell>
          <cell r="L916">
            <v>-409</v>
          </cell>
          <cell r="M916">
            <v>238598.6</v>
          </cell>
          <cell r="N916">
            <v>328252.90000000002</v>
          </cell>
          <cell r="O916">
            <v>2457</v>
          </cell>
          <cell r="P916">
            <v>23.3</v>
          </cell>
          <cell r="Q916">
            <v>58</v>
          </cell>
        </row>
        <row r="917">
          <cell r="D917" t="str">
            <v>JCA</v>
          </cell>
          <cell r="E917">
            <v>2007</v>
          </cell>
          <cell r="F917" t="str">
            <v>PdE</v>
          </cell>
          <cell r="G917">
            <v>3635.2</v>
          </cell>
          <cell r="H917">
            <v>4087.8</v>
          </cell>
          <cell r="I917">
            <v>78</v>
          </cell>
          <cell r="J917">
            <v>-1780.6</v>
          </cell>
          <cell r="K917">
            <v>-2077.3000000000002</v>
          </cell>
          <cell r="L917">
            <v>-40</v>
          </cell>
          <cell r="M917">
            <v>1854.6</v>
          </cell>
          <cell r="N917">
            <v>2010.5</v>
          </cell>
          <cell r="O917">
            <v>38</v>
          </cell>
          <cell r="P917">
            <v>-22.3</v>
          </cell>
          <cell r="Q917">
            <v>-26</v>
          </cell>
        </row>
        <row r="918">
          <cell r="D918" t="str">
            <v>JTRS GMR</v>
          </cell>
          <cell r="E918">
            <v>2002</v>
          </cell>
          <cell r="F918" t="str">
            <v>DE</v>
          </cell>
          <cell r="G918">
            <v>14437.2</v>
          </cell>
          <cell r="H918">
            <v>19112.900000000001</v>
          </cell>
          <cell r="I918">
            <v>108388</v>
          </cell>
          <cell r="J918">
            <v>-1090.9000000000001</v>
          </cell>
          <cell r="K918">
            <v>17.8</v>
          </cell>
          <cell r="L918">
            <v>-21309</v>
          </cell>
          <cell r="M918">
            <v>13346.3</v>
          </cell>
          <cell r="N918">
            <v>19130.7</v>
          </cell>
          <cell r="O918">
            <v>87079</v>
          </cell>
          <cell r="P918">
            <v>5.7</v>
          </cell>
          <cell r="Q918">
            <v>18.3</v>
          </cell>
        </row>
        <row r="919">
          <cell r="D919" t="str">
            <v>JTRS HMS</v>
          </cell>
          <cell r="E919">
            <v>2004</v>
          </cell>
          <cell r="F919" t="str">
            <v>DE</v>
          </cell>
          <cell r="G919">
            <v>8569</v>
          </cell>
          <cell r="H919">
            <v>10717</v>
          </cell>
          <cell r="I919">
            <v>328674</v>
          </cell>
          <cell r="J919">
            <v>-4421.8</v>
          </cell>
          <cell r="K919">
            <v>-5476.6</v>
          </cell>
          <cell r="L919">
            <v>-112713</v>
          </cell>
          <cell r="M919">
            <v>4147.2</v>
          </cell>
          <cell r="N919">
            <v>5240.3999999999996</v>
          </cell>
          <cell r="O919">
            <v>215961</v>
          </cell>
          <cell r="P919">
            <v>-42.4</v>
          </cell>
          <cell r="Q919">
            <v>-40.299999999999997</v>
          </cell>
        </row>
        <row r="920">
          <cell r="D920" t="str">
            <v>JTRS NED</v>
          </cell>
          <cell r="E920">
            <v>2002</v>
          </cell>
          <cell r="F920" t="str">
            <v>DE</v>
          </cell>
          <cell r="G920">
            <v>812.9</v>
          </cell>
          <cell r="H920">
            <v>914.4</v>
          </cell>
          <cell r="I920">
            <v>0</v>
          </cell>
          <cell r="J920">
            <v>864.9</v>
          </cell>
          <cell r="K920">
            <v>1024.5999999999999</v>
          </cell>
          <cell r="L920">
            <v>0</v>
          </cell>
          <cell r="M920">
            <v>1677.8</v>
          </cell>
          <cell r="N920">
            <v>1939</v>
          </cell>
          <cell r="O920">
            <v>0</v>
          </cell>
          <cell r="P920">
            <v>106.4</v>
          </cell>
          <cell r="Q920">
            <v>112.1</v>
          </cell>
        </row>
        <row r="921">
          <cell r="D921" t="str">
            <v>MIDS JTRS</v>
          </cell>
          <cell r="E921">
            <v>2003</v>
          </cell>
          <cell r="F921" t="str">
            <v>PdE</v>
          </cell>
          <cell r="G921">
            <v>1824.8</v>
          </cell>
          <cell r="H921">
            <v>1818.9</v>
          </cell>
          <cell r="I921">
            <v>2964</v>
          </cell>
          <cell r="J921">
            <v>672.2</v>
          </cell>
          <cell r="K921">
            <v>800.4</v>
          </cell>
          <cell r="L921">
            <v>1666</v>
          </cell>
          <cell r="M921">
            <v>2497</v>
          </cell>
          <cell r="N921">
            <v>2619.3000000000002</v>
          </cell>
          <cell r="O921">
            <v>4630</v>
          </cell>
          <cell r="P921">
            <v>10</v>
          </cell>
          <cell r="Q921">
            <v>11.5</v>
          </cell>
        </row>
        <row r="922">
          <cell r="D922" t="str">
            <v>DoD Subtotal</v>
          </cell>
          <cell r="G922">
            <v>283406.40000000002</v>
          </cell>
          <cell r="H922">
            <v>356038.8</v>
          </cell>
          <cell r="I922">
            <v>472030</v>
          </cell>
          <cell r="J922">
            <v>106991.3</v>
          </cell>
          <cell r="K922">
            <v>153964.6</v>
          </cell>
          <cell r="L922">
            <v>-129669</v>
          </cell>
          <cell r="M922">
            <v>390397.7</v>
          </cell>
          <cell r="N922">
            <v>510003.4</v>
          </cell>
          <cell r="O922">
            <v>342361</v>
          </cell>
          <cell r="P922">
            <v>32</v>
          </cell>
          <cell r="Q922">
            <v>56.9</v>
          </cell>
        </row>
        <row r="923">
          <cell r="D923" t="str">
            <v>Grand Total</v>
          </cell>
          <cell r="G923">
            <v>1016472.2</v>
          </cell>
          <cell r="H923">
            <v>1204517.3</v>
          </cell>
          <cell r="J923">
            <v>302582.2</v>
          </cell>
          <cell r="K923">
            <v>411652</v>
          </cell>
          <cell r="L923">
            <v>0</v>
          </cell>
          <cell r="M923">
            <v>1319054.3999999999</v>
          </cell>
          <cell r="N923">
            <v>1616169.3</v>
          </cell>
          <cell r="P923">
            <v>22.1</v>
          </cell>
          <cell r="Q923">
            <v>30.1</v>
          </cell>
        </row>
      </sheetData>
      <sheetData sheetId="11">
        <row r="2">
          <cell r="F2" t="str">
            <v>(SARs Table 2-3)</v>
          </cell>
        </row>
        <row r="3">
          <cell r="C3" t="str">
            <v xml:space="preserve">Cost Changes Between the Baseline and Current Estimate
</v>
          </cell>
          <cell r="F3" t="str">
            <v>Base Year $s</v>
          </cell>
          <cell r="G3" t="str">
            <v>Base Year $s</v>
          </cell>
          <cell r="H3" t="str">
            <v>Base Year $s</v>
          </cell>
          <cell r="I3" t="str">
            <v>Base Year $s</v>
          </cell>
          <cell r="J3" t="str">
            <v>Base Year $s</v>
          </cell>
          <cell r="K3" t="str">
            <v>Base Year $s</v>
          </cell>
          <cell r="L3" t="str">
            <v>Base Year $s</v>
          </cell>
          <cell r="M3" t="str">
            <v>Base Year $s</v>
          </cell>
          <cell r="N3" t="str">
            <v>Base Year $s</v>
          </cell>
          <cell r="O3" t="str">
            <v>Base Year $s</v>
          </cell>
          <cell r="P3" t="str">
            <v>Base Year $s</v>
          </cell>
          <cell r="Q3" t="str">
            <v>Base Year $s</v>
          </cell>
          <cell r="R3" t="str">
            <v>Base Year $s</v>
          </cell>
          <cell r="S3" t="str">
            <v>Base Year $s</v>
          </cell>
          <cell r="T3" t="str">
            <v>Then Year</v>
          </cell>
          <cell r="U3" t="str">
            <v>Then Year</v>
          </cell>
          <cell r="V3" t="str">
            <v>Then Year</v>
          </cell>
          <cell r="W3" t="str">
            <v>Then Year</v>
          </cell>
          <cell r="X3" t="str">
            <v>Then Year</v>
          </cell>
          <cell r="Y3" t="str">
            <v>Then Year</v>
          </cell>
          <cell r="Z3" t="str">
            <v>Then Year</v>
          </cell>
          <cell r="AA3" t="str">
            <v>Then Year</v>
          </cell>
          <cell r="AB3" t="str">
            <v>Then Year</v>
          </cell>
          <cell r="AC3" t="str">
            <v>Then Year</v>
          </cell>
          <cell r="AD3" t="str">
            <v>Then Year</v>
          </cell>
          <cell r="AE3" t="str">
            <v>Then Year</v>
          </cell>
          <cell r="AF3" t="str">
            <v>Then Year</v>
          </cell>
          <cell r="AG3" t="str">
            <v>Then Year</v>
          </cell>
          <cell r="AH3" t="str">
            <v>Then Year</v>
          </cell>
          <cell r="AI3" t="str">
            <v>Then Year</v>
          </cell>
        </row>
        <row r="4">
          <cell r="F4" t="str">
            <v>Quantity</v>
          </cell>
          <cell r="G4" t="str">
            <v>Quantity</v>
          </cell>
          <cell r="H4" t="str">
            <v>Schedule</v>
          </cell>
          <cell r="I4" t="str">
            <v>Schedule</v>
          </cell>
          <cell r="J4" t="str">
            <v>Engineering</v>
          </cell>
          <cell r="K4" t="str">
            <v>Engineering</v>
          </cell>
          <cell r="L4" t="str">
            <v>Estimating</v>
          </cell>
          <cell r="M4" t="str">
            <v>Estimating</v>
          </cell>
          <cell r="N4" t="str">
            <v>Other</v>
          </cell>
          <cell r="O4" t="str">
            <v>Other</v>
          </cell>
          <cell r="P4" t="str">
            <v>Support</v>
          </cell>
          <cell r="Q4" t="str">
            <v>Support</v>
          </cell>
          <cell r="R4" t="str">
            <v>Total</v>
          </cell>
          <cell r="S4" t="str">
            <v>Total</v>
          </cell>
          <cell r="T4" t="str">
            <v>Economic</v>
          </cell>
          <cell r="U4" t="str">
            <v>Economic</v>
          </cell>
          <cell r="V4" t="str">
            <v>Quantity</v>
          </cell>
          <cell r="W4" t="str">
            <v>Quantity</v>
          </cell>
          <cell r="X4" t="str">
            <v>Schedule</v>
          </cell>
          <cell r="Y4" t="str">
            <v>Schedule</v>
          </cell>
          <cell r="Z4" t="str">
            <v>Engineering</v>
          </cell>
          <cell r="AA4" t="str">
            <v>Engineering</v>
          </cell>
          <cell r="AB4" t="str">
            <v>Estimating</v>
          </cell>
          <cell r="AC4" t="str">
            <v>Estimating</v>
          </cell>
          <cell r="AD4" t="str">
            <v>Other</v>
          </cell>
          <cell r="AE4" t="str">
            <v>Other</v>
          </cell>
          <cell r="AF4" t="str">
            <v>Support</v>
          </cell>
          <cell r="AG4" t="str">
            <v>Support</v>
          </cell>
          <cell r="AH4" t="str">
            <v>Total</v>
          </cell>
          <cell r="AI4" t="str">
            <v xml:space="preserve">Total
</v>
          </cell>
        </row>
        <row r="5">
          <cell r="C5" t="str">
            <v xml:space="preserve">Program
</v>
          </cell>
          <cell r="E5" t="str">
            <v xml:space="preserve">Base
Year
</v>
          </cell>
          <cell r="F5" t="str">
            <v>This Qtr</v>
          </cell>
          <cell r="G5" t="str">
            <v>To Date</v>
          </cell>
          <cell r="H5" t="str">
            <v>This Qtr</v>
          </cell>
          <cell r="I5" t="str">
            <v>To Date</v>
          </cell>
          <cell r="J5" t="str">
            <v>This Qtr</v>
          </cell>
          <cell r="K5" t="str">
            <v>To Date</v>
          </cell>
          <cell r="L5" t="str">
            <v>This Qtr</v>
          </cell>
          <cell r="M5" t="str">
            <v>To Date</v>
          </cell>
          <cell r="N5" t="str">
            <v>This Qtr</v>
          </cell>
          <cell r="O5" t="str">
            <v>To Date</v>
          </cell>
          <cell r="P5" t="str">
            <v>This Qtr</v>
          </cell>
          <cell r="Q5" t="str">
            <v>To Date</v>
          </cell>
          <cell r="R5" t="str">
            <v>This Qtr</v>
          </cell>
          <cell r="S5" t="str">
            <v>To Date</v>
          </cell>
          <cell r="T5" t="str">
            <v>This Qtr</v>
          </cell>
          <cell r="U5" t="str">
            <v>To Date</v>
          </cell>
          <cell r="V5" t="str">
            <v>This Qtr</v>
          </cell>
          <cell r="W5" t="str">
            <v>To Date</v>
          </cell>
          <cell r="X5" t="str">
            <v>This Qtr</v>
          </cell>
          <cell r="Y5" t="str">
            <v>To Date</v>
          </cell>
          <cell r="Z5" t="str">
            <v>This Qtr</v>
          </cell>
          <cell r="AA5" t="str">
            <v>To Date</v>
          </cell>
          <cell r="AB5" t="str">
            <v>This Qtr</v>
          </cell>
          <cell r="AC5" t="str">
            <v>To Date</v>
          </cell>
          <cell r="AD5" t="str">
            <v>This Qtr</v>
          </cell>
          <cell r="AE5" t="str">
            <v>To Date</v>
          </cell>
          <cell r="AF5" t="str">
            <v>This Qtr</v>
          </cell>
          <cell r="AG5" t="str">
            <v>To Date</v>
          </cell>
          <cell r="AH5" t="str">
            <v>This Qtr</v>
          </cell>
          <cell r="AI5" t="str">
            <v>To Date</v>
          </cell>
        </row>
        <row r="6">
          <cell r="A6" t="str">
            <v>Date-Shorthand</v>
          </cell>
          <cell r="C6" t="str">
            <v xml:space="preserve">Program
</v>
          </cell>
          <cell r="D6" t="str">
            <v>Shorthand</v>
          </cell>
          <cell r="E6" t="str">
            <v xml:space="preserve">Base
Year
</v>
          </cell>
          <cell r="F6" t="str">
            <v>Quantity This Qtr (Base Year $s)</v>
          </cell>
          <cell r="G6" t="str">
            <v>Quantity To Date (Base Year $s)</v>
          </cell>
          <cell r="H6" t="str">
            <v>Schedule This Qtr (Base Year $s)</v>
          </cell>
          <cell r="I6" t="str">
            <v>Schedule To Date (Base Year $s)</v>
          </cell>
          <cell r="J6" t="str">
            <v>Engineering This Qtr (Base Year $s)</v>
          </cell>
          <cell r="K6" t="str">
            <v>Engineering To Date (Base Year $s)</v>
          </cell>
          <cell r="L6" t="str">
            <v>Estimating This Qtr (Base Year $s)</v>
          </cell>
          <cell r="M6" t="str">
            <v>Estimating To Date (Base Year $s)</v>
          </cell>
          <cell r="N6" t="str">
            <v>Other This Qtr (Base Year $s)</v>
          </cell>
          <cell r="O6" t="str">
            <v>Other (Base Year $s)</v>
          </cell>
          <cell r="P6" t="str">
            <v>Support This Qtr (Base Year $s)</v>
          </cell>
          <cell r="Q6" t="str">
            <v>Support (Base Year $s)</v>
          </cell>
          <cell r="R6" t="str">
            <v>Total This Qtr (Base Year $s)</v>
          </cell>
          <cell r="S6" t="str">
            <v>Total (Base Year $s)</v>
          </cell>
          <cell r="T6" t="str">
            <v>Economic This Qtr (Then Year)</v>
          </cell>
          <cell r="U6" t="str">
            <v>Economic (Then Year)</v>
          </cell>
          <cell r="V6" t="str">
            <v>Quantity This Qtr (Then Year)</v>
          </cell>
          <cell r="W6" t="str">
            <v>Quantity (Then Year)</v>
          </cell>
          <cell r="X6" t="str">
            <v>Schedule This Qtr (Then Year)</v>
          </cell>
          <cell r="Y6" t="str">
            <v>Schedule (Then Year)</v>
          </cell>
          <cell r="Z6" t="str">
            <v>Engineering This Qtr (Then Year)</v>
          </cell>
          <cell r="AA6" t="str">
            <v>Engineering (Then Year)</v>
          </cell>
          <cell r="AB6" t="str">
            <v>Estimating This Qtr (Then Year)</v>
          </cell>
          <cell r="AC6" t="str">
            <v>Estimating (Then Year)</v>
          </cell>
          <cell r="AD6" t="str">
            <v>Other This Qtr (Then Year)</v>
          </cell>
          <cell r="AE6" t="str">
            <v>Other (Then Year)</v>
          </cell>
          <cell r="AF6" t="str">
            <v>Support This Qtr (Then Year)</v>
          </cell>
          <cell r="AG6" t="str">
            <v>Support (Then Year)</v>
          </cell>
          <cell r="AH6" t="str">
            <v>Total This Qtr (Then Year)</v>
          </cell>
          <cell r="AI6" t="str">
            <v>Total
 (Then Year)</v>
          </cell>
        </row>
        <row r="7"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  <cell r="AG7">
            <v>33</v>
          </cell>
          <cell r="AH7">
            <v>34</v>
          </cell>
          <cell r="AI7">
            <v>35</v>
          </cell>
        </row>
        <row r="11">
          <cell r="C11" t="str">
            <v>ARMY</v>
          </cell>
        </row>
        <row r="12">
          <cell r="A12" t="str">
            <v>37226-M1A2 ABRAMS UPGRADE</v>
          </cell>
          <cell r="B12">
            <v>37226</v>
          </cell>
          <cell r="C12" t="str">
            <v>ABRAMS UPGRADE</v>
          </cell>
          <cell r="D12" t="str">
            <v>M1A2 ABRAMS UPGRADE</v>
          </cell>
          <cell r="E12">
            <v>1995</v>
          </cell>
          <cell r="F12" t="str">
            <v>-</v>
          </cell>
          <cell r="G12">
            <v>488.8</v>
          </cell>
          <cell r="H12" t="str">
            <v>-</v>
          </cell>
          <cell r="I12" t="str">
            <v>-</v>
          </cell>
          <cell r="J12" t="str">
            <v>-</v>
          </cell>
          <cell r="K12">
            <v>141</v>
          </cell>
          <cell r="L12">
            <v>-799.8</v>
          </cell>
          <cell r="M12">
            <v>655.1</v>
          </cell>
          <cell r="N12" t="str">
            <v>-</v>
          </cell>
          <cell r="O12" t="str">
            <v>-</v>
          </cell>
          <cell r="P12">
            <v>72.8</v>
          </cell>
          <cell r="Q12">
            <v>183.8</v>
          </cell>
          <cell r="R12">
            <v>-727</v>
          </cell>
          <cell r="S12">
            <v>1468.7</v>
          </cell>
          <cell r="T12">
            <v>111.4</v>
          </cell>
          <cell r="U12">
            <v>-354.2</v>
          </cell>
          <cell r="V12" t="str">
            <v>-</v>
          </cell>
          <cell r="W12">
            <v>578.70000000000005</v>
          </cell>
          <cell r="X12">
            <v>-18.399999999999999</v>
          </cell>
          <cell r="Y12">
            <v>-210.7</v>
          </cell>
          <cell r="Z12" t="str">
            <v>-</v>
          </cell>
          <cell r="AA12">
            <v>161.30000000000001</v>
          </cell>
          <cell r="AB12">
            <v>-1064.3</v>
          </cell>
          <cell r="AC12">
            <v>755.9</v>
          </cell>
          <cell r="AD12" t="str">
            <v>-</v>
          </cell>
          <cell r="AE12" t="str">
            <v>-</v>
          </cell>
          <cell r="AF12">
            <v>91.1</v>
          </cell>
          <cell r="AG12">
            <v>203.2</v>
          </cell>
          <cell r="AH12">
            <v>-880.2</v>
          </cell>
          <cell r="AI12">
            <v>1134.2</v>
          </cell>
        </row>
        <row r="13">
          <cell r="A13" t="str">
            <v>37226-ATACMS-BAT</v>
          </cell>
          <cell r="B13">
            <v>37226</v>
          </cell>
          <cell r="C13" t="str">
            <v>ATACMS-BAT</v>
          </cell>
          <cell r="D13" t="str">
            <v>ATACMS-BAT</v>
          </cell>
          <cell r="E13">
            <v>1991</v>
          </cell>
          <cell r="F13">
            <v>122.9</v>
          </cell>
          <cell r="G13">
            <v>-893.6</v>
          </cell>
          <cell r="H13">
            <v>-0.3</v>
          </cell>
          <cell r="I13">
            <v>40.1</v>
          </cell>
          <cell r="J13">
            <v>2.4</v>
          </cell>
          <cell r="K13">
            <v>312.10000000000002</v>
          </cell>
          <cell r="L13">
            <v>392.1</v>
          </cell>
          <cell r="M13">
            <v>1792.1</v>
          </cell>
          <cell r="N13" t="str">
            <v>-</v>
          </cell>
          <cell r="O13" t="str">
            <v>-</v>
          </cell>
          <cell r="P13">
            <v>-10.4</v>
          </cell>
          <cell r="Q13">
            <v>-36.9</v>
          </cell>
          <cell r="R13">
            <v>506.7</v>
          </cell>
          <cell r="S13">
            <v>1213.8</v>
          </cell>
          <cell r="T13">
            <v>-36.5</v>
          </cell>
          <cell r="U13">
            <v>-414.3</v>
          </cell>
          <cell r="V13">
            <v>187.6</v>
          </cell>
          <cell r="W13">
            <v>-1587.6</v>
          </cell>
          <cell r="X13">
            <v>129.80000000000001</v>
          </cell>
          <cell r="Y13">
            <v>614.1</v>
          </cell>
          <cell r="Z13">
            <v>3.4</v>
          </cell>
          <cell r="AA13">
            <v>383.3</v>
          </cell>
          <cell r="AB13">
            <v>450.2</v>
          </cell>
          <cell r="AC13">
            <v>2281.6999999999998</v>
          </cell>
          <cell r="AD13" t="str">
            <v>-</v>
          </cell>
          <cell r="AE13" t="str">
            <v>-</v>
          </cell>
          <cell r="AF13">
            <v>-14.3</v>
          </cell>
          <cell r="AG13">
            <v>-49.6</v>
          </cell>
          <cell r="AH13">
            <v>720.2</v>
          </cell>
          <cell r="AI13">
            <v>1227.5999999999999</v>
          </cell>
        </row>
        <row r="14">
          <cell r="A14" t="str">
            <v>37226-ATIRCM/CMWS</v>
          </cell>
          <cell r="B14">
            <v>37226</v>
          </cell>
          <cell r="C14" t="str">
            <v>ATIRCM/CMWS</v>
          </cell>
          <cell r="D14" t="str">
            <v>ATIRCM/CMWS</v>
          </cell>
          <cell r="E14">
            <v>1996</v>
          </cell>
          <cell r="F14">
            <v>-217.6</v>
          </cell>
          <cell r="G14">
            <v>-992.7</v>
          </cell>
          <cell r="H14">
            <v>84.1</v>
          </cell>
          <cell r="I14">
            <v>-161.19999999999999</v>
          </cell>
          <cell r="J14" t="str">
            <v>-</v>
          </cell>
          <cell r="K14">
            <v>109.2</v>
          </cell>
          <cell r="L14">
            <v>188.6</v>
          </cell>
          <cell r="M14">
            <v>708.4</v>
          </cell>
          <cell r="N14" t="str">
            <v>-</v>
          </cell>
          <cell r="O14" t="str">
            <v>-</v>
          </cell>
          <cell r="P14">
            <v>-38.6</v>
          </cell>
          <cell r="Q14">
            <v>-20.5</v>
          </cell>
          <cell r="R14">
            <v>16.5</v>
          </cell>
          <cell r="S14">
            <v>-356.8</v>
          </cell>
          <cell r="T14">
            <v>28.3</v>
          </cell>
          <cell r="U14">
            <v>-139.19999999999999</v>
          </cell>
          <cell r="V14">
            <v>-278.2</v>
          </cell>
          <cell r="W14">
            <v>-1369.1</v>
          </cell>
          <cell r="X14">
            <v>190.9</v>
          </cell>
          <cell r="Y14">
            <v>-74.7</v>
          </cell>
          <cell r="Z14" t="str">
            <v>-</v>
          </cell>
          <cell r="AA14">
            <v>113</v>
          </cell>
          <cell r="AB14">
            <v>283.10000000000002</v>
          </cell>
          <cell r="AC14">
            <v>956</v>
          </cell>
          <cell r="AD14" t="str">
            <v>-</v>
          </cell>
          <cell r="AE14" t="str">
            <v>-</v>
          </cell>
          <cell r="AF14">
            <v>-38.4</v>
          </cell>
          <cell r="AG14">
            <v>3.8</v>
          </cell>
          <cell r="AH14">
            <v>185.7</v>
          </cell>
          <cell r="AI14">
            <v>-510.2</v>
          </cell>
        </row>
        <row r="15">
          <cell r="A15" t="str">
            <v>37226-BRADLEY UPGRADE</v>
          </cell>
          <cell r="B15">
            <v>37226</v>
          </cell>
          <cell r="C15" t="str">
            <v>BRADLEY UPGRADE</v>
          </cell>
          <cell r="D15" t="str">
            <v>BRADLEY UPGRADE</v>
          </cell>
          <cell r="E15">
            <v>2001</v>
          </cell>
          <cell r="F15">
            <v>282.3</v>
          </cell>
          <cell r="G15">
            <v>282.3</v>
          </cell>
          <cell r="H15">
            <v>0.1</v>
          </cell>
          <cell r="I15">
            <v>0.1</v>
          </cell>
          <cell r="J15">
            <v>12.7</v>
          </cell>
          <cell r="K15">
            <v>12.7</v>
          </cell>
          <cell r="L15">
            <v>21.4</v>
          </cell>
          <cell r="M15">
            <v>25</v>
          </cell>
          <cell r="N15" t="str">
            <v>-</v>
          </cell>
          <cell r="O15" t="str">
            <v>-</v>
          </cell>
          <cell r="P15">
            <v>39.1</v>
          </cell>
          <cell r="Q15">
            <v>29.7</v>
          </cell>
          <cell r="R15">
            <v>355.6</v>
          </cell>
          <cell r="S15">
            <v>349.8</v>
          </cell>
          <cell r="T15">
            <v>-19.7</v>
          </cell>
          <cell r="U15">
            <v>-32.4</v>
          </cell>
          <cell r="V15">
            <v>318.60000000000002</v>
          </cell>
          <cell r="W15">
            <v>318.60000000000002</v>
          </cell>
          <cell r="X15">
            <v>0.2</v>
          </cell>
          <cell r="Y15">
            <v>0.2</v>
          </cell>
          <cell r="Z15">
            <v>13.5</v>
          </cell>
          <cell r="AA15">
            <v>13.5</v>
          </cell>
          <cell r="AB15">
            <v>25.7</v>
          </cell>
          <cell r="AC15">
            <v>44.6</v>
          </cell>
          <cell r="AD15" t="str">
            <v>-</v>
          </cell>
          <cell r="AE15" t="str">
            <v>-</v>
          </cell>
          <cell r="AF15">
            <v>47.7</v>
          </cell>
          <cell r="AG15">
            <v>41.5</v>
          </cell>
          <cell r="AH15">
            <v>386</v>
          </cell>
          <cell r="AI15">
            <v>386</v>
          </cell>
        </row>
        <row r="16">
          <cell r="A16" t="e">
            <v>#N/A</v>
          </cell>
          <cell r="B16">
            <v>37226</v>
          </cell>
          <cell r="C16" t="str">
            <v>CGS</v>
          </cell>
          <cell r="D16" t="e">
            <v>#N/A</v>
          </cell>
          <cell r="E16">
            <v>2000</v>
          </cell>
          <cell r="F16" t="str">
            <v>-</v>
          </cell>
          <cell r="G16">
            <v>-20.399999999999999</v>
          </cell>
          <cell r="H16" t="str">
            <v>-</v>
          </cell>
          <cell r="I16" t="str">
            <v>-</v>
          </cell>
          <cell r="J16" t="str">
            <v>-</v>
          </cell>
          <cell r="K16">
            <v>248.8</v>
          </cell>
          <cell r="L16">
            <v>-322.10000000000002</v>
          </cell>
          <cell r="M16">
            <v>-296.3</v>
          </cell>
          <cell r="N16" t="str">
            <v>-</v>
          </cell>
          <cell r="O16" t="str">
            <v>-</v>
          </cell>
          <cell r="P16">
            <v>-23.2</v>
          </cell>
          <cell r="Q16">
            <v>48.1</v>
          </cell>
          <cell r="R16">
            <v>-345.3</v>
          </cell>
          <cell r="S16">
            <v>-19.8</v>
          </cell>
          <cell r="T16">
            <v>-0.3</v>
          </cell>
          <cell r="U16">
            <v>-0.3</v>
          </cell>
          <cell r="V16" t="str">
            <v>-</v>
          </cell>
          <cell r="W16">
            <v>-21.1</v>
          </cell>
          <cell r="X16" t="str">
            <v>-</v>
          </cell>
          <cell r="Y16" t="str">
            <v>-</v>
          </cell>
          <cell r="Z16" t="str">
            <v>-</v>
          </cell>
          <cell r="AA16">
            <v>313.5</v>
          </cell>
          <cell r="AB16">
            <v>-399.2</v>
          </cell>
          <cell r="AC16">
            <v>-371.4</v>
          </cell>
          <cell r="AD16" t="str">
            <v>-</v>
          </cell>
          <cell r="AE16" t="str">
            <v>-</v>
          </cell>
          <cell r="AF16">
            <v>-29</v>
          </cell>
          <cell r="AG16">
            <v>56.2</v>
          </cell>
          <cell r="AH16">
            <v>-428.5</v>
          </cell>
          <cell r="AI16">
            <v>-23.1</v>
          </cell>
        </row>
        <row r="17">
          <cell r="A17" t="str">
            <v>37226-CH-47F</v>
          </cell>
          <cell r="B17">
            <v>37226</v>
          </cell>
          <cell r="C17" t="str">
            <v>CH-47F</v>
          </cell>
          <cell r="D17" t="str">
            <v>CH-47F</v>
          </cell>
          <cell r="E17">
            <v>1997</v>
          </cell>
          <cell r="F17">
            <v>232.1</v>
          </cell>
          <cell r="G17">
            <v>232.1</v>
          </cell>
          <cell r="H17">
            <v>2.9</v>
          </cell>
          <cell r="I17">
            <v>2.9</v>
          </cell>
          <cell r="J17">
            <v>802.6</v>
          </cell>
          <cell r="K17">
            <v>812.7</v>
          </cell>
          <cell r="L17">
            <v>1583.8</v>
          </cell>
          <cell r="M17">
            <v>1580.9</v>
          </cell>
          <cell r="N17" t="str">
            <v>-</v>
          </cell>
          <cell r="O17" t="str">
            <v>-</v>
          </cell>
          <cell r="P17">
            <v>170.2</v>
          </cell>
          <cell r="Q17">
            <v>236</v>
          </cell>
          <cell r="R17">
            <v>2791.6</v>
          </cell>
          <cell r="S17">
            <v>2864.6</v>
          </cell>
          <cell r="T17">
            <v>1.5</v>
          </cell>
          <cell r="U17">
            <v>-111</v>
          </cell>
          <cell r="V17">
            <v>325.3</v>
          </cell>
          <cell r="W17">
            <v>325.3</v>
          </cell>
          <cell r="X17">
            <v>77.8</v>
          </cell>
          <cell r="Y17">
            <v>74.5</v>
          </cell>
          <cell r="Z17">
            <v>1145.3</v>
          </cell>
          <cell r="AA17">
            <v>1163.7</v>
          </cell>
          <cell r="AB17">
            <v>1557.2</v>
          </cell>
          <cell r="AC17">
            <v>1546.8</v>
          </cell>
          <cell r="AD17" t="str">
            <v>-</v>
          </cell>
          <cell r="AE17" t="str">
            <v>-</v>
          </cell>
          <cell r="AF17">
            <v>525.29999999999995</v>
          </cell>
          <cell r="AG17">
            <v>599.1</v>
          </cell>
          <cell r="AH17">
            <v>3632.4</v>
          </cell>
          <cell r="AI17">
            <v>3598.4</v>
          </cell>
        </row>
        <row r="18">
          <cell r="A18" t="str">
            <v>37226-COMANCHE</v>
          </cell>
          <cell r="B18">
            <v>37226</v>
          </cell>
          <cell r="C18" t="str">
            <v>COMANCHE</v>
          </cell>
          <cell r="D18" t="str">
            <v>COMANCHE</v>
          </cell>
          <cell r="E18">
            <v>2000</v>
          </cell>
          <cell r="F18">
            <v>-46.3</v>
          </cell>
          <cell r="G18">
            <v>-46.3</v>
          </cell>
          <cell r="H18">
            <v>200.7</v>
          </cell>
          <cell r="I18">
            <v>200.7</v>
          </cell>
          <cell r="J18">
            <v>759.2</v>
          </cell>
          <cell r="K18">
            <v>759.2</v>
          </cell>
          <cell r="L18">
            <v>760.4</v>
          </cell>
          <cell r="M18">
            <v>760.4</v>
          </cell>
          <cell r="N18" t="str">
            <v>-</v>
          </cell>
          <cell r="O18" t="str">
            <v>-</v>
          </cell>
          <cell r="P18">
            <v>-433.3</v>
          </cell>
          <cell r="Q18">
            <v>-433.3</v>
          </cell>
          <cell r="R18">
            <v>1240.7</v>
          </cell>
          <cell r="S18">
            <v>1240.7</v>
          </cell>
          <cell r="T18">
            <v>-407</v>
          </cell>
          <cell r="U18">
            <v>-407</v>
          </cell>
          <cell r="V18">
            <v>-37.1</v>
          </cell>
          <cell r="W18">
            <v>-37.1</v>
          </cell>
          <cell r="X18">
            <v>-628.79999999999995</v>
          </cell>
          <cell r="Y18">
            <v>-628.79999999999995</v>
          </cell>
          <cell r="Z18">
            <v>845.4</v>
          </cell>
          <cell r="AA18">
            <v>845.4</v>
          </cell>
          <cell r="AB18">
            <v>728.6</v>
          </cell>
          <cell r="AC18">
            <v>728.6</v>
          </cell>
          <cell r="AD18" t="str">
            <v>-</v>
          </cell>
          <cell r="AE18" t="str">
            <v>-</v>
          </cell>
          <cell r="AF18">
            <v>-729.8</v>
          </cell>
          <cell r="AG18">
            <v>-729.8</v>
          </cell>
          <cell r="AH18">
            <v>-228.7</v>
          </cell>
          <cell r="AI18">
            <v>-228.7</v>
          </cell>
        </row>
        <row r="19">
          <cell r="A19" t="str">
            <v>37226-CRUSADER</v>
          </cell>
          <cell r="B19">
            <v>37226</v>
          </cell>
          <cell r="C19" t="str">
            <v>CRUSADER (RDT&amp;E)</v>
          </cell>
          <cell r="D19" t="str">
            <v>CRUSADER</v>
          </cell>
          <cell r="E19">
            <v>1995</v>
          </cell>
          <cell r="F19" t="str">
            <v>-</v>
          </cell>
          <cell r="G19">
            <v>118.6</v>
          </cell>
          <cell r="H19" t="str">
            <v>-</v>
          </cell>
          <cell r="I19">
            <v>582.4</v>
          </cell>
          <cell r="J19" t="str">
            <v>-</v>
          </cell>
          <cell r="K19">
            <v>780.6</v>
          </cell>
          <cell r="L19">
            <v>-29.1</v>
          </cell>
          <cell r="M19">
            <v>-23.6</v>
          </cell>
          <cell r="N19" t="str">
            <v>-</v>
          </cell>
          <cell r="O19" t="str">
            <v>-</v>
          </cell>
          <cell r="P19" t="str">
            <v>-</v>
          </cell>
          <cell r="Q19" t="str">
            <v>-</v>
          </cell>
          <cell r="R19">
            <v>-29.1</v>
          </cell>
          <cell r="S19">
            <v>1458</v>
          </cell>
          <cell r="T19">
            <v>18.3</v>
          </cell>
          <cell r="U19">
            <v>-233.9</v>
          </cell>
          <cell r="V19" t="str">
            <v>-</v>
          </cell>
          <cell r="W19">
            <v>140</v>
          </cell>
          <cell r="X19" t="str">
            <v>-</v>
          </cell>
          <cell r="Y19">
            <v>675.6</v>
          </cell>
          <cell r="Z19" t="str">
            <v>-</v>
          </cell>
          <cell r="AA19">
            <v>936.2</v>
          </cell>
          <cell r="AB19">
            <v>-34.299999999999997</v>
          </cell>
          <cell r="AC19">
            <v>-11.6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>
            <v>-16</v>
          </cell>
          <cell r="AI19">
            <v>1506.3</v>
          </cell>
        </row>
        <row r="20">
          <cell r="A20" t="str">
            <v>37226-FBCB2</v>
          </cell>
          <cell r="B20">
            <v>37226</v>
          </cell>
          <cell r="C20" t="str">
            <v>FBCB2</v>
          </cell>
          <cell r="D20" t="str">
            <v>FBCB2</v>
          </cell>
          <cell r="E20">
            <v>2000</v>
          </cell>
          <cell r="F20">
            <v>-64.7</v>
          </cell>
          <cell r="G20">
            <v>-64.7</v>
          </cell>
          <cell r="H20">
            <v>77.400000000000006</v>
          </cell>
          <cell r="I20">
            <v>77.400000000000006</v>
          </cell>
          <cell r="J20">
            <v>105.2</v>
          </cell>
          <cell r="K20">
            <v>105.2</v>
          </cell>
          <cell r="L20">
            <v>-96</v>
          </cell>
          <cell r="M20">
            <v>-78.8</v>
          </cell>
          <cell r="N20" t="str">
            <v>-</v>
          </cell>
          <cell r="O20" t="str">
            <v>-</v>
          </cell>
          <cell r="P20">
            <v>127.8</v>
          </cell>
          <cell r="Q20">
            <v>114.9</v>
          </cell>
          <cell r="R20">
            <v>149.69999999999999</v>
          </cell>
          <cell r="S20">
            <v>154</v>
          </cell>
          <cell r="T20">
            <v>-9.9</v>
          </cell>
          <cell r="U20">
            <v>-27.5</v>
          </cell>
          <cell r="V20">
            <v>-85.7</v>
          </cell>
          <cell r="W20">
            <v>-85.7</v>
          </cell>
          <cell r="X20">
            <v>129.80000000000001</v>
          </cell>
          <cell r="Y20">
            <v>104.3</v>
          </cell>
          <cell r="Z20">
            <v>126.8</v>
          </cell>
          <cell r="AA20">
            <v>126.8</v>
          </cell>
          <cell r="AB20">
            <v>-101.4</v>
          </cell>
          <cell r="AC20">
            <v>-78.7</v>
          </cell>
          <cell r="AD20" t="str">
            <v>-</v>
          </cell>
          <cell r="AE20" t="str">
            <v>-</v>
          </cell>
          <cell r="AF20">
            <v>183.4</v>
          </cell>
          <cell r="AG20">
            <v>160.30000000000001</v>
          </cell>
          <cell r="AH20">
            <v>243</v>
          </cell>
          <cell r="AI20">
            <v>199.5</v>
          </cell>
        </row>
        <row r="21">
          <cell r="A21" t="str">
            <v>37226-FMTV</v>
          </cell>
          <cell r="B21">
            <v>37226</v>
          </cell>
          <cell r="C21" t="str">
            <v>FMTV</v>
          </cell>
          <cell r="D21" t="str">
            <v>FMTV</v>
          </cell>
          <cell r="E21">
            <v>1996</v>
          </cell>
          <cell r="F21" t="str">
            <v>-</v>
          </cell>
          <cell r="G21">
            <v>-97.2</v>
          </cell>
          <cell r="H21" t="str">
            <v>-</v>
          </cell>
          <cell r="I21">
            <v>42.8</v>
          </cell>
          <cell r="J21">
            <v>52.9</v>
          </cell>
          <cell r="K21">
            <v>781.5</v>
          </cell>
          <cell r="L21">
            <v>135.80000000000001</v>
          </cell>
          <cell r="M21">
            <v>2182.8000000000002</v>
          </cell>
          <cell r="N21" t="str">
            <v>-</v>
          </cell>
          <cell r="O21" t="str">
            <v>-</v>
          </cell>
          <cell r="P21">
            <v>68.599999999999994</v>
          </cell>
          <cell r="Q21">
            <v>-252.2</v>
          </cell>
          <cell r="R21">
            <v>257.3</v>
          </cell>
          <cell r="S21">
            <v>2657.7</v>
          </cell>
          <cell r="T21">
            <v>-117.7</v>
          </cell>
          <cell r="U21">
            <v>-3388.5</v>
          </cell>
          <cell r="V21" t="str">
            <v>-</v>
          </cell>
          <cell r="W21">
            <v>-597.79999999999995</v>
          </cell>
          <cell r="X21">
            <v>28.9</v>
          </cell>
          <cell r="Y21">
            <v>-433.3</v>
          </cell>
          <cell r="Z21">
            <v>73.599999999999994</v>
          </cell>
          <cell r="AA21">
            <v>1048.7</v>
          </cell>
          <cell r="AB21">
            <v>208.5</v>
          </cell>
          <cell r="AC21">
            <v>2937.2</v>
          </cell>
          <cell r="AD21" t="str">
            <v>-</v>
          </cell>
          <cell r="AE21" t="str">
            <v>-</v>
          </cell>
          <cell r="AF21">
            <v>91.7</v>
          </cell>
          <cell r="AG21">
            <v>-413.2</v>
          </cell>
          <cell r="AH21">
            <v>285</v>
          </cell>
          <cell r="AI21">
            <v>-846.9</v>
          </cell>
        </row>
        <row r="22">
          <cell r="A22" t="e">
            <v>#N/A</v>
          </cell>
          <cell r="B22">
            <v>37226</v>
          </cell>
          <cell r="C22" t="str">
            <v>IAV</v>
          </cell>
          <cell r="D22" t="e">
            <v>#N/A</v>
          </cell>
          <cell r="E22">
            <v>2000</v>
          </cell>
          <cell r="F22">
            <v>-7.1</v>
          </cell>
          <cell r="G22">
            <v>-7.1</v>
          </cell>
          <cell r="H22" t="str">
            <v>-</v>
          </cell>
          <cell r="I22" t="str">
            <v>-</v>
          </cell>
          <cell r="J22">
            <v>10.3</v>
          </cell>
          <cell r="K22">
            <v>10.3</v>
          </cell>
          <cell r="L22">
            <v>-5.6</v>
          </cell>
          <cell r="M22">
            <v>-110.5</v>
          </cell>
          <cell r="N22" t="str">
            <v>-</v>
          </cell>
          <cell r="O22" t="str">
            <v>-</v>
          </cell>
          <cell r="P22">
            <v>-26.9</v>
          </cell>
          <cell r="Q22">
            <v>-26.7</v>
          </cell>
          <cell r="R22">
            <v>-29.3</v>
          </cell>
          <cell r="S22">
            <v>-134</v>
          </cell>
          <cell r="T22">
            <v>-43</v>
          </cell>
          <cell r="U22">
            <v>-43</v>
          </cell>
          <cell r="V22">
            <v>-10.3</v>
          </cell>
          <cell r="W22">
            <v>-10.3</v>
          </cell>
          <cell r="X22">
            <v>-2.7</v>
          </cell>
          <cell r="Y22">
            <v>-2.7</v>
          </cell>
          <cell r="Z22">
            <v>11.3</v>
          </cell>
          <cell r="AA22">
            <v>11.3</v>
          </cell>
          <cell r="AB22">
            <v>-10.4</v>
          </cell>
          <cell r="AC22">
            <v>-91.2</v>
          </cell>
          <cell r="AD22" t="str">
            <v>-</v>
          </cell>
          <cell r="AE22" t="str">
            <v>-</v>
          </cell>
          <cell r="AF22">
            <v>-39.9</v>
          </cell>
          <cell r="AG22">
            <v>-39.9</v>
          </cell>
          <cell r="AH22">
            <v>-95</v>
          </cell>
          <cell r="AI22">
            <v>-175.8</v>
          </cell>
        </row>
        <row r="23">
          <cell r="A23" t="str">
            <v>37226-JAVELIN</v>
          </cell>
          <cell r="B23">
            <v>37226</v>
          </cell>
          <cell r="C23" t="str">
            <v>JAVELIN</v>
          </cell>
          <cell r="D23" t="str">
            <v>JAVELIN</v>
          </cell>
          <cell r="E23">
            <v>1997</v>
          </cell>
          <cell r="F23">
            <v>208.1</v>
          </cell>
          <cell r="G23">
            <v>112.2</v>
          </cell>
          <cell r="H23" t="str">
            <v>-</v>
          </cell>
          <cell r="I23" t="str">
            <v>-</v>
          </cell>
          <cell r="J23" t="str">
            <v>-</v>
          </cell>
          <cell r="K23">
            <v>7.3</v>
          </cell>
          <cell r="L23">
            <v>135.80000000000001</v>
          </cell>
          <cell r="M23">
            <v>222.6</v>
          </cell>
          <cell r="N23" t="str">
            <v>-</v>
          </cell>
          <cell r="O23" t="str">
            <v>-</v>
          </cell>
          <cell r="P23">
            <v>-9.1</v>
          </cell>
          <cell r="Q23">
            <v>-4.0999999999999996</v>
          </cell>
          <cell r="R23">
            <v>334.8</v>
          </cell>
          <cell r="S23">
            <v>338</v>
          </cell>
          <cell r="T23">
            <v>12.3</v>
          </cell>
          <cell r="U23">
            <v>-68</v>
          </cell>
          <cell r="V23">
            <v>231.4</v>
          </cell>
          <cell r="W23">
            <v>84.2</v>
          </cell>
          <cell r="X23">
            <v>-4.4000000000000004</v>
          </cell>
          <cell r="Y23">
            <v>-19.3</v>
          </cell>
          <cell r="Z23" t="str">
            <v>-</v>
          </cell>
          <cell r="AA23">
            <v>7</v>
          </cell>
          <cell r="AB23">
            <v>167.8</v>
          </cell>
          <cell r="AC23">
            <v>302.7</v>
          </cell>
          <cell r="AD23" t="str">
            <v>-</v>
          </cell>
          <cell r="AE23" t="str">
            <v>-</v>
          </cell>
          <cell r="AF23">
            <v>-7.2</v>
          </cell>
          <cell r="AG23">
            <v>-12.9</v>
          </cell>
          <cell r="AH23">
            <v>399.9</v>
          </cell>
          <cell r="AI23">
            <v>293.7</v>
          </cell>
        </row>
        <row r="24">
          <cell r="A24" t="str">
            <v>37226-LONGBOW APACHE</v>
          </cell>
          <cell r="B24">
            <v>37226</v>
          </cell>
          <cell r="C24" t="str">
            <v>LONGBOW APACHE</v>
          </cell>
          <cell r="D24" t="str">
            <v>LONGBOW APACHE</v>
          </cell>
          <cell r="E24">
            <v>1996</v>
          </cell>
          <cell r="F24">
            <v>-349.5</v>
          </cell>
          <cell r="G24">
            <v>-1485.2</v>
          </cell>
          <cell r="H24" t="str">
            <v>-</v>
          </cell>
          <cell r="I24" t="str">
            <v>-</v>
          </cell>
          <cell r="J24">
            <v>959.8</v>
          </cell>
          <cell r="K24">
            <v>1637.1</v>
          </cell>
          <cell r="L24">
            <v>-292.3</v>
          </cell>
          <cell r="M24">
            <v>587.29999999999995</v>
          </cell>
          <cell r="N24" t="str">
            <v>-</v>
          </cell>
          <cell r="O24" t="str">
            <v>-</v>
          </cell>
          <cell r="P24">
            <v>-254</v>
          </cell>
          <cell r="Q24">
            <v>205.8</v>
          </cell>
          <cell r="R24">
            <v>64</v>
          </cell>
          <cell r="S24">
            <v>945</v>
          </cell>
          <cell r="T24">
            <v>95.4</v>
          </cell>
          <cell r="U24">
            <v>-312.60000000000002</v>
          </cell>
          <cell r="V24">
            <v>-450</v>
          </cell>
          <cell r="W24">
            <v>-1876.6</v>
          </cell>
          <cell r="X24">
            <v>-3.1</v>
          </cell>
          <cell r="Y24">
            <v>33.799999999999997</v>
          </cell>
          <cell r="Z24">
            <v>1086.0999999999999</v>
          </cell>
          <cell r="AA24">
            <v>1881.8</v>
          </cell>
          <cell r="AB24">
            <v>-327</v>
          </cell>
          <cell r="AC24">
            <v>214.3</v>
          </cell>
          <cell r="AD24" t="str">
            <v>-</v>
          </cell>
          <cell r="AE24" t="str">
            <v>-</v>
          </cell>
          <cell r="AF24">
            <v>-305.60000000000002</v>
          </cell>
          <cell r="AG24">
            <v>181.6</v>
          </cell>
          <cell r="AH24">
            <v>95.8</v>
          </cell>
          <cell r="AI24">
            <v>122.3</v>
          </cell>
        </row>
        <row r="25">
          <cell r="A25" t="str">
            <v>37226-LONGBOW HELLFIRE</v>
          </cell>
          <cell r="B25">
            <v>37226</v>
          </cell>
          <cell r="C25" t="str">
            <v>LONGBOW HELLFIRE</v>
          </cell>
          <cell r="D25" t="str">
            <v>LONGBOW HELLFIRE</v>
          </cell>
          <cell r="E25">
            <v>1996</v>
          </cell>
          <cell r="F25" t="str">
            <v>-</v>
          </cell>
          <cell r="G25">
            <v>-41.8</v>
          </cell>
          <cell r="H25" t="str">
            <v>-</v>
          </cell>
          <cell r="I25">
            <v>-1.1000000000000001</v>
          </cell>
          <cell r="J25">
            <v>81.5</v>
          </cell>
          <cell r="K25">
            <v>123.2</v>
          </cell>
          <cell r="L25">
            <v>-6.7</v>
          </cell>
          <cell r="M25">
            <v>48.1</v>
          </cell>
          <cell r="N25" t="str">
            <v>-</v>
          </cell>
          <cell r="O25" t="str">
            <v>-</v>
          </cell>
          <cell r="P25">
            <v>2.8</v>
          </cell>
          <cell r="Q25">
            <v>2.8</v>
          </cell>
          <cell r="R25">
            <v>77.599999999999994</v>
          </cell>
          <cell r="S25">
            <v>131.19999999999999</v>
          </cell>
          <cell r="T25">
            <v>10.5</v>
          </cell>
          <cell r="U25">
            <v>-163.80000000000001</v>
          </cell>
          <cell r="V25" t="str">
            <v>-</v>
          </cell>
          <cell r="W25">
            <v>-54.7</v>
          </cell>
          <cell r="X25" t="str">
            <v>-</v>
          </cell>
          <cell r="Y25">
            <v>7.2</v>
          </cell>
          <cell r="Z25">
            <v>95.2</v>
          </cell>
          <cell r="AA25">
            <v>142.69999999999999</v>
          </cell>
          <cell r="AB25">
            <v>-8.8000000000000007</v>
          </cell>
          <cell r="AC25">
            <v>55</v>
          </cell>
          <cell r="AD25" t="str">
            <v>-</v>
          </cell>
          <cell r="AE25" t="str">
            <v>-</v>
          </cell>
          <cell r="AF25">
            <v>3.2</v>
          </cell>
          <cell r="AG25">
            <v>1.8</v>
          </cell>
          <cell r="AH25">
            <v>100.1</v>
          </cell>
          <cell r="AI25">
            <v>-11.8</v>
          </cell>
        </row>
        <row r="26">
          <cell r="A26" t="str">
            <v>37226-MCS</v>
          </cell>
          <cell r="B26">
            <v>37226</v>
          </cell>
          <cell r="C26" t="str">
            <v>MCS</v>
          </cell>
          <cell r="D26" t="str">
            <v>MCS</v>
          </cell>
          <cell r="E26">
            <v>1980</v>
          </cell>
          <cell r="F26">
            <v>579.79999999999995</v>
          </cell>
          <cell r="G26">
            <v>952.1</v>
          </cell>
          <cell r="H26">
            <v>-53.2</v>
          </cell>
          <cell r="I26">
            <v>-76.599999999999994</v>
          </cell>
          <cell r="J26">
            <v>217.1</v>
          </cell>
          <cell r="K26">
            <v>362.2</v>
          </cell>
          <cell r="L26">
            <v>-815.8</v>
          </cell>
          <cell r="M26">
            <v>-1018.5</v>
          </cell>
          <cell r="N26" t="str">
            <v>-</v>
          </cell>
          <cell r="O26" t="str">
            <v>-</v>
          </cell>
          <cell r="P26">
            <v>1.6</v>
          </cell>
          <cell r="Q26">
            <v>145.30000000000001</v>
          </cell>
          <cell r="R26">
            <v>-70.5</v>
          </cell>
          <cell r="S26">
            <v>364.5</v>
          </cell>
          <cell r="T26">
            <v>-36</v>
          </cell>
          <cell r="U26">
            <v>-3.5</v>
          </cell>
          <cell r="V26">
            <v>1427.5</v>
          </cell>
          <cell r="W26">
            <v>2332.4</v>
          </cell>
          <cell r="X26">
            <v>341.1</v>
          </cell>
          <cell r="Y26">
            <v>824.4</v>
          </cell>
          <cell r="Z26">
            <v>198.3</v>
          </cell>
          <cell r="AA26">
            <v>483.3</v>
          </cell>
          <cell r="AB26">
            <v>-2169.1999999999998</v>
          </cell>
          <cell r="AC26">
            <v>-3241.7</v>
          </cell>
          <cell r="AD26" t="str">
            <v>-</v>
          </cell>
          <cell r="AE26" t="str">
            <v>-</v>
          </cell>
          <cell r="AF26">
            <v>-1.2</v>
          </cell>
          <cell r="AG26">
            <v>412.3</v>
          </cell>
          <cell r="AH26">
            <v>-239.5</v>
          </cell>
          <cell r="AI26">
            <v>807.2</v>
          </cell>
        </row>
        <row r="27">
          <cell r="A27" t="e">
            <v>#N/A</v>
          </cell>
          <cell r="B27">
            <v>37226</v>
          </cell>
          <cell r="C27" t="str">
            <v>MLRS UPGRADE</v>
          </cell>
          <cell r="D27" t="e">
            <v>#N/A</v>
          </cell>
          <cell r="E27">
            <v>1998</v>
          </cell>
          <cell r="F27">
            <v>1172.5999999999999</v>
          </cell>
          <cell r="G27">
            <v>1925.9</v>
          </cell>
          <cell r="H27">
            <v>-24.1</v>
          </cell>
          <cell r="I27">
            <v>-13.2</v>
          </cell>
          <cell r="J27" t="str">
            <v>-</v>
          </cell>
          <cell r="K27" t="str">
            <v>-</v>
          </cell>
          <cell r="L27">
            <v>3969.9</v>
          </cell>
          <cell r="M27">
            <v>3924.6</v>
          </cell>
          <cell r="N27" t="str">
            <v>-</v>
          </cell>
          <cell r="O27" t="str">
            <v>-</v>
          </cell>
          <cell r="P27">
            <v>293.7</v>
          </cell>
          <cell r="Q27">
            <v>378.7</v>
          </cell>
          <cell r="R27">
            <v>5412.1</v>
          </cell>
          <cell r="S27">
            <v>6216</v>
          </cell>
          <cell r="T27">
            <v>26.9</v>
          </cell>
          <cell r="U27">
            <v>-94.9</v>
          </cell>
          <cell r="V27">
            <v>1850</v>
          </cell>
          <cell r="W27">
            <v>2866.2</v>
          </cell>
          <cell r="X27">
            <v>85.1</v>
          </cell>
          <cell r="Y27">
            <v>121.7</v>
          </cell>
          <cell r="Z27" t="str">
            <v>-</v>
          </cell>
          <cell r="AA27" t="str">
            <v>-</v>
          </cell>
          <cell r="AB27">
            <v>5201.5</v>
          </cell>
          <cell r="AC27">
            <v>5155.8</v>
          </cell>
          <cell r="AD27" t="str">
            <v>-</v>
          </cell>
          <cell r="AE27" t="str">
            <v>-</v>
          </cell>
          <cell r="AF27">
            <v>343.4</v>
          </cell>
          <cell r="AG27">
            <v>449.3</v>
          </cell>
          <cell r="AH27">
            <v>7506.9</v>
          </cell>
          <cell r="AI27">
            <v>8498.1</v>
          </cell>
        </row>
        <row r="28">
          <cell r="A28" t="str">
            <v>37226-PATRIOT PAC-3</v>
          </cell>
          <cell r="B28">
            <v>37226</v>
          </cell>
          <cell r="C28" t="str">
            <v>PATRIOT PAC-3</v>
          </cell>
          <cell r="D28" t="str">
            <v>PATRIOT PAC-3</v>
          </cell>
          <cell r="E28">
            <v>1988</v>
          </cell>
          <cell r="F28">
            <v>104.4</v>
          </cell>
          <cell r="G28">
            <v>505.1</v>
          </cell>
          <cell r="H28">
            <v>-39.200000000000003</v>
          </cell>
          <cell r="I28">
            <v>-300.60000000000002</v>
          </cell>
          <cell r="J28">
            <v>7.6</v>
          </cell>
          <cell r="K28">
            <v>503.4</v>
          </cell>
          <cell r="L28">
            <v>703.7</v>
          </cell>
          <cell r="M28">
            <v>2952.4</v>
          </cell>
          <cell r="N28" t="str">
            <v>-</v>
          </cell>
          <cell r="O28" t="str">
            <v>-</v>
          </cell>
          <cell r="P28">
            <v>12.1</v>
          </cell>
          <cell r="Q28">
            <v>157.1</v>
          </cell>
          <cell r="R28">
            <v>788.6</v>
          </cell>
          <cell r="S28">
            <v>3817.4</v>
          </cell>
          <cell r="T28">
            <v>-22.8</v>
          </cell>
          <cell r="U28">
            <v>-224</v>
          </cell>
          <cell r="V28">
            <v>170.4</v>
          </cell>
          <cell r="W28">
            <v>280.3</v>
          </cell>
          <cell r="X28">
            <v>-31.3</v>
          </cell>
          <cell r="Y28">
            <v>479.1</v>
          </cell>
          <cell r="Z28">
            <v>11</v>
          </cell>
          <cell r="AA28">
            <v>750.4</v>
          </cell>
          <cell r="AB28">
            <v>990.8</v>
          </cell>
          <cell r="AC28">
            <v>3922</v>
          </cell>
          <cell r="AD28" t="str">
            <v>-</v>
          </cell>
          <cell r="AE28" t="str">
            <v>-</v>
          </cell>
          <cell r="AF28">
            <v>18.3</v>
          </cell>
          <cell r="AG28">
            <v>216.4</v>
          </cell>
          <cell r="AH28">
            <v>1136.4000000000001</v>
          </cell>
          <cell r="AI28">
            <v>5424.2</v>
          </cell>
        </row>
        <row r="29">
          <cell r="A29" t="e">
            <v>#N/A</v>
          </cell>
          <cell r="B29">
            <v>37226</v>
          </cell>
          <cell r="C29" t="str">
            <v>SADARM</v>
          </cell>
          <cell r="D29" t="e">
            <v>#N/A</v>
          </cell>
          <cell r="E29">
            <v>1989</v>
          </cell>
          <cell r="F29" t="str">
            <v>-</v>
          </cell>
          <cell r="G29">
            <v>-0.9</v>
          </cell>
          <cell r="H29" t="str">
            <v>-</v>
          </cell>
          <cell r="I29">
            <v>24.2</v>
          </cell>
          <cell r="J29" t="str">
            <v>-</v>
          </cell>
          <cell r="K29">
            <v>55.9</v>
          </cell>
          <cell r="L29" t="str">
            <v>-</v>
          </cell>
          <cell r="M29">
            <v>55.8</v>
          </cell>
          <cell r="N29" t="str">
            <v>-</v>
          </cell>
          <cell r="O29" t="str">
            <v>-</v>
          </cell>
          <cell r="P29" t="str">
            <v>-</v>
          </cell>
          <cell r="Q29">
            <v>4</v>
          </cell>
          <cell r="R29">
            <v>0</v>
          </cell>
          <cell r="S29">
            <v>139</v>
          </cell>
          <cell r="T29" t="str">
            <v>-</v>
          </cell>
          <cell r="U29">
            <v>-4.4000000000000004</v>
          </cell>
          <cell r="V29" t="str">
            <v>-</v>
          </cell>
          <cell r="W29">
            <v>-383.8</v>
          </cell>
          <cell r="X29" t="str">
            <v>-</v>
          </cell>
          <cell r="Y29">
            <v>221.7</v>
          </cell>
          <cell r="Z29" t="str">
            <v>-</v>
          </cell>
          <cell r="AA29">
            <v>131.5</v>
          </cell>
          <cell r="AB29" t="str">
            <v>-</v>
          </cell>
          <cell r="AC29">
            <v>234.4</v>
          </cell>
          <cell r="AD29" t="str">
            <v>-</v>
          </cell>
          <cell r="AE29" t="str">
            <v>-</v>
          </cell>
          <cell r="AF29" t="str">
            <v>-</v>
          </cell>
          <cell r="AG29">
            <v>5.4</v>
          </cell>
          <cell r="AH29">
            <v>0</v>
          </cell>
          <cell r="AI29">
            <v>204.8</v>
          </cell>
        </row>
        <row r="30">
          <cell r="A30" t="str">
            <v>37226-SMART-T</v>
          </cell>
          <cell r="B30">
            <v>37226</v>
          </cell>
          <cell r="C30" t="str">
            <v>SMART-T</v>
          </cell>
          <cell r="D30" t="str">
            <v>SMART-T</v>
          </cell>
          <cell r="E30">
            <v>1999</v>
          </cell>
          <cell r="F30">
            <v>149</v>
          </cell>
          <cell r="G30">
            <v>63.5</v>
          </cell>
          <cell r="H30" t="str">
            <v>-</v>
          </cell>
          <cell r="I30" t="str">
            <v>-</v>
          </cell>
          <cell r="J30">
            <v>-11.6</v>
          </cell>
          <cell r="K30">
            <v>-29.8</v>
          </cell>
          <cell r="L30">
            <v>-34.1</v>
          </cell>
          <cell r="M30">
            <v>-54.9</v>
          </cell>
          <cell r="N30" t="str">
            <v>-</v>
          </cell>
          <cell r="O30" t="str">
            <v>-</v>
          </cell>
          <cell r="P30">
            <v>-4.5</v>
          </cell>
          <cell r="Q30">
            <v>2.2999999999999998</v>
          </cell>
          <cell r="R30">
            <v>98.8</v>
          </cell>
          <cell r="S30">
            <v>-18.899999999999999</v>
          </cell>
          <cell r="T30">
            <v>0.2</v>
          </cell>
          <cell r="U30">
            <v>0.3</v>
          </cell>
          <cell r="V30">
            <v>159.6</v>
          </cell>
          <cell r="W30">
            <v>70</v>
          </cell>
          <cell r="X30">
            <v>0.6</v>
          </cell>
          <cell r="Y30">
            <v>1.6</v>
          </cell>
          <cell r="Z30">
            <v>-12.1</v>
          </cell>
          <cell r="AA30">
            <v>-31.5</v>
          </cell>
          <cell r="AB30">
            <v>-27.6</v>
          </cell>
          <cell r="AC30">
            <v>-48.7</v>
          </cell>
          <cell r="AD30" t="str">
            <v>-</v>
          </cell>
          <cell r="AE30" t="str">
            <v>-</v>
          </cell>
          <cell r="AF30">
            <v>-4.5</v>
          </cell>
          <cell r="AG30">
            <v>2.4</v>
          </cell>
          <cell r="AH30">
            <v>116.2</v>
          </cell>
          <cell r="AI30">
            <v>-5.9</v>
          </cell>
        </row>
        <row r="31">
          <cell r="A31" t="str">
            <v>37226-Army Subtotal</v>
          </cell>
          <cell r="B31">
            <v>37226</v>
          </cell>
          <cell r="C31" t="str">
            <v>Army Subtotal</v>
          </cell>
          <cell r="D31" t="str">
            <v>Army Subtotal</v>
          </cell>
          <cell r="F31">
            <v>2166</v>
          </cell>
          <cell r="G31">
            <v>1030.7</v>
          </cell>
          <cell r="H31">
            <v>248.4</v>
          </cell>
          <cell r="I31">
            <v>417.9</v>
          </cell>
          <cell r="J31">
            <v>2999.7</v>
          </cell>
          <cell r="K31">
            <v>6732.6</v>
          </cell>
          <cell r="L31">
            <v>5490</v>
          </cell>
          <cell r="M31">
            <v>13912.9</v>
          </cell>
          <cell r="N31" t="str">
            <v>-</v>
          </cell>
          <cell r="O31" t="str">
            <v>-</v>
          </cell>
          <cell r="P31">
            <v>-11.3</v>
          </cell>
          <cell r="Q31">
            <v>734.8</v>
          </cell>
          <cell r="R31">
            <v>10892.8</v>
          </cell>
          <cell r="S31">
            <v>22828.9</v>
          </cell>
          <cell r="T31">
            <v>-388.1</v>
          </cell>
          <cell r="U31">
            <v>-6022.2</v>
          </cell>
          <cell r="V31">
            <v>3809.1</v>
          </cell>
          <cell r="W31">
            <v>971.9</v>
          </cell>
          <cell r="X31">
            <v>295.5</v>
          </cell>
          <cell r="Y31">
            <v>1788.7</v>
          </cell>
          <cell r="Z31">
            <v>3597.8</v>
          </cell>
          <cell r="AA31">
            <v>8481.9</v>
          </cell>
          <cell r="AB31">
            <v>5471.2</v>
          </cell>
          <cell r="AC31">
            <v>15291.7</v>
          </cell>
          <cell r="AD31" t="str">
            <v>-</v>
          </cell>
          <cell r="AE31" t="str">
            <v>-</v>
          </cell>
          <cell r="AF31">
            <v>134.19999999999999</v>
          </cell>
          <cell r="AG31">
            <v>1087.9000000000001</v>
          </cell>
          <cell r="AH31">
            <v>12919.7</v>
          </cell>
          <cell r="AI31">
            <v>21599.9</v>
          </cell>
        </row>
        <row r="33">
          <cell r="C33" t="str">
            <v>NAVY</v>
          </cell>
        </row>
        <row r="34">
          <cell r="A34" t="str">
            <v>37226-EFV</v>
          </cell>
          <cell r="B34">
            <v>37226</v>
          </cell>
          <cell r="C34" t="str">
            <v>AAAV</v>
          </cell>
          <cell r="D34" t="str">
            <v>EFV</v>
          </cell>
          <cell r="E34">
            <v>1993</v>
          </cell>
          <cell r="F34" t="str">
            <v>-</v>
          </cell>
          <cell r="G34" t="str">
            <v>-</v>
          </cell>
          <cell r="H34">
            <v>-0.6</v>
          </cell>
          <cell r="I34">
            <v>-0.6</v>
          </cell>
          <cell r="J34">
            <v>373.8</v>
          </cell>
          <cell r="K34">
            <v>373.8</v>
          </cell>
          <cell r="L34">
            <v>227.5</v>
          </cell>
          <cell r="M34">
            <v>227.2</v>
          </cell>
          <cell r="N34" t="str">
            <v>-</v>
          </cell>
          <cell r="O34" t="str">
            <v>-</v>
          </cell>
          <cell r="P34">
            <v>7.3</v>
          </cell>
          <cell r="Q34">
            <v>8.6</v>
          </cell>
          <cell r="R34">
            <v>608</v>
          </cell>
          <cell r="S34">
            <v>609</v>
          </cell>
          <cell r="T34">
            <v>-149</v>
          </cell>
          <cell r="U34">
            <v>-41.9</v>
          </cell>
          <cell r="V34" t="str">
            <v>-</v>
          </cell>
          <cell r="W34" t="str">
            <v>-</v>
          </cell>
          <cell r="X34">
            <v>130.1</v>
          </cell>
          <cell r="Y34">
            <v>130.1</v>
          </cell>
          <cell r="Z34">
            <v>512.6</v>
          </cell>
          <cell r="AA34">
            <v>512.6</v>
          </cell>
          <cell r="AB34">
            <v>279.8</v>
          </cell>
          <cell r="AC34">
            <v>292.5</v>
          </cell>
          <cell r="AD34" t="str">
            <v>-</v>
          </cell>
          <cell r="AE34" t="str">
            <v>-</v>
          </cell>
          <cell r="AF34">
            <v>21.8</v>
          </cell>
          <cell r="AG34">
            <v>21.8</v>
          </cell>
          <cell r="AH34">
            <v>795.3</v>
          </cell>
          <cell r="AI34">
            <v>915.1</v>
          </cell>
        </row>
        <row r="35">
          <cell r="A35" t="str">
            <v>37226-AESA</v>
          </cell>
          <cell r="B35">
            <v>37226</v>
          </cell>
          <cell r="C35" t="str">
            <v>AESA</v>
          </cell>
          <cell r="D35" t="str">
            <v>AESA</v>
          </cell>
          <cell r="E35">
            <v>2000</v>
          </cell>
          <cell r="F35" t="str">
            <v>-</v>
          </cell>
          <cell r="G35" t="str">
            <v>-</v>
          </cell>
          <cell r="H35" t="str">
            <v>-</v>
          </cell>
          <cell r="I35" t="str">
            <v>-</v>
          </cell>
          <cell r="J35" t="str">
            <v>-</v>
          </cell>
          <cell r="K35" t="str">
            <v>-</v>
          </cell>
          <cell r="L35">
            <v>-23.5</v>
          </cell>
          <cell r="M35">
            <v>-23.5</v>
          </cell>
          <cell r="N35" t="str">
            <v>-</v>
          </cell>
          <cell r="O35" t="str">
            <v>-</v>
          </cell>
          <cell r="P35" t="str">
            <v>-</v>
          </cell>
          <cell r="Q35" t="str">
            <v>-</v>
          </cell>
          <cell r="R35">
            <v>-23.5</v>
          </cell>
          <cell r="S35">
            <v>-23.5</v>
          </cell>
          <cell r="T35">
            <v>0.8</v>
          </cell>
          <cell r="U35">
            <v>0.8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-</v>
          </cell>
          <cell r="AB35">
            <v>-25.7</v>
          </cell>
          <cell r="AC35">
            <v>-25.7</v>
          </cell>
          <cell r="AD35" t="str">
            <v>-</v>
          </cell>
          <cell r="AE35" t="str">
            <v>-</v>
          </cell>
          <cell r="AF35" t="str">
            <v>-</v>
          </cell>
          <cell r="AG35" t="str">
            <v>-</v>
          </cell>
          <cell r="AH35">
            <v>-24.9</v>
          </cell>
          <cell r="AI35">
            <v>-24.9</v>
          </cell>
        </row>
        <row r="36">
          <cell r="A36" t="str">
            <v>37226-AIM-9X</v>
          </cell>
          <cell r="B36">
            <v>37226</v>
          </cell>
          <cell r="C36" t="str">
            <v>AIM-9X</v>
          </cell>
          <cell r="D36" t="str">
            <v>AIM-9X</v>
          </cell>
          <cell r="E36">
            <v>1997</v>
          </cell>
          <cell r="F36">
            <v>-0.8</v>
          </cell>
          <cell r="G36">
            <v>12.9</v>
          </cell>
          <cell r="H36" t="str">
            <v>-</v>
          </cell>
          <cell r="I36">
            <v>21.3</v>
          </cell>
          <cell r="J36" t="str">
            <v>-</v>
          </cell>
          <cell r="K36">
            <v>134.69999999999999</v>
          </cell>
          <cell r="L36">
            <v>96.7</v>
          </cell>
          <cell r="M36">
            <v>-9</v>
          </cell>
          <cell r="N36" t="str">
            <v>-</v>
          </cell>
          <cell r="O36" t="str">
            <v>-</v>
          </cell>
          <cell r="P36">
            <v>-5.3</v>
          </cell>
          <cell r="Q36">
            <v>-199.4</v>
          </cell>
          <cell r="R36">
            <v>90.6</v>
          </cell>
          <cell r="S36">
            <v>-39.5</v>
          </cell>
          <cell r="T36">
            <v>-11.3</v>
          </cell>
          <cell r="U36">
            <v>-257.10000000000002</v>
          </cell>
          <cell r="V36">
            <v>-0.8</v>
          </cell>
          <cell r="W36">
            <v>19.5</v>
          </cell>
          <cell r="X36">
            <v>17.8</v>
          </cell>
          <cell r="Y36">
            <v>86.3</v>
          </cell>
          <cell r="Z36" t="str">
            <v>-</v>
          </cell>
          <cell r="AA36">
            <v>170.4</v>
          </cell>
          <cell r="AB36">
            <v>136.4</v>
          </cell>
          <cell r="AC36">
            <v>-8.8000000000000007</v>
          </cell>
          <cell r="AD36" t="str">
            <v>-</v>
          </cell>
          <cell r="AE36" t="str">
            <v>-</v>
          </cell>
          <cell r="AF36">
            <v>-6.3</v>
          </cell>
          <cell r="AG36">
            <v>-285.89999999999998</v>
          </cell>
          <cell r="AH36">
            <v>135.80000000000001</v>
          </cell>
          <cell r="AI36">
            <v>-275.60000000000002</v>
          </cell>
        </row>
        <row r="37">
          <cell r="A37" t="str">
            <v>37226-AV-8B REMANUFACTURE</v>
          </cell>
          <cell r="B37">
            <v>37226</v>
          </cell>
          <cell r="C37" t="str">
            <v>AV-8B REMAN</v>
          </cell>
          <cell r="D37" t="str">
            <v>AV-8B REMANUFACTURE</v>
          </cell>
          <cell r="E37">
            <v>1994</v>
          </cell>
          <cell r="F37">
            <v>37.1</v>
          </cell>
          <cell r="G37">
            <v>20.5</v>
          </cell>
          <cell r="H37">
            <v>0.3</v>
          </cell>
          <cell r="I37">
            <v>23.3</v>
          </cell>
          <cell r="J37">
            <v>0.8</v>
          </cell>
          <cell r="K37">
            <v>61.1</v>
          </cell>
          <cell r="L37">
            <v>12.2</v>
          </cell>
          <cell r="M37">
            <v>-71.2</v>
          </cell>
          <cell r="N37" t="str">
            <v>-</v>
          </cell>
          <cell r="O37" t="str">
            <v>-</v>
          </cell>
          <cell r="P37">
            <v>-16</v>
          </cell>
          <cell r="Q37">
            <v>114.9</v>
          </cell>
          <cell r="R37">
            <v>34.4</v>
          </cell>
          <cell r="S37">
            <v>148.6</v>
          </cell>
          <cell r="T37">
            <v>7.4</v>
          </cell>
          <cell r="U37">
            <v>-163.9</v>
          </cell>
          <cell r="V37">
            <v>42.1</v>
          </cell>
          <cell r="W37">
            <v>21.2</v>
          </cell>
          <cell r="X37">
            <v>0.5</v>
          </cell>
          <cell r="Y37">
            <v>40.299999999999997</v>
          </cell>
          <cell r="Z37">
            <v>0.8</v>
          </cell>
          <cell r="AA37">
            <v>70.099999999999994</v>
          </cell>
          <cell r="AB37">
            <v>15.4</v>
          </cell>
          <cell r="AC37">
            <v>-94.3</v>
          </cell>
          <cell r="AD37" t="str">
            <v>-</v>
          </cell>
          <cell r="AE37" t="str">
            <v>-</v>
          </cell>
          <cell r="AF37">
            <v>-20.3</v>
          </cell>
          <cell r="AG37">
            <v>134.80000000000001</v>
          </cell>
          <cell r="AH37">
            <v>45.9</v>
          </cell>
          <cell r="AI37">
            <v>8.1999999999999993</v>
          </cell>
        </row>
        <row r="38">
          <cell r="A38" t="str">
            <v>37226-CEC</v>
          </cell>
          <cell r="B38">
            <v>37226</v>
          </cell>
          <cell r="C38" t="str">
            <v>CEC</v>
          </cell>
          <cell r="D38" t="str">
            <v>CEC</v>
          </cell>
          <cell r="E38">
            <v>1995</v>
          </cell>
          <cell r="F38">
            <v>110.3</v>
          </cell>
          <cell r="G38">
            <v>263.8</v>
          </cell>
          <cell r="H38">
            <v>18.7</v>
          </cell>
          <cell r="I38">
            <v>97.6</v>
          </cell>
          <cell r="J38">
            <v>15.8</v>
          </cell>
          <cell r="K38">
            <v>122.8</v>
          </cell>
          <cell r="L38">
            <v>-159</v>
          </cell>
          <cell r="M38">
            <v>1159.2</v>
          </cell>
          <cell r="N38" t="str">
            <v>-</v>
          </cell>
          <cell r="O38" t="str">
            <v>-</v>
          </cell>
          <cell r="P38">
            <v>195.7</v>
          </cell>
          <cell r="Q38">
            <v>-192.1</v>
          </cell>
          <cell r="R38">
            <v>181.5</v>
          </cell>
          <cell r="S38">
            <v>1451.3</v>
          </cell>
          <cell r="T38">
            <v>-24</v>
          </cell>
          <cell r="U38">
            <v>-178.3</v>
          </cell>
          <cell r="V38">
            <v>253.6</v>
          </cell>
          <cell r="W38">
            <v>478.7</v>
          </cell>
          <cell r="X38">
            <v>33.700000000000003</v>
          </cell>
          <cell r="Y38">
            <v>160.4</v>
          </cell>
          <cell r="Z38">
            <v>18</v>
          </cell>
          <cell r="AA38">
            <v>114.3</v>
          </cell>
          <cell r="AB38">
            <v>-177.5</v>
          </cell>
          <cell r="AC38">
            <v>1290.4000000000001</v>
          </cell>
          <cell r="AD38" t="str">
            <v>-</v>
          </cell>
          <cell r="AE38" t="str">
            <v>-</v>
          </cell>
          <cell r="AF38">
            <v>205.5</v>
          </cell>
          <cell r="AG38">
            <v>-200.2</v>
          </cell>
          <cell r="AH38">
            <v>309.3</v>
          </cell>
          <cell r="AI38">
            <v>1665.3</v>
          </cell>
        </row>
        <row r="39">
          <cell r="A39" t="str">
            <v>37226-CVN 68</v>
          </cell>
          <cell r="B39">
            <v>37226</v>
          </cell>
          <cell r="C39" t="str">
            <v>CVN-68 Class</v>
          </cell>
          <cell r="D39" t="str">
            <v>CVN 68</v>
          </cell>
          <cell r="E39">
            <v>1995</v>
          </cell>
          <cell r="F39" t="str">
            <v>-</v>
          </cell>
          <cell r="G39" t="str">
            <v>-</v>
          </cell>
          <cell r="H39" t="str">
            <v>-</v>
          </cell>
          <cell r="I39">
            <v>-138.9</v>
          </cell>
          <cell r="J39" t="str">
            <v>-</v>
          </cell>
          <cell r="K39">
            <v>29.2</v>
          </cell>
          <cell r="L39">
            <v>109.2</v>
          </cell>
          <cell r="M39">
            <v>833.9</v>
          </cell>
          <cell r="N39">
            <v>40.299999999999997</v>
          </cell>
          <cell r="O39">
            <v>239.9</v>
          </cell>
          <cell r="P39" t="str">
            <v>-</v>
          </cell>
          <cell r="Q39" t="str">
            <v>-</v>
          </cell>
          <cell r="R39">
            <v>149.5</v>
          </cell>
          <cell r="S39">
            <v>964.1</v>
          </cell>
          <cell r="T39">
            <v>106.6</v>
          </cell>
          <cell r="U39">
            <v>-704.9</v>
          </cell>
          <cell r="V39" t="str">
            <v>-</v>
          </cell>
          <cell r="W39" t="str">
            <v>-</v>
          </cell>
          <cell r="X39" t="str">
            <v>-</v>
          </cell>
          <cell r="Y39">
            <v>-141.4</v>
          </cell>
          <cell r="Z39" t="str">
            <v>-</v>
          </cell>
          <cell r="AA39">
            <v>-30.1</v>
          </cell>
          <cell r="AB39">
            <v>115.9</v>
          </cell>
          <cell r="AC39">
            <v>937.3</v>
          </cell>
          <cell r="AD39">
            <v>52</v>
          </cell>
          <cell r="AE39">
            <v>266.10000000000002</v>
          </cell>
          <cell r="AF39" t="str">
            <v>-</v>
          </cell>
          <cell r="AG39" t="str">
            <v>-</v>
          </cell>
          <cell r="AH39">
            <v>274.5</v>
          </cell>
          <cell r="AI39">
            <v>327</v>
          </cell>
        </row>
        <row r="40">
          <cell r="A40" t="e">
            <v>#N/A</v>
          </cell>
          <cell r="B40">
            <v>37226</v>
          </cell>
          <cell r="C40" t="str">
            <v>CVNX (RDT&amp;E)</v>
          </cell>
          <cell r="D40" t="e">
            <v>#N/A</v>
          </cell>
          <cell r="E40">
            <v>2000</v>
          </cell>
          <cell r="F40" t="str">
            <v>-</v>
          </cell>
          <cell r="G40" t="str">
            <v>-</v>
          </cell>
          <cell r="H40" t="str">
            <v>-</v>
          </cell>
          <cell r="I40" t="str">
            <v>-</v>
          </cell>
          <cell r="J40" t="str">
            <v>-</v>
          </cell>
          <cell r="K40" t="str">
            <v>-</v>
          </cell>
          <cell r="L40">
            <v>196.1</v>
          </cell>
          <cell r="M40">
            <v>196.1</v>
          </cell>
          <cell r="N40" t="str">
            <v>-</v>
          </cell>
          <cell r="O40" t="str">
            <v>-</v>
          </cell>
          <cell r="P40" t="str">
            <v>-</v>
          </cell>
          <cell r="Q40" t="str">
            <v>-</v>
          </cell>
          <cell r="R40">
            <v>196.1</v>
          </cell>
          <cell r="S40">
            <v>196.1</v>
          </cell>
          <cell r="T40">
            <v>-8.5</v>
          </cell>
          <cell r="U40">
            <v>-8.5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-</v>
          </cell>
          <cell r="AB40">
            <v>252.1</v>
          </cell>
          <cell r="AC40">
            <v>252.1</v>
          </cell>
          <cell r="AD40" t="str">
            <v>-</v>
          </cell>
          <cell r="AE40" t="str">
            <v>-</v>
          </cell>
          <cell r="AF40" t="str">
            <v>-</v>
          </cell>
          <cell r="AG40" t="str">
            <v>-</v>
          </cell>
          <cell r="AH40">
            <v>243.6</v>
          </cell>
          <cell r="AI40">
            <v>243.6</v>
          </cell>
        </row>
        <row r="41">
          <cell r="A41" t="str">
            <v>37226-CVN 78</v>
          </cell>
          <cell r="B41">
            <v>37226</v>
          </cell>
          <cell r="C41" t="str">
            <v>DD(X) (RDT&amp;E)</v>
          </cell>
          <cell r="D41" t="str">
            <v>CVN 78</v>
          </cell>
          <cell r="E41">
            <v>1996</v>
          </cell>
          <cell r="F41" t="str">
            <v>-</v>
          </cell>
          <cell r="G41" t="str">
            <v>-</v>
          </cell>
          <cell r="H41" t="str">
            <v>-</v>
          </cell>
          <cell r="I41" t="str">
            <v>-</v>
          </cell>
          <cell r="J41">
            <v>3196.5</v>
          </cell>
          <cell r="K41">
            <v>4720.8999999999996</v>
          </cell>
          <cell r="L41">
            <v>1458.3</v>
          </cell>
          <cell r="M41">
            <v>2838.6</v>
          </cell>
          <cell r="N41" t="str">
            <v>-</v>
          </cell>
          <cell r="O41" t="str">
            <v>-</v>
          </cell>
          <cell r="P41" t="str">
            <v>-</v>
          </cell>
          <cell r="Q41" t="str">
            <v>-</v>
          </cell>
          <cell r="R41">
            <v>4654.8</v>
          </cell>
          <cell r="S41">
            <v>7559.5</v>
          </cell>
          <cell r="T41">
            <v>20.100000000000001</v>
          </cell>
          <cell r="U41">
            <v>-104.4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>
            <v>3799</v>
          </cell>
          <cell r="AA41">
            <v>5471.3</v>
          </cell>
          <cell r="AB41">
            <v>1771.1</v>
          </cell>
          <cell r="AC41">
            <v>3353.8</v>
          </cell>
          <cell r="AD41" t="str">
            <v>-</v>
          </cell>
          <cell r="AE41" t="str">
            <v>-</v>
          </cell>
          <cell r="AF41" t="str">
            <v>-</v>
          </cell>
          <cell r="AG41" t="str">
            <v>-</v>
          </cell>
          <cell r="AH41">
            <v>5590.2</v>
          </cell>
          <cell r="AI41">
            <v>8720.7000000000007</v>
          </cell>
        </row>
        <row r="42">
          <cell r="A42" t="str">
            <v>37226-DDG 51</v>
          </cell>
          <cell r="B42">
            <v>37226</v>
          </cell>
          <cell r="C42" t="str">
            <v>DDG 51</v>
          </cell>
          <cell r="D42" t="str">
            <v>DDG 51</v>
          </cell>
          <cell r="E42">
            <v>1987</v>
          </cell>
          <cell r="F42">
            <v>3997.4</v>
          </cell>
          <cell r="G42">
            <v>26032.400000000001</v>
          </cell>
          <cell r="H42">
            <v>52.7</v>
          </cell>
          <cell r="I42">
            <v>89.1</v>
          </cell>
          <cell r="J42">
            <v>230.6</v>
          </cell>
          <cell r="K42">
            <v>1546.8</v>
          </cell>
          <cell r="L42">
            <v>1927.8</v>
          </cell>
          <cell r="M42">
            <v>4448.1000000000004</v>
          </cell>
          <cell r="N42" t="str">
            <v>-</v>
          </cell>
          <cell r="O42" t="str">
            <v>-</v>
          </cell>
          <cell r="P42" t="str">
            <v>-</v>
          </cell>
          <cell r="Q42" t="str">
            <v>-</v>
          </cell>
          <cell r="R42">
            <v>6208.5</v>
          </cell>
          <cell r="S42">
            <v>32116.400000000001</v>
          </cell>
          <cell r="T42">
            <v>433.2</v>
          </cell>
          <cell r="U42">
            <v>-4703.6000000000004</v>
          </cell>
          <cell r="V42">
            <v>6231.7</v>
          </cell>
          <cell r="W42">
            <v>38949.9</v>
          </cell>
          <cell r="X42">
            <v>27.7</v>
          </cell>
          <cell r="Y42">
            <v>1067.2</v>
          </cell>
          <cell r="Z42">
            <v>352</v>
          </cell>
          <cell r="AA42">
            <v>2349.9</v>
          </cell>
          <cell r="AB42">
            <v>3174.5</v>
          </cell>
          <cell r="AC42">
            <v>8245.7999999999993</v>
          </cell>
          <cell r="AD42" t="str">
            <v>-</v>
          </cell>
          <cell r="AE42" t="str">
            <v>-</v>
          </cell>
          <cell r="AF42" t="str">
            <v>-</v>
          </cell>
          <cell r="AG42" t="str">
            <v>-</v>
          </cell>
          <cell r="AH42">
            <v>10219.1</v>
          </cell>
          <cell r="AI42">
            <v>45909.2</v>
          </cell>
        </row>
        <row r="43">
          <cell r="A43" t="str">
            <v>37226-E-2C REPRODUCTION</v>
          </cell>
          <cell r="B43">
            <v>37226</v>
          </cell>
          <cell r="C43" t="str">
            <v>E-2C REPRO</v>
          </cell>
          <cell r="D43" t="str">
            <v>E-2C REPRODUCTION</v>
          </cell>
          <cell r="E43">
            <v>1994</v>
          </cell>
          <cell r="F43">
            <v>298.5</v>
          </cell>
          <cell r="G43">
            <v>298.5</v>
          </cell>
          <cell r="H43">
            <v>2.6</v>
          </cell>
          <cell r="I43">
            <v>27.8</v>
          </cell>
          <cell r="J43">
            <v>13</v>
          </cell>
          <cell r="K43">
            <v>294.10000000000002</v>
          </cell>
          <cell r="L43">
            <v>182.1</v>
          </cell>
          <cell r="M43">
            <v>92.2</v>
          </cell>
          <cell r="N43" t="str">
            <v>-</v>
          </cell>
          <cell r="O43" t="str">
            <v>-</v>
          </cell>
          <cell r="P43">
            <v>99.6</v>
          </cell>
          <cell r="Q43">
            <v>168.6</v>
          </cell>
          <cell r="R43">
            <v>595.79999999999995</v>
          </cell>
          <cell r="S43">
            <v>881.2</v>
          </cell>
          <cell r="T43">
            <v>8</v>
          </cell>
          <cell r="U43">
            <v>-249.6</v>
          </cell>
          <cell r="V43">
            <v>360.3</v>
          </cell>
          <cell r="W43">
            <v>360.3</v>
          </cell>
          <cell r="X43">
            <v>2.2000000000000002</v>
          </cell>
          <cell r="Y43">
            <v>21.5</v>
          </cell>
          <cell r="Z43">
            <v>16.5</v>
          </cell>
          <cell r="AA43">
            <v>341.6</v>
          </cell>
          <cell r="AB43">
            <v>213.3</v>
          </cell>
          <cell r="AC43">
            <v>76.099999999999994</v>
          </cell>
          <cell r="AD43" t="str">
            <v>-</v>
          </cell>
          <cell r="AE43" t="str">
            <v>-</v>
          </cell>
          <cell r="AF43">
            <v>119</v>
          </cell>
          <cell r="AG43">
            <v>174.7</v>
          </cell>
          <cell r="AH43">
            <v>719.3</v>
          </cell>
          <cell r="AI43">
            <v>724.6</v>
          </cell>
        </row>
        <row r="44">
          <cell r="A44" t="str">
            <v>37226-F/A-18E/F</v>
          </cell>
          <cell r="B44">
            <v>37226</v>
          </cell>
          <cell r="C44" t="str">
            <v>F/A-18 E/F</v>
          </cell>
          <cell r="D44" t="str">
            <v>F/A-18E/F</v>
          </cell>
          <cell r="E44">
            <v>2000</v>
          </cell>
          <cell r="F44">
            <v>54.9</v>
          </cell>
          <cell r="G44">
            <v>54.9</v>
          </cell>
          <cell r="H44">
            <v>805.5</v>
          </cell>
          <cell r="I44">
            <v>805.5</v>
          </cell>
          <cell r="J44" t="str">
            <v>-</v>
          </cell>
          <cell r="K44" t="str">
            <v>-</v>
          </cell>
          <cell r="L44">
            <v>465.8</v>
          </cell>
          <cell r="M44">
            <v>465.8</v>
          </cell>
          <cell r="N44" t="str">
            <v>-</v>
          </cell>
          <cell r="O44" t="str">
            <v>-</v>
          </cell>
          <cell r="P44">
            <v>473.9</v>
          </cell>
          <cell r="Q44">
            <v>473.9</v>
          </cell>
          <cell r="R44">
            <v>1800.1</v>
          </cell>
          <cell r="S44">
            <v>1800.1</v>
          </cell>
          <cell r="T44">
            <v>-83.7</v>
          </cell>
          <cell r="U44">
            <v>-83.7</v>
          </cell>
          <cell r="V44">
            <v>55.7</v>
          </cell>
          <cell r="W44">
            <v>55.7</v>
          </cell>
          <cell r="X44">
            <v>998</v>
          </cell>
          <cell r="Y44">
            <v>998</v>
          </cell>
          <cell r="Z44" t="str">
            <v>-</v>
          </cell>
          <cell r="AA44" t="str">
            <v>-</v>
          </cell>
          <cell r="AB44">
            <v>507.9</v>
          </cell>
          <cell r="AC44">
            <v>507.9</v>
          </cell>
          <cell r="AD44" t="str">
            <v>-</v>
          </cell>
          <cell r="AE44" t="str">
            <v>-</v>
          </cell>
          <cell r="AF44">
            <v>487.5</v>
          </cell>
          <cell r="AG44">
            <v>487.5</v>
          </cell>
          <cell r="AH44">
            <v>1965.4</v>
          </cell>
          <cell r="AI44">
            <v>1965.4</v>
          </cell>
        </row>
        <row r="45">
          <cell r="A45" t="str">
            <v>37226-JSOW</v>
          </cell>
          <cell r="B45">
            <v>37226</v>
          </cell>
          <cell r="C45" t="str">
            <v>JSOW</v>
          </cell>
          <cell r="D45" t="str">
            <v>JSOW</v>
          </cell>
          <cell r="E45">
            <v>1990</v>
          </cell>
          <cell r="F45">
            <v>144.9</v>
          </cell>
          <cell r="G45">
            <v>-805.9</v>
          </cell>
          <cell r="H45" t="str">
            <v>-</v>
          </cell>
          <cell r="I45" t="str">
            <v>-</v>
          </cell>
          <cell r="J45">
            <v>22.3</v>
          </cell>
          <cell r="K45">
            <v>22.3</v>
          </cell>
          <cell r="L45">
            <v>667.2</v>
          </cell>
          <cell r="M45">
            <v>-941.9</v>
          </cell>
          <cell r="N45" t="str">
            <v>-</v>
          </cell>
          <cell r="O45" t="str">
            <v>-</v>
          </cell>
          <cell r="P45">
            <v>-5.3</v>
          </cell>
          <cell r="Q45">
            <v>-179.3</v>
          </cell>
          <cell r="R45">
            <v>829.1</v>
          </cell>
          <cell r="S45">
            <v>-1904.8</v>
          </cell>
          <cell r="T45">
            <v>-62.4</v>
          </cell>
          <cell r="U45">
            <v>-448.8</v>
          </cell>
          <cell r="V45">
            <v>245.3</v>
          </cell>
          <cell r="W45">
            <v>-1352.5</v>
          </cell>
          <cell r="X45">
            <v>115.7</v>
          </cell>
          <cell r="Y45">
            <v>126.4</v>
          </cell>
          <cell r="Z45">
            <v>28.5</v>
          </cell>
          <cell r="AA45">
            <v>28.5</v>
          </cell>
          <cell r="AB45">
            <v>1005.7</v>
          </cell>
          <cell r="AC45">
            <v>-2166.8000000000002</v>
          </cell>
          <cell r="AD45" t="str">
            <v>-</v>
          </cell>
          <cell r="AE45" t="str">
            <v>-</v>
          </cell>
          <cell r="AF45">
            <v>-8.9</v>
          </cell>
          <cell r="AG45">
            <v>-319.5</v>
          </cell>
          <cell r="AH45">
            <v>1323.9</v>
          </cell>
          <cell r="AI45">
            <v>-4132.7</v>
          </cell>
        </row>
        <row r="46">
          <cell r="A46" t="str">
            <v>37226-LHD 1</v>
          </cell>
          <cell r="B46">
            <v>37226</v>
          </cell>
          <cell r="C46" t="str">
            <v>LHD 1</v>
          </cell>
          <cell r="D46" t="str">
            <v>LHD 1</v>
          </cell>
          <cell r="E46">
            <v>1982</v>
          </cell>
          <cell r="F46" t="str">
            <v>-</v>
          </cell>
          <cell r="G46">
            <v>4225.6000000000004</v>
          </cell>
          <cell r="H46">
            <v>-189.8</v>
          </cell>
          <cell r="I46">
            <v>-89.3</v>
          </cell>
          <cell r="J46" t="str">
            <v>-</v>
          </cell>
          <cell r="K46">
            <v>28.7</v>
          </cell>
          <cell r="L46">
            <v>-78.900000000000006</v>
          </cell>
          <cell r="M46">
            <v>137.69999999999999</v>
          </cell>
          <cell r="N46" t="str">
            <v>-</v>
          </cell>
          <cell r="O46" t="str">
            <v>-</v>
          </cell>
          <cell r="P46" t="str">
            <v>-</v>
          </cell>
          <cell r="Q46">
            <v>2.8</v>
          </cell>
          <cell r="R46">
            <v>-268.7</v>
          </cell>
          <cell r="S46">
            <v>4305.5</v>
          </cell>
          <cell r="T46">
            <v>189.4</v>
          </cell>
          <cell r="U46">
            <v>-1187.3</v>
          </cell>
          <cell r="V46" t="str">
            <v>-</v>
          </cell>
          <cell r="W46">
            <v>6952.9</v>
          </cell>
          <cell r="X46">
            <v>-534.1</v>
          </cell>
          <cell r="Y46">
            <v>-902.5</v>
          </cell>
          <cell r="Z46" t="str">
            <v>-</v>
          </cell>
          <cell r="AA46">
            <v>40.5</v>
          </cell>
          <cell r="AB46">
            <v>-136.9</v>
          </cell>
          <cell r="AC46">
            <v>416.4</v>
          </cell>
          <cell r="AD46" t="str">
            <v>-</v>
          </cell>
          <cell r="AE46" t="str">
            <v>-</v>
          </cell>
          <cell r="AF46" t="str">
            <v>-</v>
          </cell>
          <cell r="AG46" t="str">
            <v>-</v>
          </cell>
          <cell r="AH46">
            <v>-481.6</v>
          </cell>
          <cell r="AI46">
            <v>5320</v>
          </cell>
        </row>
        <row r="47">
          <cell r="A47" t="str">
            <v>37226-LPD 17</v>
          </cell>
          <cell r="B47">
            <v>37226</v>
          </cell>
          <cell r="C47" t="str">
            <v>LPD 17</v>
          </cell>
          <cell r="D47" t="str">
            <v>LPD 17</v>
          </cell>
          <cell r="E47">
            <v>1996</v>
          </cell>
          <cell r="F47">
            <v>2816.9</v>
          </cell>
          <cell r="G47" t="str">
            <v>-</v>
          </cell>
          <cell r="H47">
            <v>84.2</v>
          </cell>
          <cell r="I47">
            <v>315.7</v>
          </cell>
          <cell r="J47" t="str">
            <v>-</v>
          </cell>
          <cell r="K47" t="str">
            <v>-</v>
          </cell>
          <cell r="L47">
            <v>2242</v>
          </cell>
          <cell r="M47">
            <v>3605.7</v>
          </cell>
          <cell r="N47" t="str">
            <v>-</v>
          </cell>
          <cell r="O47" t="str">
            <v>-</v>
          </cell>
          <cell r="P47" t="str">
            <v>-</v>
          </cell>
          <cell r="Q47" t="str">
            <v>-</v>
          </cell>
          <cell r="R47">
            <v>5143.1000000000004</v>
          </cell>
          <cell r="S47">
            <v>3921.4</v>
          </cell>
          <cell r="T47">
            <v>-31.9</v>
          </cell>
          <cell r="U47">
            <v>-393.7</v>
          </cell>
          <cell r="V47">
            <v>3606</v>
          </cell>
          <cell r="W47">
            <v>64.900000000000006</v>
          </cell>
          <cell r="X47">
            <v>256.7</v>
          </cell>
          <cell r="Y47">
            <v>695.5</v>
          </cell>
          <cell r="Z47" t="str">
            <v>-</v>
          </cell>
          <cell r="AA47" t="str">
            <v>-</v>
          </cell>
          <cell r="AB47">
            <v>2772.3</v>
          </cell>
          <cell r="AC47">
            <v>4252.2</v>
          </cell>
          <cell r="AD47" t="str">
            <v>-</v>
          </cell>
          <cell r="AE47" t="str">
            <v>-</v>
          </cell>
          <cell r="AF47" t="str">
            <v>-</v>
          </cell>
          <cell r="AG47" t="str">
            <v>-</v>
          </cell>
          <cell r="AH47">
            <v>6603.1</v>
          </cell>
          <cell r="AI47">
            <v>4618.8999999999996</v>
          </cell>
        </row>
        <row r="48">
          <cell r="A48" t="str">
            <v>37226-MH-60R</v>
          </cell>
          <cell r="B48">
            <v>37226</v>
          </cell>
          <cell r="C48" t="str">
            <v>MH-60R</v>
          </cell>
          <cell r="D48" t="str">
            <v>MH-60R</v>
          </cell>
          <cell r="E48">
            <v>1993</v>
          </cell>
          <cell r="F48">
            <v>161.80000000000001</v>
          </cell>
          <cell r="G48">
            <v>689</v>
          </cell>
          <cell r="H48">
            <v>173.2</v>
          </cell>
          <cell r="I48">
            <v>53</v>
          </cell>
          <cell r="J48">
            <v>319.60000000000002</v>
          </cell>
          <cell r="K48">
            <v>3</v>
          </cell>
          <cell r="L48">
            <v>1584.7</v>
          </cell>
          <cell r="M48">
            <v>2291.6</v>
          </cell>
          <cell r="N48" t="str">
            <v>-</v>
          </cell>
          <cell r="O48" t="str">
            <v>-</v>
          </cell>
          <cell r="P48">
            <v>375.2</v>
          </cell>
          <cell r="Q48">
            <v>99.1</v>
          </cell>
          <cell r="R48">
            <v>2614.5</v>
          </cell>
          <cell r="S48">
            <v>3135.7</v>
          </cell>
          <cell r="T48">
            <v>-57.8</v>
          </cell>
          <cell r="U48">
            <v>-564.9</v>
          </cell>
          <cell r="V48">
            <v>242.2</v>
          </cell>
          <cell r="W48">
            <v>928</v>
          </cell>
          <cell r="X48">
            <v>499.7</v>
          </cell>
          <cell r="Y48">
            <v>436.7</v>
          </cell>
          <cell r="Z48">
            <v>434.6</v>
          </cell>
          <cell r="AA48">
            <v>-0.4</v>
          </cell>
          <cell r="AB48">
            <v>2147.5</v>
          </cell>
          <cell r="AC48">
            <v>2905.5</v>
          </cell>
          <cell r="AD48" t="str">
            <v>-</v>
          </cell>
          <cell r="AE48" t="str">
            <v>-</v>
          </cell>
          <cell r="AF48">
            <v>499.3</v>
          </cell>
          <cell r="AG48">
            <v>55.6</v>
          </cell>
          <cell r="AH48">
            <v>3765.5</v>
          </cell>
          <cell r="AI48">
            <v>3760.5</v>
          </cell>
        </row>
        <row r="49">
          <cell r="A49" t="str">
            <v>37226-MH-60S</v>
          </cell>
          <cell r="B49">
            <v>37226</v>
          </cell>
          <cell r="C49" t="str">
            <v>MH-60S</v>
          </cell>
          <cell r="D49" t="str">
            <v>MH-60S</v>
          </cell>
          <cell r="E49">
            <v>1998</v>
          </cell>
          <cell r="F49">
            <v>48.3</v>
          </cell>
          <cell r="G49">
            <v>927.2</v>
          </cell>
          <cell r="H49" t="str">
            <v>-</v>
          </cell>
          <cell r="I49" t="str">
            <v>-</v>
          </cell>
          <cell r="J49">
            <v>261.5</v>
          </cell>
          <cell r="K49">
            <v>311.10000000000002</v>
          </cell>
          <cell r="L49">
            <v>457.1</v>
          </cell>
          <cell r="M49">
            <v>571.79999999999995</v>
          </cell>
          <cell r="N49" t="str">
            <v>-</v>
          </cell>
          <cell r="O49" t="str">
            <v>-</v>
          </cell>
          <cell r="P49">
            <v>-33.700000000000003</v>
          </cell>
          <cell r="Q49">
            <v>123.6</v>
          </cell>
          <cell r="R49">
            <v>733.2</v>
          </cell>
          <cell r="S49">
            <v>1933.7</v>
          </cell>
          <cell r="T49">
            <v>-41.3</v>
          </cell>
          <cell r="U49">
            <v>-73.900000000000006</v>
          </cell>
          <cell r="V49">
            <v>61.7</v>
          </cell>
          <cell r="W49">
            <v>1156</v>
          </cell>
          <cell r="X49">
            <v>11.5</v>
          </cell>
          <cell r="Y49">
            <v>0.9</v>
          </cell>
          <cell r="Z49">
            <v>305.60000000000002</v>
          </cell>
          <cell r="AA49">
            <v>358.6</v>
          </cell>
          <cell r="AB49">
            <v>536.20000000000005</v>
          </cell>
          <cell r="AC49">
            <v>641.5</v>
          </cell>
          <cell r="AD49" t="str">
            <v>-</v>
          </cell>
          <cell r="AE49" t="str">
            <v>-</v>
          </cell>
          <cell r="AF49">
            <v>-47.7</v>
          </cell>
          <cell r="AG49">
            <v>150.4</v>
          </cell>
          <cell r="AH49">
            <v>826</v>
          </cell>
          <cell r="AI49">
            <v>2233.5</v>
          </cell>
        </row>
        <row r="50">
          <cell r="A50" t="str">
            <v>37226-MIDS-LVT</v>
          </cell>
          <cell r="B50">
            <v>37226</v>
          </cell>
          <cell r="C50" t="str">
            <v>MIDS-LVT</v>
          </cell>
          <cell r="D50" t="str">
            <v>MIDS-LVT</v>
          </cell>
          <cell r="E50">
            <v>1992</v>
          </cell>
          <cell r="F50">
            <v>-30.2</v>
          </cell>
          <cell r="G50">
            <v>364.5</v>
          </cell>
          <cell r="H50">
            <v>0.2</v>
          </cell>
          <cell r="I50">
            <v>0.2</v>
          </cell>
          <cell r="J50">
            <v>8.4</v>
          </cell>
          <cell r="K50">
            <v>-32.200000000000003</v>
          </cell>
          <cell r="L50">
            <v>104.9</v>
          </cell>
          <cell r="M50">
            <v>153.6</v>
          </cell>
          <cell r="N50" t="str">
            <v>-</v>
          </cell>
          <cell r="O50" t="str">
            <v>-</v>
          </cell>
          <cell r="P50">
            <v>-1.7</v>
          </cell>
          <cell r="Q50">
            <v>-39.6</v>
          </cell>
          <cell r="R50">
            <v>81.599999999999994</v>
          </cell>
          <cell r="S50">
            <v>446.5</v>
          </cell>
          <cell r="T50">
            <v>-3.2</v>
          </cell>
          <cell r="U50">
            <v>-61.3</v>
          </cell>
          <cell r="V50">
            <v>-36.1</v>
          </cell>
          <cell r="W50">
            <v>469.5</v>
          </cell>
          <cell r="X50">
            <v>-3.4</v>
          </cell>
          <cell r="Y50">
            <v>20.6</v>
          </cell>
          <cell r="Z50">
            <v>11.9</v>
          </cell>
          <cell r="AA50">
            <v>-46.9</v>
          </cell>
          <cell r="AB50">
            <v>126.2</v>
          </cell>
          <cell r="AC50">
            <v>169.9</v>
          </cell>
          <cell r="AD50" t="str">
            <v>-</v>
          </cell>
          <cell r="AE50" t="str">
            <v>-</v>
          </cell>
          <cell r="AF50">
            <v>-1.3</v>
          </cell>
          <cell r="AG50">
            <v>-49.6</v>
          </cell>
          <cell r="AH50">
            <v>94.1</v>
          </cell>
          <cell r="AI50">
            <v>502.2</v>
          </cell>
        </row>
        <row r="51">
          <cell r="A51" t="str">
            <v>37226-NESP</v>
          </cell>
          <cell r="B51">
            <v>37226</v>
          </cell>
          <cell r="C51" t="str">
            <v>NESP</v>
          </cell>
          <cell r="D51" t="str">
            <v>NESP</v>
          </cell>
          <cell r="E51">
            <v>1990</v>
          </cell>
          <cell r="F51">
            <v>64.2</v>
          </cell>
          <cell r="G51">
            <v>148.6</v>
          </cell>
          <cell r="H51">
            <v>3</v>
          </cell>
          <cell r="I51">
            <v>15.2</v>
          </cell>
          <cell r="J51" t="str">
            <v>-</v>
          </cell>
          <cell r="K51">
            <v>48.1</v>
          </cell>
          <cell r="L51">
            <v>-50</v>
          </cell>
          <cell r="M51">
            <v>-230.9</v>
          </cell>
          <cell r="N51" t="str">
            <v>-</v>
          </cell>
          <cell r="O51" t="str">
            <v>-</v>
          </cell>
          <cell r="P51">
            <v>-6.6</v>
          </cell>
          <cell r="Q51">
            <v>-110.3</v>
          </cell>
          <cell r="R51">
            <v>10.6</v>
          </cell>
          <cell r="S51">
            <v>-129.30000000000001</v>
          </cell>
          <cell r="T51">
            <v>8.8000000000000007</v>
          </cell>
          <cell r="U51">
            <v>-188.9</v>
          </cell>
          <cell r="V51">
            <v>84.8</v>
          </cell>
          <cell r="W51">
            <v>173.9</v>
          </cell>
          <cell r="X51">
            <v>4.9000000000000004</v>
          </cell>
          <cell r="Y51">
            <v>38.700000000000003</v>
          </cell>
          <cell r="Z51" t="str">
            <v>-</v>
          </cell>
          <cell r="AA51">
            <v>69.2</v>
          </cell>
          <cell r="AB51">
            <v>-79.7</v>
          </cell>
          <cell r="AC51">
            <v>-307.60000000000002</v>
          </cell>
          <cell r="AD51" t="str">
            <v>-</v>
          </cell>
          <cell r="AE51" t="str">
            <v>-</v>
          </cell>
          <cell r="AF51">
            <v>-5.5</v>
          </cell>
          <cell r="AG51">
            <v>-165.7</v>
          </cell>
          <cell r="AH51">
            <v>13.3</v>
          </cell>
          <cell r="AI51">
            <v>-380.4</v>
          </cell>
        </row>
        <row r="52">
          <cell r="A52" t="str">
            <v>37226-SSN 774</v>
          </cell>
          <cell r="B52">
            <v>37226</v>
          </cell>
          <cell r="C52" t="str">
            <v>SSN 774 (VA CLASS)</v>
          </cell>
          <cell r="D52" t="str">
            <v>SSN 774</v>
          </cell>
          <cell r="E52">
            <v>1995</v>
          </cell>
          <cell r="F52" t="str">
            <v>-</v>
          </cell>
          <cell r="G52" t="str">
            <v>-</v>
          </cell>
          <cell r="H52" t="str">
            <v>-</v>
          </cell>
          <cell r="I52">
            <v>88.6</v>
          </cell>
          <cell r="J52">
            <v>60.9</v>
          </cell>
          <cell r="K52">
            <v>956</v>
          </cell>
          <cell r="L52">
            <v>5274.3</v>
          </cell>
          <cell r="M52">
            <v>11213.3</v>
          </cell>
          <cell r="N52" t="str">
            <v>-</v>
          </cell>
          <cell r="O52">
            <v>216.3</v>
          </cell>
          <cell r="P52">
            <v>345.6</v>
          </cell>
          <cell r="Q52">
            <v>362.4</v>
          </cell>
          <cell r="R52">
            <v>5680.8</v>
          </cell>
          <cell r="S52">
            <v>12836.6</v>
          </cell>
          <cell r="T52">
            <v>186.5</v>
          </cell>
          <cell r="U52">
            <v>-13532</v>
          </cell>
          <cell r="V52" t="str">
            <v>-</v>
          </cell>
          <cell r="W52" t="str">
            <v>-</v>
          </cell>
          <cell r="X52">
            <v>345.1</v>
          </cell>
          <cell r="Y52">
            <v>1353.1</v>
          </cell>
          <cell r="Z52">
            <v>75</v>
          </cell>
          <cell r="AA52">
            <v>1272.3</v>
          </cell>
          <cell r="AB52">
            <v>6723.1</v>
          </cell>
          <cell r="AC52">
            <v>12545.6</v>
          </cell>
          <cell r="AD52" t="str">
            <v>-</v>
          </cell>
          <cell r="AE52">
            <v>280</v>
          </cell>
          <cell r="AF52">
            <v>432.9</v>
          </cell>
          <cell r="AG52">
            <v>440.3</v>
          </cell>
          <cell r="AH52">
            <v>7762.6</v>
          </cell>
          <cell r="AI52">
            <v>2359.3000000000002</v>
          </cell>
        </row>
        <row r="53">
          <cell r="A53" t="str">
            <v>37226-SM-2</v>
          </cell>
          <cell r="B53">
            <v>37226</v>
          </cell>
          <cell r="C53" t="str">
            <v>STD MSL 2</v>
          </cell>
          <cell r="D53" t="str">
            <v>SM-2</v>
          </cell>
          <cell r="E53">
            <v>1984</v>
          </cell>
          <cell r="F53" t="str">
            <v>-</v>
          </cell>
          <cell r="G53">
            <v>-1455.6</v>
          </cell>
          <cell r="H53" t="str">
            <v>-</v>
          </cell>
          <cell r="I53">
            <v>355.9</v>
          </cell>
          <cell r="J53" t="str">
            <v>-</v>
          </cell>
          <cell r="K53">
            <v>219</v>
          </cell>
          <cell r="L53">
            <v>245</v>
          </cell>
          <cell r="M53">
            <v>270.5</v>
          </cell>
          <cell r="N53" t="str">
            <v>-</v>
          </cell>
          <cell r="O53" t="str">
            <v>-</v>
          </cell>
          <cell r="P53">
            <v>37.700000000000003</v>
          </cell>
          <cell r="Q53">
            <v>79.900000000000006</v>
          </cell>
          <cell r="R53">
            <v>282.7</v>
          </cell>
          <cell r="S53">
            <v>-530.29999999999995</v>
          </cell>
          <cell r="T53">
            <v>0.6</v>
          </cell>
          <cell r="U53">
            <v>-964.8</v>
          </cell>
          <cell r="V53" t="str">
            <v>-</v>
          </cell>
          <cell r="W53">
            <v>-2767.3</v>
          </cell>
          <cell r="X53">
            <v>-19</v>
          </cell>
          <cell r="Y53">
            <v>1598.5</v>
          </cell>
          <cell r="Z53" t="str">
            <v>-</v>
          </cell>
          <cell r="AA53">
            <v>334.9</v>
          </cell>
          <cell r="AB53">
            <v>413.4</v>
          </cell>
          <cell r="AC53">
            <v>789.2</v>
          </cell>
          <cell r="AD53" t="str">
            <v>-</v>
          </cell>
          <cell r="AE53" t="str">
            <v>-</v>
          </cell>
          <cell r="AF53">
            <v>63.1</v>
          </cell>
          <cell r="AG53">
            <v>17.3</v>
          </cell>
          <cell r="AH53">
            <v>458.1</v>
          </cell>
          <cell r="AI53">
            <v>-992.2</v>
          </cell>
        </row>
        <row r="54">
          <cell r="A54" t="str">
            <v>37226-T-45TS</v>
          </cell>
          <cell r="B54">
            <v>37226</v>
          </cell>
          <cell r="C54" t="str">
            <v>T-45TS</v>
          </cell>
          <cell r="D54" t="str">
            <v>T-45TS</v>
          </cell>
          <cell r="E54">
            <v>1995</v>
          </cell>
          <cell r="F54">
            <v>201</v>
          </cell>
          <cell r="G54">
            <v>117.6</v>
          </cell>
          <cell r="H54">
            <v>22.5</v>
          </cell>
          <cell r="I54">
            <v>-65.900000000000006</v>
          </cell>
          <cell r="J54">
            <v>3</v>
          </cell>
          <cell r="K54">
            <v>31.5</v>
          </cell>
          <cell r="L54">
            <v>-4.5</v>
          </cell>
          <cell r="M54">
            <v>209.6</v>
          </cell>
          <cell r="N54" t="str">
            <v>-</v>
          </cell>
          <cell r="O54" t="str">
            <v>-</v>
          </cell>
          <cell r="P54">
            <v>59</v>
          </cell>
          <cell r="Q54">
            <v>-116.7</v>
          </cell>
          <cell r="R54">
            <v>281</v>
          </cell>
          <cell r="S54">
            <v>176.1</v>
          </cell>
          <cell r="T54">
            <v>5.9</v>
          </cell>
          <cell r="U54">
            <v>14.5</v>
          </cell>
          <cell r="V54">
            <v>230</v>
          </cell>
          <cell r="W54">
            <v>63.6</v>
          </cell>
          <cell r="X54">
            <v>25.1</v>
          </cell>
          <cell r="Y54">
            <v>-151.4</v>
          </cell>
          <cell r="Z54">
            <v>3.9</v>
          </cell>
          <cell r="AA54">
            <v>23.5</v>
          </cell>
          <cell r="AB54">
            <v>-4.8</v>
          </cell>
          <cell r="AC54">
            <v>181.5</v>
          </cell>
          <cell r="AD54" t="str">
            <v>-</v>
          </cell>
          <cell r="AE54" t="str">
            <v>-</v>
          </cell>
          <cell r="AF54">
            <v>67.400000000000006</v>
          </cell>
          <cell r="AG54">
            <v>-161.6</v>
          </cell>
          <cell r="AH54">
            <v>327.5</v>
          </cell>
          <cell r="AI54">
            <v>-29.9</v>
          </cell>
        </row>
        <row r="55">
          <cell r="A55" t="str">
            <v>37226-T-AKE</v>
          </cell>
          <cell r="B55">
            <v>37226</v>
          </cell>
          <cell r="C55" t="str">
            <v>T-AKE</v>
          </cell>
          <cell r="D55" t="str">
            <v>T-AKE</v>
          </cell>
          <cell r="E55">
            <v>2000</v>
          </cell>
          <cell r="F55" t="str">
            <v>-</v>
          </cell>
          <cell r="G55" t="str">
            <v>-</v>
          </cell>
          <cell r="H55" t="str">
            <v>-</v>
          </cell>
          <cell r="I55" t="str">
            <v>-</v>
          </cell>
          <cell r="J55" t="str">
            <v>-</v>
          </cell>
          <cell r="K55" t="str">
            <v>-</v>
          </cell>
          <cell r="L55">
            <v>37.6</v>
          </cell>
          <cell r="M55">
            <v>37.6</v>
          </cell>
          <cell r="N55" t="str">
            <v>-</v>
          </cell>
          <cell r="O55" t="str">
            <v>-</v>
          </cell>
          <cell r="P55" t="str">
            <v>-</v>
          </cell>
          <cell r="Q55" t="str">
            <v>-</v>
          </cell>
          <cell r="R55">
            <v>37.6</v>
          </cell>
          <cell r="S55">
            <v>37.6</v>
          </cell>
          <cell r="T55">
            <v>-48.6</v>
          </cell>
          <cell r="U55">
            <v>-48.6</v>
          </cell>
          <cell r="V55" t="str">
            <v>-</v>
          </cell>
          <cell r="W55" t="str">
            <v>-</v>
          </cell>
          <cell r="X55">
            <v>24.1</v>
          </cell>
          <cell r="Y55">
            <v>24.1</v>
          </cell>
          <cell r="Z55" t="str">
            <v>-</v>
          </cell>
          <cell r="AA55" t="str">
            <v>-</v>
          </cell>
          <cell r="AB55">
            <v>39.9</v>
          </cell>
          <cell r="AC55">
            <v>39.9</v>
          </cell>
          <cell r="AD55" t="str">
            <v>-</v>
          </cell>
          <cell r="AE55" t="str">
            <v>-</v>
          </cell>
          <cell r="AF55" t="str">
            <v>-</v>
          </cell>
          <cell r="AG55" t="str">
            <v>-</v>
          </cell>
          <cell r="AH55">
            <v>15.4</v>
          </cell>
          <cell r="AI55">
            <v>15.4</v>
          </cell>
        </row>
        <row r="56">
          <cell r="A56" t="str">
            <v>37226-TACTICAL TOMAHAWK</v>
          </cell>
          <cell r="B56">
            <v>37226</v>
          </cell>
          <cell r="C56" t="str">
            <v>TACTICAL TOMAHAWK</v>
          </cell>
          <cell r="D56" t="str">
            <v>TACTICAL TOMAHAWK</v>
          </cell>
          <cell r="E56">
            <v>1999</v>
          </cell>
          <cell r="F56">
            <v>212.2</v>
          </cell>
          <cell r="G56">
            <v>205.9</v>
          </cell>
          <cell r="H56">
            <v>10.7</v>
          </cell>
          <cell r="I56">
            <v>58.9</v>
          </cell>
          <cell r="J56" t="str">
            <v>-</v>
          </cell>
          <cell r="K56" t="str">
            <v>-</v>
          </cell>
          <cell r="L56">
            <v>-2.7</v>
          </cell>
          <cell r="M56">
            <v>-29.4</v>
          </cell>
          <cell r="N56" t="str">
            <v>-</v>
          </cell>
          <cell r="O56" t="str">
            <v>-</v>
          </cell>
          <cell r="P56">
            <v>90.3</v>
          </cell>
          <cell r="Q56">
            <v>77.7</v>
          </cell>
          <cell r="R56">
            <v>310.5</v>
          </cell>
          <cell r="S56">
            <v>313.10000000000002</v>
          </cell>
          <cell r="T56">
            <v>-47.3</v>
          </cell>
          <cell r="U56">
            <v>-45.5</v>
          </cell>
          <cell r="V56">
            <v>243.8</v>
          </cell>
          <cell r="W56">
            <v>236.3</v>
          </cell>
          <cell r="X56">
            <v>9.3000000000000007</v>
          </cell>
          <cell r="Y56">
            <v>66.599999999999994</v>
          </cell>
          <cell r="Z56" t="str">
            <v>-</v>
          </cell>
          <cell r="AA56" t="str">
            <v>-</v>
          </cell>
          <cell r="AB56">
            <v>-17.5</v>
          </cell>
          <cell r="AC56">
            <v>-42.6</v>
          </cell>
          <cell r="AD56" t="str">
            <v>-</v>
          </cell>
          <cell r="AE56" t="str">
            <v>-</v>
          </cell>
          <cell r="AF56">
            <v>103.4</v>
          </cell>
          <cell r="AG56">
            <v>91.7</v>
          </cell>
          <cell r="AH56">
            <v>291.7</v>
          </cell>
          <cell r="AI56">
            <v>306.5</v>
          </cell>
        </row>
        <row r="57">
          <cell r="A57" t="str">
            <v>37226-TRIDENT II</v>
          </cell>
          <cell r="B57">
            <v>37226</v>
          </cell>
          <cell r="C57" t="str">
            <v>TRIDENT II MSL</v>
          </cell>
          <cell r="D57" t="str">
            <v>TRIDENT II</v>
          </cell>
          <cell r="E57">
            <v>1983</v>
          </cell>
          <cell r="F57">
            <v>1807.7</v>
          </cell>
          <cell r="G57">
            <v>-3863.2</v>
          </cell>
          <cell r="H57" t="str">
            <v>-</v>
          </cell>
          <cell r="I57" t="str">
            <v>-</v>
          </cell>
          <cell r="J57" t="str">
            <v>-</v>
          </cell>
          <cell r="K57" t="str">
            <v>-</v>
          </cell>
          <cell r="L57">
            <v>2932.7</v>
          </cell>
          <cell r="M57">
            <v>2477</v>
          </cell>
          <cell r="N57" t="str">
            <v>-</v>
          </cell>
          <cell r="O57" t="str">
            <v>-</v>
          </cell>
          <cell r="P57">
            <v>485.7</v>
          </cell>
          <cell r="Q57">
            <v>773.6</v>
          </cell>
          <cell r="R57">
            <v>5226.1000000000004</v>
          </cell>
          <cell r="S57">
            <v>-612.6</v>
          </cell>
          <cell r="T57">
            <v>8.6</v>
          </cell>
          <cell r="U57">
            <v>-413.1</v>
          </cell>
          <cell r="V57">
            <v>3604.6</v>
          </cell>
          <cell r="W57">
            <v>-6492.7</v>
          </cell>
          <cell r="X57">
            <v>256.8</v>
          </cell>
          <cell r="Y57">
            <v>1837.7</v>
          </cell>
          <cell r="Z57" t="str">
            <v>-</v>
          </cell>
          <cell r="AA57" t="str">
            <v>-</v>
          </cell>
          <cell r="AB57">
            <v>5379.9</v>
          </cell>
          <cell r="AC57">
            <v>5238.3</v>
          </cell>
          <cell r="AD57" t="str">
            <v>-</v>
          </cell>
          <cell r="AE57" t="str">
            <v>-</v>
          </cell>
          <cell r="AF57">
            <v>1110.2</v>
          </cell>
          <cell r="AG57">
            <v>1855.2</v>
          </cell>
          <cell r="AH57">
            <v>10360.1</v>
          </cell>
          <cell r="AI57">
            <v>2025.4</v>
          </cell>
        </row>
        <row r="58">
          <cell r="A58" t="str">
            <v>37226-H-1 Upgrades</v>
          </cell>
          <cell r="B58">
            <v>37226</v>
          </cell>
          <cell r="C58" t="str">
            <v>USMC H-1 UPGRADES</v>
          </cell>
          <cell r="D58" t="str">
            <v>H-1 Upgrades</v>
          </cell>
          <cell r="E58">
            <v>1996</v>
          </cell>
          <cell r="F58" t="str">
            <v>-</v>
          </cell>
          <cell r="G58" t="str">
            <v>-</v>
          </cell>
          <cell r="H58">
            <v>32.6</v>
          </cell>
          <cell r="I58">
            <v>27.8</v>
          </cell>
          <cell r="J58">
            <v>139.19999999999999</v>
          </cell>
          <cell r="K58">
            <v>360</v>
          </cell>
          <cell r="L58">
            <v>1401.6</v>
          </cell>
          <cell r="M58">
            <v>1480.6</v>
          </cell>
          <cell r="N58" t="str">
            <v>-</v>
          </cell>
          <cell r="O58" t="str">
            <v>-</v>
          </cell>
          <cell r="P58">
            <v>446.9</v>
          </cell>
          <cell r="Q58">
            <v>482.3</v>
          </cell>
          <cell r="R58">
            <v>2020.3</v>
          </cell>
          <cell r="S58">
            <v>2350.6999999999998</v>
          </cell>
          <cell r="T58">
            <v>-42.4</v>
          </cell>
          <cell r="U58">
            <v>-244.4</v>
          </cell>
          <cell r="V58" t="str">
            <v>-</v>
          </cell>
          <cell r="W58" t="str">
            <v>-</v>
          </cell>
          <cell r="X58">
            <v>123.4</v>
          </cell>
          <cell r="Y58">
            <v>118.3</v>
          </cell>
          <cell r="Z58">
            <v>162.19999999999999</v>
          </cell>
          <cell r="AA58">
            <v>430.7</v>
          </cell>
          <cell r="AB58">
            <v>1718.1</v>
          </cell>
          <cell r="AC58">
            <v>1794.2</v>
          </cell>
          <cell r="AD58" t="str">
            <v>-</v>
          </cell>
          <cell r="AE58" t="str">
            <v>-</v>
          </cell>
          <cell r="AF58">
            <v>562.4</v>
          </cell>
          <cell r="AG58">
            <v>588.29999999999995</v>
          </cell>
          <cell r="AH58">
            <v>2523.6999999999998</v>
          </cell>
          <cell r="AI58">
            <v>2687.1</v>
          </cell>
        </row>
        <row r="59">
          <cell r="A59" t="str">
            <v>37226-V-22</v>
          </cell>
          <cell r="B59">
            <v>37226</v>
          </cell>
          <cell r="C59" t="str">
            <v>V-22</v>
          </cell>
          <cell r="D59" t="str">
            <v>V-22</v>
          </cell>
          <cell r="E59">
            <v>1986</v>
          </cell>
          <cell r="F59">
            <v>710.2</v>
          </cell>
          <cell r="G59">
            <v>-456.2</v>
          </cell>
          <cell r="H59" t="str">
            <v>-</v>
          </cell>
          <cell r="I59">
            <v>-383.6</v>
          </cell>
          <cell r="J59">
            <v>570.29999999999995</v>
          </cell>
          <cell r="K59">
            <v>837</v>
          </cell>
          <cell r="L59">
            <v>2609.1999999999998</v>
          </cell>
          <cell r="M59">
            <v>7396.1</v>
          </cell>
          <cell r="N59" t="str">
            <v>-</v>
          </cell>
          <cell r="O59" t="str">
            <v>-</v>
          </cell>
          <cell r="P59">
            <v>1213.5999999999999</v>
          </cell>
          <cell r="Q59">
            <v>-961.6</v>
          </cell>
          <cell r="R59">
            <v>5103.3</v>
          </cell>
          <cell r="S59">
            <v>6431.7</v>
          </cell>
          <cell r="T59">
            <v>-371.7</v>
          </cell>
          <cell r="U59">
            <v>-6117.6</v>
          </cell>
          <cell r="V59">
            <v>1269.2</v>
          </cell>
          <cell r="W59">
            <v>11818.9</v>
          </cell>
          <cell r="X59">
            <v>850</v>
          </cell>
          <cell r="Y59">
            <v>-2783.3</v>
          </cell>
          <cell r="Z59">
            <v>847.4</v>
          </cell>
          <cell r="AA59">
            <v>1288.5</v>
          </cell>
          <cell r="AB59">
            <v>4323</v>
          </cell>
          <cell r="AC59">
            <v>11487.8</v>
          </cell>
          <cell r="AD59" t="str">
            <v>-</v>
          </cell>
          <cell r="AE59" t="str">
            <v>-</v>
          </cell>
          <cell r="AF59">
            <v>2105.1</v>
          </cell>
          <cell r="AG59">
            <v>884.2</v>
          </cell>
          <cell r="AH59">
            <v>9023</v>
          </cell>
          <cell r="AI59">
            <v>16578.5</v>
          </cell>
        </row>
        <row r="60">
          <cell r="A60" t="str">
            <v>37226-Navy Subtotal</v>
          </cell>
          <cell r="B60">
            <v>37226</v>
          </cell>
          <cell r="C60" t="str">
            <v>Navy Subtotal</v>
          </cell>
          <cell r="D60" t="str">
            <v>Navy Subtotal</v>
          </cell>
          <cell r="F60">
            <v>10634.4</v>
          </cell>
          <cell r="G60">
            <v>26780.5</v>
          </cell>
          <cell r="H60">
            <v>1015.8</v>
          </cell>
          <cell r="I60">
            <v>1301.5999999999999</v>
          </cell>
          <cell r="J60">
            <v>5215.7</v>
          </cell>
          <cell r="K60">
            <v>10067.9</v>
          </cell>
          <cell r="L60">
            <v>21913.4</v>
          </cell>
          <cell r="M60">
            <v>38800.300000000003</v>
          </cell>
          <cell r="N60">
            <v>40.299999999999997</v>
          </cell>
          <cell r="O60">
            <v>456.2</v>
          </cell>
          <cell r="P60">
            <v>3761.9</v>
          </cell>
          <cell r="Q60">
            <v>968.4</v>
          </cell>
          <cell r="R60">
            <v>42581.5</v>
          </cell>
          <cell r="S60">
            <v>78374.899999999994</v>
          </cell>
          <cell r="T60">
            <v>-7.2</v>
          </cell>
          <cell r="U60">
            <v>-30765.4</v>
          </cell>
          <cell r="V60">
            <v>16494.099999999999</v>
          </cell>
          <cell r="W60">
            <v>51136.800000000003</v>
          </cell>
          <cell r="X60">
            <v>3175.8</v>
          </cell>
          <cell r="Y60">
            <v>4842.3</v>
          </cell>
          <cell r="Z60">
            <v>6568</v>
          </cell>
          <cell r="AA60">
            <v>12799.5</v>
          </cell>
          <cell r="AB60">
            <v>31209.599999999999</v>
          </cell>
          <cell r="AC60">
            <v>52772.1</v>
          </cell>
          <cell r="AD60">
            <v>52</v>
          </cell>
          <cell r="AE60">
            <v>546.1</v>
          </cell>
          <cell r="AF60">
            <v>5687.6</v>
          </cell>
          <cell r="AG60">
            <v>3719.3</v>
          </cell>
          <cell r="AH60">
            <v>63179.9</v>
          </cell>
          <cell r="AI60">
            <v>95050.7</v>
          </cell>
        </row>
        <row r="62">
          <cell r="C62" t="str">
            <v>AIR FORCE</v>
          </cell>
        </row>
        <row r="63">
          <cell r="A63" t="str">
            <v>37226-AEHF</v>
          </cell>
          <cell r="B63">
            <v>37226</v>
          </cell>
          <cell r="C63" t="str">
            <v>AEHF</v>
          </cell>
          <cell r="D63" t="str">
            <v>AEHF</v>
          </cell>
          <cell r="E63">
            <v>2002</v>
          </cell>
          <cell r="F63" t="str">
            <v>-</v>
          </cell>
          <cell r="G63" t="str">
            <v>-</v>
          </cell>
          <cell r="H63">
            <v>302.2</v>
          </cell>
          <cell r="I63">
            <v>302.2</v>
          </cell>
          <cell r="J63" t="str">
            <v>-</v>
          </cell>
          <cell r="K63" t="str">
            <v>-</v>
          </cell>
          <cell r="L63">
            <v>1512.5</v>
          </cell>
          <cell r="M63">
            <v>1149</v>
          </cell>
          <cell r="N63" t="str">
            <v>-</v>
          </cell>
          <cell r="O63" t="str">
            <v>-</v>
          </cell>
          <cell r="P63" t="str">
            <v>-</v>
          </cell>
          <cell r="Q63" t="str">
            <v>-</v>
          </cell>
          <cell r="R63">
            <v>1814.7</v>
          </cell>
          <cell r="S63">
            <v>1451.2</v>
          </cell>
          <cell r="T63">
            <v>-104.1</v>
          </cell>
          <cell r="U63">
            <v>-122.6</v>
          </cell>
          <cell r="V63" t="str">
            <v>-</v>
          </cell>
          <cell r="W63" t="str">
            <v>-</v>
          </cell>
          <cell r="X63">
            <v>291.10000000000002</v>
          </cell>
          <cell r="Y63">
            <v>291.10000000000002</v>
          </cell>
          <cell r="Z63" t="str">
            <v>-</v>
          </cell>
          <cell r="AA63" t="str">
            <v>-</v>
          </cell>
          <cell r="AB63">
            <v>1608</v>
          </cell>
          <cell r="AC63">
            <v>1321.8</v>
          </cell>
          <cell r="AD63" t="str">
            <v>-</v>
          </cell>
          <cell r="AE63" t="str">
            <v>-</v>
          </cell>
          <cell r="AF63" t="str">
            <v>-</v>
          </cell>
          <cell r="AG63" t="str">
            <v>-</v>
          </cell>
          <cell r="AH63">
            <v>1795</v>
          </cell>
          <cell r="AI63">
            <v>1490.3</v>
          </cell>
        </row>
        <row r="64">
          <cell r="A64" t="str">
            <v>37226-AMRAAM</v>
          </cell>
          <cell r="B64">
            <v>37226</v>
          </cell>
          <cell r="C64" t="str">
            <v>AMRAAM</v>
          </cell>
          <cell r="D64" t="str">
            <v>AMRAAM</v>
          </cell>
          <cell r="E64">
            <v>1992</v>
          </cell>
          <cell r="F64" t="str">
            <v>-</v>
          </cell>
          <cell r="G64">
            <v>-1965.1</v>
          </cell>
          <cell r="H64" t="str">
            <v>-</v>
          </cell>
          <cell r="I64">
            <v>783.8</v>
          </cell>
          <cell r="J64" t="str">
            <v>-</v>
          </cell>
          <cell r="K64">
            <v>451.4</v>
          </cell>
          <cell r="L64">
            <v>22.5</v>
          </cell>
          <cell r="M64">
            <v>-1245.5</v>
          </cell>
          <cell r="N64" t="str">
            <v>-</v>
          </cell>
          <cell r="O64" t="str">
            <v>-</v>
          </cell>
          <cell r="P64">
            <v>7.8</v>
          </cell>
          <cell r="Q64">
            <v>-30.1</v>
          </cell>
          <cell r="R64">
            <v>30.3</v>
          </cell>
          <cell r="S64">
            <v>-2005.5</v>
          </cell>
          <cell r="T64">
            <v>-6.4</v>
          </cell>
          <cell r="U64">
            <v>-382.8</v>
          </cell>
          <cell r="V64" t="str">
            <v>-</v>
          </cell>
          <cell r="W64">
            <v>-2977.1</v>
          </cell>
          <cell r="X64">
            <v>14</v>
          </cell>
          <cell r="Y64">
            <v>1770.1</v>
          </cell>
          <cell r="Z64" t="str">
            <v>-</v>
          </cell>
          <cell r="AA64">
            <v>571.9</v>
          </cell>
          <cell r="AB64">
            <v>28</v>
          </cell>
          <cell r="AC64">
            <v>-1711.1</v>
          </cell>
          <cell r="AD64" t="str">
            <v>-</v>
          </cell>
          <cell r="AE64" t="str">
            <v>-</v>
          </cell>
          <cell r="AF64">
            <v>11.7</v>
          </cell>
          <cell r="AG64">
            <v>0.8</v>
          </cell>
          <cell r="AH64">
            <v>47.3</v>
          </cell>
          <cell r="AI64">
            <v>-2728.2</v>
          </cell>
        </row>
        <row r="65">
          <cell r="A65" t="str">
            <v>37226-AWACS Upgrade</v>
          </cell>
          <cell r="B65">
            <v>37226</v>
          </cell>
          <cell r="C65" t="str">
            <v>AWACS RSIP (E-3)</v>
          </cell>
          <cell r="D65" t="str">
            <v>AWACS Upgrade</v>
          </cell>
          <cell r="E65">
            <v>1997</v>
          </cell>
          <cell r="F65" t="str">
            <v>-</v>
          </cell>
          <cell r="G65" t="str">
            <v>-</v>
          </cell>
          <cell r="H65" t="str">
            <v>-</v>
          </cell>
          <cell r="I65">
            <v>22.2</v>
          </cell>
          <cell r="J65" t="str">
            <v>-</v>
          </cell>
          <cell r="K65" t="str">
            <v>-</v>
          </cell>
          <cell r="L65">
            <v>-3</v>
          </cell>
          <cell r="M65">
            <v>-7.1</v>
          </cell>
          <cell r="N65" t="str">
            <v>-</v>
          </cell>
          <cell r="O65" t="str">
            <v>-</v>
          </cell>
          <cell r="P65">
            <v>32.4</v>
          </cell>
          <cell r="Q65">
            <v>111</v>
          </cell>
          <cell r="R65">
            <v>29.4</v>
          </cell>
          <cell r="S65">
            <v>126.1</v>
          </cell>
          <cell r="T65">
            <v>1.9</v>
          </cell>
          <cell r="U65">
            <v>-19</v>
          </cell>
          <cell r="V65" t="str">
            <v>-</v>
          </cell>
          <cell r="W65" t="str">
            <v>-</v>
          </cell>
          <cell r="X65">
            <v>-2.2000000000000002</v>
          </cell>
          <cell r="Y65">
            <v>24.9</v>
          </cell>
          <cell r="Z65" t="str">
            <v>-</v>
          </cell>
          <cell r="AA65" t="str">
            <v>-</v>
          </cell>
          <cell r="AB65">
            <v>-3.2</v>
          </cell>
          <cell r="AC65">
            <v>-10.8</v>
          </cell>
          <cell r="AD65" t="str">
            <v>-</v>
          </cell>
          <cell r="AE65" t="str">
            <v>-</v>
          </cell>
          <cell r="AF65">
            <v>35.5</v>
          </cell>
          <cell r="AG65">
            <v>119.9</v>
          </cell>
          <cell r="AH65">
            <v>32</v>
          </cell>
          <cell r="AI65">
            <v>115</v>
          </cell>
        </row>
        <row r="66">
          <cell r="A66" t="e">
            <v>#N/A</v>
          </cell>
          <cell r="B66">
            <v>37226</v>
          </cell>
          <cell r="C66" t="str">
            <v>B-1 CMUP</v>
          </cell>
          <cell r="D66" t="e">
            <v>#N/A</v>
          </cell>
          <cell r="E66">
            <v>1995</v>
          </cell>
          <cell r="F66">
            <v>-164.1</v>
          </cell>
          <cell r="G66">
            <v>-172.5</v>
          </cell>
          <cell r="H66" t="str">
            <v>-</v>
          </cell>
          <cell r="I66">
            <v>105</v>
          </cell>
          <cell r="J66">
            <v>-5</v>
          </cell>
          <cell r="K66">
            <v>-10.9</v>
          </cell>
          <cell r="L66">
            <v>127.1</v>
          </cell>
          <cell r="M66">
            <v>532.4</v>
          </cell>
          <cell r="N66" t="str">
            <v>-</v>
          </cell>
          <cell r="O66">
            <v>18.7</v>
          </cell>
          <cell r="P66">
            <v>-3.2</v>
          </cell>
          <cell r="Q66">
            <v>5.2</v>
          </cell>
          <cell r="R66">
            <v>-45.2</v>
          </cell>
          <cell r="S66">
            <v>477.9</v>
          </cell>
          <cell r="T66">
            <v>-7.9</v>
          </cell>
          <cell r="U66">
            <v>-87.9</v>
          </cell>
          <cell r="V66">
            <v>-205.2</v>
          </cell>
          <cell r="W66">
            <v>-215.8</v>
          </cell>
          <cell r="X66" t="str">
            <v>-</v>
          </cell>
          <cell r="Y66">
            <v>131.9</v>
          </cell>
          <cell r="Z66">
            <v>-5.8</v>
          </cell>
          <cell r="AA66">
            <v>-11.1</v>
          </cell>
          <cell r="AB66">
            <v>150</v>
          </cell>
          <cell r="AC66">
            <v>604</v>
          </cell>
          <cell r="AD66" t="str">
            <v>-</v>
          </cell>
          <cell r="AE66">
            <v>20.7</v>
          </cell>
          <cell r="AF66">
            <v>-3.8</v>
          </cell>
          <cell r="AG66">
            <v>6.9</v>
          </cell>
          <cell r="AH66">
            <v>-72.7</v>
          </cell>
          <cell r="AI66">
            <v>448.7</v>
          </cell>
        </row>
        <row r="67">
          <cell r="A67" t="str">
            <v>37226-C-130J</v>
          </cell>
          <cell r="B67">
            <v>37226</v>
          </cell>
          <cell r="C67" t="str">
            <v>C-130J</v>
          </cell>
          <cell r="D67" t="str">
            <v>C-130J</v>
          </cell>
          <cell r="E67">
            <v>1996</v>
          </cell>
          <cell r="F67">
            <v>9414.1</v>
          </cell>
          <cell r="G67">
            <v>10530.5</v>
          </cell>
          <cell r="H67" t="str">
            <v>-</v>
          </cell>
          <cell r="I67">
            <v>-239.7</v>
          </cell>
          <cell r="J67" t="str">
            <v>-</v>
          </cell>
          <cell r="K67">
            <v>0.4</v>
          </cell>
          <cell r="L67">
            <v>-883.9</v>
          </cell>
          <cell r="M67">
            <v>-637.29999999999995</v>
          </cell>
          <cell r="N67" t="str">
            <v>-</v>
          </cell>
          <cell r="O67" t="str">
            <v>-</v>
          </cell>
          <cell r="P67">
            <v>1687.2</v>
          </cell>
          <cell r="Q67">
            <v>2237</v>
          </cell>
          <cell r="R67">
            <v>10217.4</v>
          </cell>
          <cell r="S67">
            <v>11890.9</v>
          </cell>
          <cell r="T67">
            <v>2.2999999999999998</v>
          </cell>
          <cell r="U67">
            <v>-0.9</v>
          </cell>
          <cell r="V67">
            <v>12163.5</v>
          </cell>
          <cell r="W67">
            <v>13411</v>
          </cell>
          <cell r="X67">
            <v>-79.8</v>
          </cell>
          <cell r="Y67">
            <v>-372.7</v>
          </cell>
          <cell r="Z67" t="str">
            <v>-</v>
          </cell>
          <cell r="AA67">
            <v>0.4</v>
          </cell>
          <cell r="AB67">
            <v>-1132</v>
          </cell>
          <cell r="AC67">
            <v>-896</v>
          </cell>
          <cell r="AD67" t="str">
            <v>-</v>
          </cell>
          <cell r="AE67" t="str">
            <v>-</v>
          </cell>
          <cell r="AF67">
            <v>2084</v>
          </cell>
          <cell r="AG67">
            <v>2689.7</v>
          </cell>
          <cell r="AH67">
            <v>13038</v>
          </cell>
          <cell r="AI67">
            <v>14831.5</v>
          </cell>
        </row>
        <row r="68">
          <cell r="A68" t="str">
            <v>37226-C-17A</v>
          </cell>
          <cell r="B68">
            <v>37226</v>
          </cell>
          <cell r="C68" t="str">
            <v>C-17A</v>
          </cell>
          <cell r="D68" t="str">
            <v>C-17A</v>
          </cell>
          <cell r="E68">
            <v>1996</v>
          </cell>
          <cell r="F68">
            <v>4848.2</v>
          </cell>
          <cell r="G68">
            <v>-2512</v>
          </cell>
          <cell r="H68">
            <v>291.60000000000002</v>
          </cell>
          <cell r="I68">
            <v>1016.1</v>
          </cell>
          <cell r="J68">
            <v>17.100000000000001</v>
          </cell>
          <cell r="K68">
            <v>267</v>
          </cell>
          <cell r="L68">
            <v>1996.8</v>
          </cell>
          <cell r="M68">
            <v>11601.4</v>
          </cell>
          <cell r="N68">
            <v>68.7</v>
          </cell>
          <cell r="O68">
            <v>411</v>
          </cell>
          <cell r="P68">
            <v>4669.6000000000004</v>
          </cell>
          <cell r="Q68">
            <v>4117.5</v>
          </cell>
          <cell r="R68">
            <v>11892</v>
          </cell>
          <cell r="S68">
            <v>14901</v>
          </cell>
          <cell r="T68">
            <v>557.29999999999995</v>
          </cell>
          <cell r="U68">
            <v>-990.6</v>
          </cell>
          <cell r="V68">
            <v>5810.3</v>
          </cell>
          <cell r="W68">
            <v>-3725.7</v>
          </cell>
          <cell r="X68">
            <v>1092.5</v>
          </cell>
          <cell r="Y68">
            <v>4390.2</v>
          </cell>
          <cell r="Z68">
            <v>13.4</v>
          </cell>
          <cell r="AA68">
            <v>277.60000000000002</v>
          </cell>
          <cell r="AB68">
            <v>1112.7</v>
          </cell>
          <cell r="AC68">
            <v>11536.1</v>
          </cell>
          <cell r="AD68">
            <v>64</v>
          </cell>
          <cell r="AE68">
            <v>412</v>
          </cell>
          <cell r="AF68">
            <v>5488</v>
          </cell>
          <cell r="AG68">
            <v>5286.8</v>
          </cell>
          <cell r="AH68">
            <v>14138.2</v>
          </cell>
          <cell r="AI68">
            <v>17186.400000000001</v>
          </cell>
        </row>
        <row r="69">
          <cell r="A69" t="str">
            <v>37226-EELV</v>
          </cell>
          <cell r="B69">
            <v>37226</v>
          </cell>
          <cell r="C69" t="str">
            <v>EELV</v>
          </cell>
          <cell r="D69" t="str">
            <v>EELV</v>
          </cell>
          <cell r="E69">
            <v>1995</v>
          </cell>
          <cell r="F69">
            <v>126.9</v>
          </cell>
          <cell r="G69">
            <v>126.9</v>
          </cell>
          <cell r="H69" t="str">
            <v>-</v>
          </cell>
          <cell r="I69" t="str">
            <v>-</v>
          </cell>
          <cell r="J69" t="str">
            <v>-</v>
          </cell>
          <cell r="K69" t="str">
            <v>-</v>
          </cell>
          <cell r="L69">
            <v>880.6</v>
          </cell>
          <cell r="M69">
            <v>991.4</v>
          </cell>
          <cell r="N69" t="str">
            <v>-</v>
          </cell>
          <cell r="O69" t="str">
            <v>-</v>
          </cell>
          <cell r="P69" t="str">
            <v>-</v>
          </cell>
          <cell r="Q69" t="str">
            <v>-</v>
          </cell>
          <cell r="R69">
            <v>1007.5</v>
          </cell>
          <cell r="S69">
            <v>1118.3</v>
          </cell>
          <cell r="T69">
            <v>-198.2</v>
          </cell>
          <cell r="U69">
            <v>-475.8</v>
          </cell>
          <cell r="V69">
            <v>141.1</v>
          </cell>
          <cell r="W69">
            <v>141.1</v>
          </cell>
          <cell r="X69">
            <v>20.3</v>
          </cell>
          <cell r="Y69">
            <v>126.1</v>
          </cell>
          <cell r="Z69" t="str">
            <v>-</v>
          </cell>
          <cell r="AA69" t="str">
            <v>-</v>
          </cell>
          <cell r="AB69">
            <v>1177.3</v>
          </cell>
          <cell r="AC69">
            <v>1245.9000000000001</v>
          </cell>
          <cell r="AD69" t="str">
            <v>-</v>
          </cell>
          <cell r="AE69" t="str">
            <v>-</v>
          </cell>
          <cell r="AF69" t="str">
            <v>-</v>
          </cell>
          <cell r="AG69" t="str">
            <v>-</v>
          </cell>
          <cell r="AH69">
            <v>1140.5</v>
          </cell>
          <cell r="AI69">
            <v>1037.3</v>
          </cell>
        </row>
        <row r="70">
          <cell r="A70" t="str">
            <v>37226-F-22</v>
          </cell>
          <cell r="B70">
            <v>37226</v>
          </cell>
          <cell r="C70" t="str">
            <v>F-22</v>
          </cell>
          <cell r="D70" t="str">
            <v>F-22</v>
          </cell>
          <cell r="E70">
            <v>1990</v>
          </cell>
          <cell r="F70">
            <v>1922.3</v>
          </cell>
          <cell r="G70">
            <v>-15664.2</v>
          </cell>
          <cell r="H70">
            <v>-87.9</v>
          </cell>
          <cell r="I70">
            <v>1853.3</v>
          </cell>
          <cell r="J70">
            <v>618.29999999999995</v>
          </cell>
          <cell r="K70">
            <v>1221.5</v>
          </cell>
          <cell r="L70">
            <v>98.2</v>
          </cell>
          <cell r="M70">
            <v>8565.4</v>
          </cell>
          <cell r="N70" t="str">
            <v>-</v>
          </cell>
          <cell r="O70" t="str">
            <v>-</v>
          </cell>
          <cell r="P70">
            <v>-1280.2</v>
          </cell>
          <cell r="Q70">
            <v>-2116.8000000000002</v>
          </cell>
          <cell r="R70">
            <v>1270.7</v>
          </cell>
          <cell r="S70">
            <v>-6140.8</v>
          </cell>
          <cell r="T70">
            <v>125.6</v>
          </cell>
          <cell r="U70">
            <v>-9617.7999999999993</v>
          </cell>
          <cell r="V70">
            <v>2939.2</v>
          </cell>
          <cell r="W70">
            <v>-33510.9</v>
          </cell>
          <cell r="X70">
            <v>-885.5</v>
          </cell>
          <cell r="Y70">
            <v>6225.9</v>
          </cell>
          <cell r="Z70">
            <v>842.7</v>
          </cell>
          <cell r="AA70">
            <v>1564.7</v>
          </cell>
          <cell r="AB70">
            <v>41.7</v>
          </cell>
          <cell r="AC70">
            <v>10850.4</v>
          </cell>
          <cell r="AD70" t="str">
            <v>-</v>
          </cell>
          <cell r="AE70" t="str">
            <v>-</v>
          </cell>
          <cell r="AF70">
            <v>-2227.1</v>
          </cell>
          <cell r="AG70">
            <v>-4899.8999999999996</v>
          </cell>
          <cell r="AH70">
            <v>836.6</v>
          </cell>
          <cell r="AI70">
            <v>-29387.599999999999</v>
          </cell>
        </row>
        <row r="71">
          <cell r="A71" t="str">
            <v>37226-GBS</v>
          </cell>
          <cell r="B71">
            <v>37226</v>
          </cell>
          <cell r="C71" t="str">
            <v>GBS</v>
          </cell>
          <cell r="D71" t="str">
            <v>GBS</v>
          </cell>
          <cell r="E71">
            <v>1997</v>
          </cell>
          <cell r="F71">
            <v>97.2</v>
          </cell>
          <cell r="G71">
            <v>140.6</v>
          </cell>
          <cell r="H71" t="str">
            <v>-</v>
          </cell>
          <cell r="I71">
            <v>24.5</v>
          </cell>
          <cell r="J71" t="str">
            <v>-</v>
          </cell>
          <cell r="K71">
            <v>4.3</v>
          </cell>
          <cell r="L71">
            <v>15.6</v>
          </cell>
          <cell r="M71">
            <v>-24.4</v>
          </cell>
          <cell r="N71" t="str">
            <v>-</v>
          </cell>
          <cell r="O71" t="str">
            <v>-</v>
          </cell>
          <cell r="P71">
            <v>2.2999999999999998</v>
          </cell>
          <cell r="Q71">
            <v>2.7</v>
          </cell>
          <cell r="R71">
            <v>115.1</v>
          </cell>
          <cell r="S71">
            <v>147.69999999999999</v>
          </cell>
          <cell r="T71">
            <v>7</v>
          </cell>
          <cell r="U71">
            <v>-13.9</v>
          </cell>
          <cell r="V71">
            <v>111.9</v>
          </cell>
          <cell r="W71">
            <v>157.69999999999999</v>
          </cell>
          <cell r="X71" t="str">
            <v>-</v>
          </cell>
          <cell r="Y71">
            <v>27.9</v>
          </cell>
          <cell r="Z71" t="str">
            <v>-</v>
          </cell>
          <cell r="AA71">
            <v>4.5999999999999996</v>
          </cell>
          <cell r="AB71">
            <v>10.199999999999999</v>
          </cell>
          <cell r="AC71">
            <v>-30.5</v>
          </cell>
          <cell r="AD71" t="str">
            <v>-</v>
          </cell>
          <cell r="AE71" t="str">
            <v>-</v>
          </cell>
          <cell r="AF71">
            <v>2.2999999999999998</v>
          </cell>
          <cell r="AG71">
            <v>2.8</v>
          </cell>
          <cell r="AH71">
            <v>131.4</v>
          </cell>
          <cell r="AI71">
            <v>148.6</v>
          </cell>
        </row>
        <row r="72">
          <cell r="A72" t="str">
            <v>37226-RQ-4 GLOBAL HAWK</v>
          </cell>
          <cell r="B72">
            <v>37226</v>
          </cell>
          <cell r="C72" t="str">
            <v>GLOBAL HAWK</v>
          </cell>
          <cell r="D72" t="str">
            <v>RQ-4 GLOBAL HAWK</v>
          </cell>
          <cell r="E72">
            <v>2000</v>
          </cell>
          <cell r="F72">
            <v>-454</v>
          </cell>
          <cell r="G72">
            <v>-454</v>
          </cell>
          <cell r="H72">
            <v>-739.6</v>
          </cell>
          <cell r="I72">
            <v>-739.6</v>
          </cell>
          <cell r="J72">
            <v>2557.1</v>
          </cell>
          <cell r="K72">
            <v>2557.1</v>
          </cell>
          <cell r="L72">
            <v>179.1</v>
          </cell>
          <cell r="M72">
            <v>240.8</v>
          </cell>
          <cell r="N72" t="str">
            <v>-</v>
          </cell>
          <cell r="O72" t="str">
            <v>-</v>
          </cell>
          <cell r="P72">
            <v>39.9</v>
          </cell>
          <cell r="Q72">
            <v>22.2</v>
          </cell>
          <cell r="R72">
            <v>1582.5</v>
          </cell>
          <cell r="S72">
            <v>1626.5</v>
          </cell>
          <cell r="T72">
            <v>-127.4</v>
          </cell>
          <cell r="U72">
            <v>-57.3</v>
          </cell>
          <cell r="V72">
            <v>-650.5</v>
          </cell>
          <cell r="W72">
            <v>-650.5</v>
          </cell>
          <cell r="X72">
            <v>-1077.0999999999999</v>
          </cell>
          <cell r="Y72">
            <v>-1077.0999999999999</v>
          </cell>
          <cell r="Z72">
            <v>2947</v>
          </cell>
          <cell r="AA72">
            <v>2947</v>
          </cell>
          <cell r="AB72">
            <v>230.7</v>
          </cell>
          <cell r="AC72">
            <v>267.39999999999998</v>
          </cell>
          <cell r="AD72" t="str">
            <v>-</v>
          </cell>
          <cell r="AE72" t="str">
            <v>-</v>
          </cell>
          <cell r="AF72">
            <v>28.4</v>
          </cell>
          <cell r="AG72">
            <v>23.1</v>
          </cell>
          <cell r="AH72">
            <v>1351.1</v>
          </cell>
          <cell r="AI72">
            <v>1452.6</v>
          </cell>
        </row>
        <row r="73">
          <cell r="A73" t="str">
            <v>37226-JASSM</v>
          </cell>
          <cell r="B73">
            <v>37226</v>
          </cell>
          <cell r="C73" t="str">
            <v>JASSM</v>
          </cell>
          <cell r="D73" t="str">
            <v>JASSM</v>
          </cell>
          <cell r="E73">
            <v>1995</v>
          </cell>
          <cell r="F73">
            <v>489</v>
          </cell>
          <cell r="G73">
            <v>503.7</v>
          </cell>
          <cell r="H73">
            <v>64.099999999999994</v>
          </cell>
          <cell r="I73">
            <v>176.2</v>
          </cell>
          <cell r="J73" t="str">
            <v>-</v>
          </cell>
          <cell r="K73">
            <v>-47.4</v>
          </cell>
          <cell r="L73">
            <v>187.3</v>
          </cell>
          <cell r="M73">
            <v>156.30000000000001</v>
          </cell>
          <cell r="N73" t="str">
            <v>-</v>
          </cell>
          <cell r="O73" t="str">
            <v>-</v>
          </cell>
          <cell r="P73">
            <v>26.7</v>
          </cell>
          <cell r="Q73">
            <v>36</v>
          </cell>
          <cell r="R73">
            <v>767.1</v>
          </cell>
          <cell r="S73">
            <v>824.8</v>
          </cell>
          <cell r="T73">
            <v>-3</v>
          </cell>
          <cell r="U73">
            <v>-60.5</v>
          </cell>
          <cell r="V73">
            <v>712.6</v>
          </cell>
          <cell r="W73">
            <v>728.8</v>
          </cell>
          <cell r="X73">
            <v>62.6</v>
          </cell>
          <cell r="Y73">
            <v>215.4</v>
          </cell>
          <cell r="Z73" t="str">
            <v>-</v>
          </cell>
          <cell r="AA73">
            <v>-56.3</v>
          </cell>
          <cell r="AB73">
            <v>210.2</v>
          </cell>
          <cell r="AC73">
            <v>170.7</v>
          </cell>
          <cell r="AD73" t="str">
            <v>-</v>
          </cell>
          <cell r="AE73" t="str">
            <v>-</v>
          </cell>
          <cell r="AF73">
            <v>35.799999999999997</v>
          </cell>
          <cell r="AG73">
            <v>48.2</v>
          </cell>
          <cell r="AH73">
            <v>1018.2</v>
          </cell>
          <cell r="AI73">
            <v>1046.3</v>
          </cell>
        </row>
        <row r="74">
          <cell r="A74" t="str">
            <v>37226-JDAM</v>
          </cell>
          <cell r="B74">
            <v>37226</v>
          </cell>
          <cell r="C74" t="str">
            <v>JDAM</v>
          </cell>
          <cell r="D74" t="str">
            <v>JDAM</v>
          </cell>
          <cell r="E74">
            <v>1995</v>
          </cell>
          <cell r="F74">
            <v>950.2</v>
          </cell>
          <cell r="G74">
            <v>965.9</v>
          </cell>
          <cell r="H74">
            <v>167</v>
          </cell>
          <cell r="I74">
            <v>291.10000000000002</v>
          </cell>
          <cell r="J74">
            <v>135.9</v>
          </cell>
          <cell r="K74">
            <v>119.4</v>
          </cell>
          <cell r="L74">
            <v>-168.3</v>
          </cell>
          <cell r="M74">
            <v>-535.9</v>
          </cell>
          <cell r="N74" t="str">
            <v>-</v>
          </cell>
          <cell r="O74" t="str">
            <v>-</v>
          </cell>
          <cell r="P74">
            <v>-27.8</v>
          </cell>
          <cell r="Q74">
            <v>-30.7</v>
          </cell>
          <cell r="R74">
            <v>1057</v>
          </cell>
          <cell r="S74">
            <v>809.8</v>
          </cell>
          <cell r="T74">
            <v>5.6</v>
          </cell>
          <cell r="U74">
            <v>-259</v>
          </cell>
          <cell r="V74">
            <v>1149.2</v>
          </cell>
          <cell r="W74">
            <v>1166</v>
          </cell>
          <cell r="X74">
            <v>159.6</v>
          </cell>
          <cell r="Y74">
            <v>315.7</v>
          </cell>
          <cell r="Z74">
            <v>153.5</v>
          </cell>
          <cell r="AA74">
            <v>134.5</v>
          </cell>
          <cell r="AB74">
            <v>-190.3</v>
          </cell>
          <cell r="AC74">
            <v>-822.3</v>
          </cell>
          <cell r="AD74" t="str">
            <v>-</v>
          </cell>
          <cell r="AE74" t="str">
            <v>-</v>
          </cell>
          <cell r="AF74">
            <v>-38.6</v>
          </cell>
          <cell r="AG74">
            <v>-61.8</v>
          </cell>
          <cell r="AH74">
            <v>1239</v>
          </cell>
          <cell r="AI74">
            <v>473.1</v>
          </cell>
        </row>
        <row r="75">
          <cell r="A75" t="str">
            <v>37226-JPATS</v>
          </cell>
          <cell r="B75">
            <v>37226</v>
          </cell>
          <cell r="C75" t="str">
            <v>JPATS</v>
          </cell>
          <cell r="D75" t="str">
            <v>JPATS</v>
          </cell>
          <cell r="E75">
            <v>2002</v>
          </cell>
          <cell r="F75">
            <v>347.9</v>
          </cell>
          <cell r="G75">
            <v>347.9</v>
          </cell>
          <cell r="H75" t="str">
            <v>-</v>
          </cell>
          <cell r="I75">
            <v>-2.9</v>
          </cell>
          <cell r="J75" t="str">
            <v>-</v>
          </cell>
          <cell r="K75" t="str">
            <v>-</v>
          </cell>
          <cell r="L75">
            <v>420.1</v>
          </cell>
          <cell r="M75">
            <v>1002.8</v>
          </cell>
          <cell r="N75" t="str">
            <v>-</v>
          </cell>
          <cell r="O75" t="str">
            <v>-</v>
          </cell>
          <cell r="P75">
            <v>238.7</v>
          </cell>
          <cell r="Q75">
            <v>162.69999999999999</v>
          </cell>
          <cell r="R75">
            <v>1006.7</v>
          </cell>
          <cell r="S75">
            <v>1510.5</v>
          </cell>
          <cell r="T75">
            <v>1.1000000000000001</v>
          </cell>
          <cell r="U75">
            <v>-600.1</v>
          </cell>
          <cell r="V75">
            <v>380</v>
          </cell>
          <cell r="W75">
            <v>380</v>
          </cell>
          <cell r="X75">
            <v>-70.099999999999994</v>
          </cell>
          <cell r="Y75">
            <v>-121.3</v>
          </cell>
          <cell r="Z75" t="str">
            <v>-</v>
          </cell>
          <cell r="AA75" t="str">
            <v>-</v>
          </cell>
          <cell r="AB75">
            <v>502.4</v>
          </cell>
          <cell r="AC75">
            <v>1209.9000000000001</v>
          </cell>
          <cell r="AD75" t="str">
            <v>-</v>
          </cell>
          <cell r="AE75" t="str">
            <v>-</v>
          </cell>
          <cell r="AF75">
            <v>238.7</v>
          </cell>
          <cell r="AG75">
            <v>107.6</v>
          </cell>
          <cell r="AH75">
            <v>1052.0999999999999</v>
          </cell>
          <cell r="AI75">
            <v>976.1</v>
          </cell>
        </row>
        <row r="76">
          <cell r="A76" t="str">
            <v>37226-E-8 JSTARS</v>
          </cell>
          <cell r="B76">
            <v>37226</v>
          </cell>
          <cell r="C76" t="str">
            <v>JSTARS</v>
          </cell>
          <cell r="D76" t="str">
            <v>E-8 JSTARS</v>
          </cell>
          <cell r="E76">
            <v>1998</v>
          </cell>
          <cell r="F76">
            <v>466.5</v>
          </cell>
          <cell r="G76">
            <v>-463.6</v>
          </cell>
          <cell r="H76">
            <v>-7.9</v>
          </cell>
          <cell r="I76">
            <v>-7.9</v>
          </cell>
          <cell r="J76">
            <v>13.3</v>
          </cell>
          <cell r="K76">
            <v>431.4</v>
          </cell>
          <cell r="L76">
            <v>146.9</v>
          </cell>
          <cell r="M76">
            <v>-202.9</v>
          </cell>
          <cell r="N76" t="str">
            <v>-</v>
          </cell>
          <cell r="O76" t="str">
            <v>-</v>
          </cell>
          <cell r="P76">
            <v>301.5</v>
          </cell>
          <cell r="Q76">
            <v>244.3</v>
          </cell>
          <cell r="R76">
            <v>920.3</v>
          </cell>
          <cell r="S76">
            <v>1.3</v>
          </cell>
          <cell r="T76">
            <v>12.2</v>
          </cell>
          <cell r="U76">
            <v>-3</v>
          </cell>
          <cell r="V76">
            <v>507.6</v>
          </cell>
          <cell r="W76">
            <v>-606.70000000000005</v>
          </cell>
          <cell r="X76">
            <v>-10.7</v>
          </cell>
          <cell r="Y76">
            <v>-10.7</v>
          </cell>
          <cell r="Z76">
            <v>14.5</v>
          </cell>
          <cell r="AA76">
            <v>486.9</v>
          </cell>
          <cell r="AB76">
            <v>176</v>
          </cell>
          <cell r="AC76">
            <v>-244.5</v>
          </cell>
          <cell r="AD76" t="str">
            <v>-</v>
          </cell>
          <cell r="AE76" t="str">
            <v>-</v>
          </cell>
          <cell r="AF76">
            <v>331.3</v>
          </cell>
          <cell r="AG76">
            <v>243.9</v>
          </cell>
          <cell r="AH76">
            <v>1030.9000000000001</v>
          </cell>
          <cell r="AI76">
            <v>-134.1</v>
          </cell>
        </row>
        <row r="77">
          <cell r="A77" t="str">
            <v>37226-MINUTEMAN III GRP</v>
          </cell>
          <cell r="B77">
            <v>37226</v>
          </cell>
          <cell r="C77" t="str">
            <v>MINUTEMAN III GRP</v>
          </cell>
          <cell r="D77" t="str">
            <v>MINUTEMAN III GRP</v>
          </cell>
          <cell r="E77">
            <v>1993</v>
          </cell>
          <cell r="F77">
            <v>-66.599999999999994</v>
          </cell>
          <cell r="G77">
            <v>-66.599999999999994</v>
          </cell>
          <cell r="H77" t="str">
            <v>-</v>
          </cell>
          <cell r="I77">
            <v>82</v>
          </cell>
          <cell r="J77" t="str">
            <v>-</v>
          </cell>
          <cell r="K77">
            <v>-7.5</v>
          </cell>
          <cell r="L77">
            <v>174.8</v>
          </cell>
          <cell r="M77">
            <v>611.79999999999995</v>
          </cell>
          <cell r="N77" t="str">
            <v>-</v>
          </cell>
          <cell r="O77" t="str">
            <v>-</v>
          </cell>
          <cell r="P77">
            <v>18.600000000000001</v>
          </cell>
          <cell r="Q77">
            <v>50.5</v>
          </cell>
          <cell r="R77">
            <v>126.8</v>
          </cell>
          <cell r="S77">
            <v>670.2</v>
          </cell>
          <cell r="T77">
            <v>-6.1</v>
          </cell>
          <cell r="U77">
            <v>-103.5</v>
          </cell>
          <cell r="V77">
            <v>-78.3</v>
          </cell>
          <cell r="W77">
            <v>-78.3</v>
          </cell>
          <cell r="X77">
            <v>0.2</v>
          </cell>
          <cell r="Y77">
            <v>198.6</v>
          </cell>
          <cell r="Z77" t="str">
            <v>-</v>
          </cell>
          <cell r="AA77">
            <v>-5.3</v>
          </cell>
          <cell r="AB77">
            <v>210.3</v>
          </cell>
          <cell r="AC77">
            <v>753</v>
          </cell>
          <cell r="AD77" t="str">
            <v>-</v>
          </cell>
          <cell r="AE77" t="str">
            <v>-</v>
          </cell>
          <cell r="AF77">
            <v>22.4</v>
          </cell>
          <cell r="AG77">
            <v>72.2</v>
          </cell>
          <cell r="AH77">
            <v>148.5</v>
          </cell>
          <cell r="AI77">
            <v>836.7</v>
          </cell>
        </row>
        <row r="78">
          <cell r="A78" t="str">
            <v>37226-MINUTEMAN III PRP</v>
          </cell>
          <cell r="B78">
            <v>37226</v>
          </cell>
          <cell r="C78" t="str">
            <v>MINUTEMAN III PRP</v>
          </cell>
          <cell r="D78" t="str">
            <v>MINUTEMAN III PRP</v>
          </cell>
          <cell r="E78">
            <v>1994</v>
          </cell>
          <cell r="F78">
            <v>-1.6</v>
          </cell>
          <cell r="G78">
            <v>-1.6</v>
          </cell>
          <cell r="H78">
            <v>-15.5</v>
          </cell>
          <cell r="I78">
            <v>-15.5</v>
          </cell>
          <cell r="J78" t="str">
            <v>-</v>
          </cell>
          <cell r="K78" t="str">
            <v>-</v>
          </cell>
          <cell r="L78">
            <v>-139.30000000000001</v>
          </cell>
          <cell r="M78">
            <v>-130.4</v>
          </cell>
          <cell r="N78" t="str">
            <v>-</v>
          </cell>
          <cell r="O78" t="str">
            <v>-</v>
          </cell>
          <cell r="P78" t="str">
            <v>-</v>
          </cell>
          <cell r="Q78" t="str">
            <v>-</v>
          </cell>
          <cell r="R78">
            <v>-156.4</v>
          </cell>
          <cell r="S78">
            <v>-147.5</v>
          </cell>
          <cell r="T78">
            <v>-19</v>
          </cell>
          <cell r="U78">
            <v>-26.2</v>
          </cell>
          <cell r="V78">
            <v>-2.1</v>
          </cell>
          <cell r="W78">
            <v>-2.1</v>
          </cell>
          <cell r="X78">
            <v>-21</v>
          </cell>
          <cell r="Y78">
            <v>-21</v>
          </cell>
          <cell r="Z78" t="str">
            <v>-</v>
          </cell>
          <cell r="AA78" t="str">
            <v>-</v>
          </cell>
          <cell r="AB78">
            <v>-190.2</v>
          </cell>
          <cell r="AC78">
            <v>-280</v>
          </cell>
          <cell r="AD78" t="str">
            <v>-</v>
          </cell>
          <cell r="AE78" t="str">
            <v>-</v>
          </cell>
          <cell r="AF78" t="str">
            <v>-</v>
          </cell>
          <cell r="AG78" t="str">
            <v>-</v>
          </cell>
          <cell r="AH78">
            <v>-232.3</v>
          </cell>
          <cell r="AI78">
            <v>-329.3</v>
          </cell>
        </row>
        <row r="79">
          <cell r="A79" t="str">
            <v>37226-NAS</v>
          </cell>
          <cell r="B79">
            <v>37226</v>
          </cell>
          <cell r="C79" t="str">
            <v>NAS</v>
          </cell>
          <cell r="D79" t="str">
            <v>NAS</v>
          </cell>
          <cell r="E79">
            <v>1990</v>
          </cell>
          <cell r="F79">
            <v>11.2</v>
          </cell>
          <cell r="G79">
            <v>208</v>
          </cell>
          <cell r="H79">
            <v>1.4</v>
          </cell>
          <cell r="I79">
            <v>52.4</v>
          </cell>
          <cell r="J79">
            <v>0.8</v>
          </cell>
          <cell r="K79">
            <v>32.5</v>
          </cell>
          <cell r="L79">
            <v>71</v>
          </cell>
          <cell r="M79">
            <v>-37.4</v>
          </cell>
          <cell r="N79" t="str">
            <v>-</v>
          </cell>
          <cell r="O79" t="str">
            <v>-</v>
          </cell>
          <cell r="P79">
            <v>-18.7</v>
          </cell>
          <cell r="Q79">
            <v>1.5</v>
          </cell>
          <cell r="R79">
            <v>65.7</v>
          </cell>
          <cell r="S79">
            <v>257</v>
          </cell>
          <cell r="T79">
            <v>1.3</v>
          </cell>
          <cell r="U79">
            <v>-63.1</v>
          </cell>
          <cell r="V79">
            <v>15.5</v>
          </cell>
          <cell r="W79">
            <v>287.2</v>
          </cell>
          <cell r="X79">
            <v>14.9</v>
          </cell>
          <cell r="Y79">
            <v>120.1</v>
          </cell>
          <cell r="Z79">
            <v>0.9</v>
          </cell>
          <cell r="AA79">
            <v>42.1</v>
          </cell>
          <cell r="AB79">
            <v>100.7</v>
          </cell>
          <cell r="AC79">
            <v>-72.7</v>
          </cell>
          <cell r="AD79" t="str">
            <v>-</v>
          </cell>
          <cell r="AE79" t="str">
            <v>-</v>
          </cell>
          <cell r="AF79">
            <v>-22.2</v>
          </cell>
          <cell r="AG79">
            <v>8</v>
          </cell>
          <cell r="AH79">
            <v>111.1</v>
          </cell>
          <cell r="AI79">
            <v>321.60000000000002</v>
          </cell>
        </row>
        <row r="80">
          <cell r="A80" t="str">
            <v>37226-NAVSTAR GPS</v>
          </cell>
          <cell r="B80">
            <v>37226</v>
          </cell>
          <cell r="C80" t="str">
            <v>NAVSTAR GPS</v>
          </cell>
          <cell r="D80" t="str">
            <v>NAVSTAR GPS</v>
          </cell>
          <cell r="E80">
            <v>1979</v>
          </cell>
          <cell r="F80">
            <v>-295.5</v>
          </cell>
          <cell r="G80">
            <v>809.2</v>
          </cell>
          <cell r="H80">
            <v>-63.9</v>
          </cell>
          <cell r="I80">
            <v>187.6</v>
          </cell>
          <cell r="J80">
            <v>27</v>
          </cell>
          <cell r="K80">
            <v>-253.1</v>
          </cell>
          <cell r="L80">
            <v>254.5</v>
          </cell>
          <cell r="M80">
            <v>-447.9</v>
          </cell>
          <cell r="N80" t="str">
            <v>-</v>
          </cell>
          <cell r="O80" t="str">
            <v>-</v>
          </cell>
          <cell r="P80">
            <v>-2.9</v>
          </cell>
          <cell r="Q80">
            <v>23.8</v>
          </cell>
          <cell r="R80">
            <v>-80.8</v>
          </cell>
          <cell r="S80">
            <v>319.60000000000002</v>
          </cell>
          <cell r="T80">
            <v>18.899999999999999</v>
          </cell>
          <cell r="U80">
            <v>-1676.9</v>
          </cell>
          <cell r="V80">
            <v>-695.3</v>
          </cell>
          <cell r="W80">
            <v>2917.8</v>
          </cell>
          <cell r="X80">
            <v>-175.9</v>
          </cell>
          <cell r="Y80">
            <v>758.1</v>
          </cell>
          <cell r="Z80">
            <v>44.1</v>
          </cell>
          <cell r="AA80">
            <v>-314</v>
          </cell>
          <cell r="AB80">
            <v>600.4</v>
          </cell>
          <cell r="AC80">
            <v>-713.9</v>
          </cell>
          <cell r="AD80" t="str">
            <v>-</v>
          </cell>
          <cell r="AE80" t="str">
            <v>-</v>
          </cell>
          <cell r="AF80">
            <v>65.099999999999994</v>
          </cell>
          <cell r="AG80">
            <v>146.1</v>
          </cell>
          <cell r="AH80">
            <v>-142.69999999999999</v>
          </cell>
          <cell r="AI80">
            <v>1117.2</v>
          </cell>
        </row>
        <row r="81">
          <cell r="A81" t="str">
            <v>37226-NPOESS</v>
          </cell>
          <cell r="B81">
            <v>37226</v>
          </cell>
          <cell r="C81" t="str">
            <v>NPOESS (RDT&amp;E)</v>
          </cell>
          <cell r="D81" t="str">
            <v>NPOESS</v>
          </cell>
          <cell r="E81">
            <v>1996</v>
          </cell>
          <cell r="F81">
            <v>191.6</v>
          </cell>
          <cell r="G81">
            <v>191.6</v>
          </cell>
          <cell r="H81">
            <v>-25.4</v>
          </cell>
          <cell r="I81">
            <v>26.3</v>
          </cell>
          <cell r="J81">
            <v>-140.5</v>
          </cell>
          <cell r="K81">
            <v>-201.3</v>
          </cell>
          <cell r="L81">
            <v>-17.3</v>
          </cell>
          <cell r="M81">
            <v>223.2</v>
          </cell>
          <cell r="N81" t="str">
            <v>-</v>
          </cell>
          <cell r="O81" t="str">
            <v>-</v>
          </cell>
          <cell r="P81" t="str">
            <v>-</v>
          </cell>
          <cell r="Q81" t="str">
            <v>-</v>
          </cell>
          <cell r="R81">
            <v>8.4</v>
          </cell>
          <cell r="S81">
            <v>239.8</v>
          </cell>
          <cell r="T81">
            <v>36.200000000000003</v>
          </cell>
          <cell r="U81">
            <v>-318</v>
          </cell>
          <cell r="V81">
            <v>235.2</v>
          </cell>
          <cell r="W81">
            <v>235.2</v>
          </cell>
          <cell r="X81">
            <v>-36.1</v>
          </cell>
          <cell r="Y81">
            <v>117.4</v>
          </cell>
          <cell r="Z81">
            <v>-195.3</v>
          </cell>
          <cell r="AA81">
            <v>-262.39999999999998</v>
          </cell>
          <cell r="AB81">
            <v>-19.100000000000001</v>
          </cell>
          <cell r="AC81">
            <v>265.3</v>
          </cell>
          <cell r="AD81" t="str">
            <v>-</v>
          </cell>
          <cell r="AE81" t="str">
            <v>-</v>
          </cell>
          <cell r="AF81" t="str">
            <v>-</v>
          </cell>
          <cell r="AG81" t="str">
            <v>-</v>
          </cell>
          <cell r="AH81">
            <v>20.9</v>
          </cell>
          <cell r="AI81">
            <v>37.5</v>
          </cell>
        </row>
        <row r="82">
          <cell r="A82" t="str">
            <v>37226-SBIRS</v>
          </cell>
          <cell r="B82">
            <v>37226</v>
          </cell>
          <cell r="C82" t="str">
            <v>SBIRS (High)</v>
          </cell>
          <cell r="D82" t="str">
            <v>SBIRS</v>
          </cell>
          <cell r="E82">
            <v>1995</v>
          </cell>
          <cell r="F82" t="str">
            <v>-</v>
          </cell>
          <cell r="G82">
            <v>27.2</v>
          </cell>
          <cell r="H82" t="str">
            <v>-</v>
          </cell>
          <cell r="I82">
            <v>301.5</v>
          </cell>
          <cell r="J82">
            <v>424.6</v>
          </cell>
          <cell r="K82">
            <v>497.6</v>
          </cell>
          <cell r="L82">
            <v>1870.6</v>
          </cell>
          <cell r="M82">
            <v>1429.5</v>
          </cell>
          <cell r="N82" t="str">
            <v>-</v>
          </cell>
          <cell r="O82" t="str">
            <v>-</v>
          </cell>
          <cell r="P82">
            <v>-46.1</v>
          </cell>
          <cell r="Q82">
            <v>1.6</v>
          </cell>
          <cell r="R82">
            <v>2249.1</v>
          </cell>
          <cell r="S82">
            <v>2257.4</v>
          </cell>
          <cell r="T82">
            <v>9.3000000000000007</v>
          </cell>
          <cell r="U82">
            <v>-131.19999999999999</v>
          </cell>
          <cell r="V82" t="str">
            <v>-</v>
          </cell>
          <cell r="W82">
            <v>27.4</v>
          </cell>
          <cell r="X82">
            <v>24.2</v>
          </cell>
          <cell r="Y82">
            <v>363.3</v>
          </cell>
          <cell r="Z82">
            <v>518.9</v>
          </cell>
          <cell r="AA82">
            <v>601</v>
          </cell>
          <cell r="AB82">
            <v>2195.8000000000002</v>
          </cell>
          <cell r="AC82">
            <v>1733.8</v>
          </cell>
          <cell r="AD82" t="str">
            <v>-</v>
          </cell>
          <cell r="AE82" t="str">
            <v>-</v>
          </cell>
          <cell r="AF82">
            <v>-52.6</v>
          </cell>
          <cell r="AG82">
            <v>1.9</v>
          </cell>
          <cell r="AH82">
            <v>2695.6</v>
          </cell>
          <cell r="AI82">
            <v>2596.1999999999998</v>
          </cell>
        </row>
        <row r="83">
          <cell r="A83" t="e">
            <v>#N/A</v>
          </cell>
          <cell r="B83">
            <v>37226</v>
          </cell>
          <cell r="C83" t="str">
            <v>TITAN IV</v>
          </cell>
          <cell r="D83" t="e">
            <v>#N/A</v>
          </cell>
          <cell r="E83">
            <v>1985</v>
          </cell>
          <cell r="F83" t="str">
            <v>-</v>
          </cell>
          <cell r="G83">
            <v>2000.7</v>
          </cell>
          <cell r="H83" t="str">
            <v>-</v>
          </cell>
          <cell r="I83">
            <v>1930.8</v>
          </cell>
          <cell r="J83" t="str">
            <v>-</v>
          </cell>
          <cell r="K83">
            <v>-1637.2</v>
          </cell>
          <cell r="L83">
            <v>-303.2</v>
          </cell>
          <cell r="M83">
            <v>7967.7</v>
          </cell>
          <cell r="N83" t="str">
            <v>-</v>
          </cell>
          <cell r="O83" t="str">
            <v>-</v>
          </cell>
          <cell r="P83">
            <v>-30.8</v>
          </cell>
          <cell r="Q83">
            <v>1167.8</v>
          </cell>
          <cell r="R83">
            <v>-334</v>
          </cell>
          <cell r="S83">
            <v>11429.8</v>
          </cell>
          <cell r="T83">
            <v>-32.1</v>
          </cell>
          <cell r="U83">
            <v>-1426.5</v>
          </cell>
          <cell r="V83" t="str">
            <v>-</v>
          </cell>
          <cell r="W83">
            <v>710.1</v>
          </cell>
          <cell r="X83" t="str">
            <v>-</v>
          </cell>
          <cell r="Y83">
            <v>5278.6</v>
          </cell>
          <cell r="Z83" t="str">
            <v>-</v>
          </cell>
          <cell r="AA83">
            <v>-2735.8</v>
          </cell>
          <cell r="AB83">
            <v>-465.1</v>
          </cell>
          <cell r="AC83">
            <v>12302.8</v>
          </cell>
          <cell r="AD83" t="str">
            <v>-</v>
          </cell>
          <cell r="AE83" t="str">
            <v>-</v>
          </cell>
          <cell r="AF83">
            <v>-45.8</v>
          </cell>
          <cell r="AG83">
            <v>826.2</v>
          </cell>
          <cell r="AH83">
            <v>-543</v>
          </cell>
          <cell r="AI83">
            <v>14955.4</v>
          </cell>
        </row>
        <row r="84">
          <cell r="A84" t="str">
            <v>37226-WGS</v>
          </cell>
          <cell r="B84">
            <v>37226</v>
          </cell>
          <cell r="C84" t="str">
            <v>WIDEBAND GAP FILLER</v>
          </cell>
          <cell r="D84" t="str">
            <v>WGS</v>
          </cell>
          <cell r="E84">
            <v>2001</v>
          </cell>
          <cell r="F84" t="str">
            <v>-</v>
          </cell>
          <cell r="G84" t="str">
            <v>-</v>
          </cell>
          <cell r="H84" t="str">
            <v>-</v>
          </cell>
          <cell r="I84" t="str">
            <v>-</v>
          </cell>
          <cell r="J84" t="str">
            <v>-</v>
          </cell>
          <cell r="K84" t="str">
            <v>-</v>
          </cell>
          <cell r="L84">
            <v>-10.8</v>
          </cell>
          <cell r="M84">
            <v>-136.4</v>
          </cell>
          <cell r="N84" t="str">
            <v>-</v>
          </cell>
          <cell r="O84" t="str">
            <v>-</v>
          </cell>
          <cell r="P84">
            <v>-0.1</v>
          </cell>
          <cell r="Q84">
            <v>-1.3</v>
          </cell>
          <cell r="R84">
            <v>-10.9</v>
          </cell>
          <cell r="S84">
            <v>-137.69999999999999</v>
          </cell>
          <cell r="T84">
            <v>-6.6</v>
          </cell>
          <cell r="U84">
            <v>-6.6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-</v>
          </cell>
          <cell r="AB84">
            <v>-10.5</v>
          </cell>
          <cell r="AC84">
            <v>-157.6</v>
          </cell>
          <cell r="AD84" t="str">
            <v>-</v>
          </cell>
          <cell r="AE84" t="str">
            <v>-</v>
          </cell>
          <cell r="AF84">
            <v>-0.1</v>
          </cell>
          <cell r="AG84">
            <v>-1.4</v>
          </cell>
          <cell r="AH84">
            <v>-17.2</v>
          </cell>
          <cell r="AI84">
            <v>-165.6</v>
          </cell>
        </row>
        <row r="85">
          <cell r="A85" t="str">
            <v>37226-Air Force Subtotal</v>
          </cell>
          <cell r="B85">
            <v>37226</v>
          </cell>
          <cell r="C85" t="str">
            <v>Air Force Subtotal</v>
          </cell>
          <cell r="D85" t="str">
            <v>Air Force Subtotal</v>
          </cell>
          <cell r="F85">
            <v>17883.3</v>
          </cell>
          <cell r="G85">
            <v>-5447.4</v>
          </cell>
          <cell r="H85">
            <v>-113.9</v>
          </cell>
          <cell r="I85">
            <v>6149.4</v>
          </cell>
          <cell r="J85">
            <v>3648.6</v>
          </cell>
          <cell r="K85">
            <v>3425.2</v>
          </cell>
          <cell r="L85">
            <v>6431.8</v>
          </cell>
          <cell r="M85">
            <v>31066.5</v>
          </cell>
          <cell r="N85">
            <v>68.7</v>
          </cell>
          <cell r="O85">
            <v>429.7</v>
          </cell>
          <cell r="P85">
            <v>5614.9</v>
          </cell>
          <cell r="Q85">
            <v>6004.9</v>
          </cell>
          <cell r="R85">
            <v>33533.4</v>
          </cell>
          <cell r="S85">
            <v>41628.300000000003</v>
          </cell>
          <cell r="T85">
            <v>267.89999999999998</v>
          </cell>
          <cell r="U85">
            <v>-16443.2</v>
          </cell>
          <cell r="V85">
            <v>22534.7</v>
          </cell>
          <cell r="W85">
            <v>-21604.799999999999</v>
          </cell>
          <cell r="X85">
            <v>-679</v>
          </cell>
          <cell r="Y85">
            <v>18752.5</v>
          </cell>
          <cell r="Z85">
            <v>4333.8999999999996</v>
          </cell>
          <cell r="AA85">
            <v>3245.8</v>
          </cell>
          <cell r="AB85">
            <v>6344</v>
          </cell>
          <cell r="AC85">
            <v>37321.699999999997</v>
          </cell>
          <cell r="AD85">
            <v>64</v>
          </cell>
          <cell r="AE85">
            <v>432.7</v>
          </cell>
          <cell r="AF85">
            <v>5953</v>
          </cell>
          <cell r="AG85">
            <v>4621</v>
          </cell>
          <cell r="AH85">
            <v>38818.5</v>
          </cell>
          <cell r="AI85">
            <v>26325.7</v>
          </cell>
        </row>
        <row r="87">
          <cell r="C87" t="str">
            <v>DoD</v>
          </cell>
        </row>
        <row r="88">
          <cell r="A88" t="e">
            <v>#N/A</v>
          </cell>
          <cell r="B88">
            <v>37226</v>
          </cell>
          <cell r="C88" t="str">
            <v>CHEM DEMIL</v>
          </cell>
          <cell r="D88" t="e">
            <v>#N/A</v>
          </cell>
          <cell r="E88">
            <v>1994</v>
          </cell>
          <cell r="F88" t="str">
            <v>-</v>
          </cell>
          <cell r="G88" t="str">
            <v>-</v>
          </cell>
          <cell r="H88">
            <v>3114.9</v>
          </cell>
          <cell r="I88">
            <v>3114.9</v>
          </cell>
          <cell r="J88" t="str">
            <v>-</v>
          </cell>
          <cell r="K88" t="str">
            <v>-</v>
          </cell>
          <cell r="L88">
            <v>5116</v>
          </cell>
          <cell r="M88">
            <v>3701.2</v>
          </cell>
          <cell r="N88" t="str">
            <v>-</v>
          </cell>
          <cell r="O88">
            <v>7.6</v>
          </cell>
          <cell r="P88" t="str">
            <v>-</v>
          </cell>
          <cell r="Q88" t="str">
            <v>-</v>
          </cell>
          <cell r="R88">
            <v>8230.9</v>
          </cell>
          <cell r="S88">
            <v>6823.7</v>
          </cell>
          <cell r="T88">
            <v>-0.7</v>
          </cell>
          <cell r="U88">
            <v>-340</v>
          </cell>
          <cell r="V88" t="str">
            <v>-</v>
          </cell>
          <cell r="W88" t="str">
            <v>-</v>
          </cell>
          <cell r="X88">
            <v>3878</v>
          </cell>
          <cell r="Y88">
            <v>3875.6</v>
          </cell>
          <cell r="Z88" t="str">
            <v>-</v>
          </cell>
          <cell r="AA88" t="str">
            <v>-</v>
          </cell>
          <cell r="AB88">
            <v>6641.1</v>
          </cell>
          <cell r="AC88">
            <v>4847.3999999999996</v>
          </cell>
          <cell r="AD88" t="str">
            <v>-</v>
          </cell>
          <cell r="AE88">
            <v>8.6999999999999993</v>
          </cell>
          <cell r="AF88" t="str">
            <v>-</v>
          </cell>
          <cell r="AG88" t="str">
            <v>-</v>
          </cell>
          <cell r="AH88">
            <v>10518.4</v>
          </cell>
          <cell r="AI88">
            <v>8391.7000000000007</v>
          </cell>
        </row>
        <row r="89">
          <cell r="A89" t="str">
            <v>37226-F-35</v>
          </cell>
          <cell r="B89">
            <v>37226</v>
          </cell>
          <cell r="C89" t="str">
            <v>JSF</v>
          </cell>
          <cell r="D89" t="str">
            <v>F-35</v>
          </cell>
          <cell r="E89">
            <v>2002</v>
          </cell>
          <cell r="F89" t="str">
            <v>-</v>
          </cell>
          <cell r="G89" t="str">
            <v>-</v>
          </cell>
          <cell r="H89">
            <v>1414</v>
          </cell>
          <cell r="I89">
            <v>-19.100000000000001</v>
          </cell>
          <cell r="J89">
            <v>4188</v>
          </cell>
          <cell r="K89">
            <v>5451.7</v>
          </cell>
          <cell r="L89">
            <v>7566.9</v>
          </cell>
          <cell r="M89">
            <v>7438.2</v>
          </cell>
          <cell r="N89" t="str">
            <v>-</v>
          </cell>
          <cell r="O89" t="str">
            <v>-</v>
          </cell>
          <cell r="P89" t="str">
            <v>-</v>
          </cell>
          <cell r="Q89" t="str">
            <v>-</v>
          </cell>
          <cell r="R89">
            <v>13168.9</v>
          </cell>
          <cell r="S89">
            <v>12870.8</v>
          </cell>
          <cell r="T89">
            <v>-4734.5</v>
          </cell>
          <cell r="U89">
            <v>-6681.8</v>
          </cell>
          <cell r="V89" t="str">
            <v>-</v>
          </cell>
          <cell r="W89" t="str">
            <v>-</v>
          </cell>
          <cell r="X89">
            <v>1486.2</v>
          </cell>
          <cell r="Y89">
            <v>-384.2</v>
          </cell>
          <cell r="Z89">
            <v>4670</v>
          </cell>
          <cell r="AA89">
            <v>6090</v>
          </cell>
          <cell r="AB89">
            <v>6497.8</v>
          </cell>
          <cell r="AC89">
            <v>6034.3</v>
          </cell>
          <cell r="AD89" t="str">
            <v>-</v>
          </cell>
          <cell r="AE89" t="str">
            <v>-</v>
          </cell>
          <cell r="AF89" t="str">
            <v>-</v>
          </cell>
          <cell r="AG89" t="str">
            <v>-</v>
          </cell>
          <cell r="AH89">
            <v>7919.5</v>
          </cell>
          <cell r="AI89">
            <v>5058.3</v>
          </cell>
        </row>
        <row r="90">
          <cell r="A90" t="str">
            <v>37226-JSIMS</v>
          </cell>
          <cell r="B90">
            <v>37226</v>
          </cell>
          <cell r="C90" t="str">
            <v>JSIMS</v>
          </cell>
          <cell r="D90" t="str">
            <v>JSIMS</v>
          </cell>
          <cell r="E90">
            <v>2001</v>
          </cell>
          <cell r="F90" t="str">
            <v>-</v>
          </cell>
          <cell r="G90" t="str">
            <v>-</v>
          </cell>
          <cell r="H90" t="str">
            <v>-</v>
          </cell>
          <cell r="I90" t="str">
            <v>-</v>
          </cell>
          <cell r="J90" t="str">
            <v>-</v>
          </cell>
          <cell r="K90" t="str">
            <v>-</v>
          </cell>
          <cell r="L90">
            <v>-22.9</v>
          </cell>
          <cell r="M90">
            <v>-21.7</v>
          </cell>
          <cell r="N90" t="str">
            <v>-</v>
          </cell>
          <cell r="O90" t="str">
            <v>-</v>
          </cell>
          <cell r="P90" t="str">
            <v>-</v>
          </cell>
          <cell r="Q90" t="str">
            <v>-</v>
          </cell>
          <cell r="R90">
            <v>-22.9</v>
          </cell>
          <cell r="S90">
            <v>-21.7</v>
          </cell>
          <cell r="T90">
            <v>-4.5</v>
          </cell>
          <cell r="U90">
            <v>-0.9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-</v>
          </cell>
          <cell r="AB90">
            <v>-23.8</v>
          </cell>
          <cell r="AC90">
            <v>-22.5</v>
          </cell>
          <cell r="AD90" t="str">
            <v>-</v>
          </cell>
          <cell r="AE90" t="str">
            <v>-</v>
          </cell>
          <cell r="AF90" t="str">
            <v>-</v>
          </cell>
          <cell r="AG90" t="str">
            <v>-</v>
          </cell>
          <cell r="AH90">
            <v>-28.3</v>
          </cell>
          <cell r="AI90">
            <v>-23.4</v>
          </cell>
        </row>
        <row r="91">
          <cell r="A91" t="str">
            <v>37226-DoD Subtotal</v>
          </cell>
          <cell r="B91">
            <v>37226</v>
          </cell>
          <cell r="C91" t="str">
            <v>DoD Subtotal</v>
          </cell>
          <cell r="D91" t="str">
            <v>DoD Subtotal</v>
          </cell>
          <cell r="F91" t="str">
            <v>-</v>
          </cell>
          <cell r="G91" t="str">
            <v>-</v>
          </cell>
          <cell r="H91">
            <v>4528.8999999999996</v>
          </cell>
          <cell r="I91">
            <v>3095.8</v>
          </cell>
          <cell r="J91">
            <v>4188</v>
          </cell>
          <cell r="K91">
            <v>5451.7</v>
          </cell>
          <cell r="L91">
            <v>12660</v>
          </cell>
          <cell r="M91">
            <v>11117.7</v>
          </cell>
          <cell r="N91" t="str">
            <v>-</v>
          </cell>
          <cell r="O91">
            <v>7.6</v>
          </cell>
          <cell r="P91" t="str">
            <v>-</v>
          </cell>
          <cell r="Q91" t="str">
            <v>-</v>
          </cell>
          <cell r="R91">
            <v>21376.9</v>
          </cell>
          <cell r="S91">
            <v>19672.8</v>
          </cell>
          <cell r="T91">
            <v>-4739.7</v>
          </cell>
          <cell r="U91">
            <v>-7022.7</v>
          </cell>
          <cell r="V91" t="str">
            <v>-</v>
          </cell>
          <cell r="W91" t="str">
            <v>-</v>
          </cell>
          <cell r="X91">
            <v>5364.2</v>
          </cell>
          <cell r="Y91">
            <v>3491.4</v>
          </cell>
          <cell r="Z91">
            <v>4670</v>
          </cell>
          <cell r="AA91">
            <v>6090</v>
          </cell>
          <cell r="AB91">
            <v>13115.1</v>
          </cell>
          <cell r="AC91">
            <v>10859.2</v>
          </cell>
          <cell r="AD91" t="str">
            <v>-</v>
          </cell>
          <cell r="AE91">
            <v>8.6999999999999993</v>
          </cell>
          <cell r="AF91" t="str">
            <v>-</v>
          </cell>
          <cell r="AG91" t="str">
            <v>-</v>
          </cell>
          <cell r="AH91">
            <v>18409.599999999999</v>
          </cell>
          <cell r="AI91">
            <v>13426.6</v>
          </cell>
        </row>
        <row r="92">
          <cell r="A92" t="str">
            <v>37226-Grand Total</v>
          </cell>
          <cell r="B92">
            <v>37226</v>
          </cell>
          <cell r="C92" t="str">
            <v>Grand Total</v>
          </cell>
          <cell r="D92" t="str">
            <v>Grand Total</v>
          </cell>
          <cell r="F92">
            <v>30683.7</v>
          </cell>
          <cell r="G92">
            <v>22363.8</v>
          </cell>
          <cell r="H92">
            <v>5679.2</v>
          </cell>
          <cell r="I92">
            <v>10964.7</v>
          </cell>
          <cell r="J92">
            <v>16052</v>
          </cell>
          <cell r="K92">
            <v>25677.4</v>
          </cell>
          <cell r="L92">
            <v>46495.199999999997</v>
          </cell>
          <cell r="M92">
            <v>94897.4</v>
          </cell>
          <cell r="N92">
            <v>109</v>
          </cell>
          <cell r="O92">
            <v>893.5</v>
          </cell>
          <cell r="P92">
            <v>9365.5</v>
          </cell>
          <cell r="Q92">
            <v>7708.1</v>
          </cell>
          <cell r="R92">
            <v>108384.6</v>
          </cell>
          <cell r="S92">
            <v>162504.9</v>
          </cell>
          <cell r="T92">
            <v>-4867.1000000000004</v>
          </cell>
          <cell r="U92">
            <v>-60253.5</v>
          </cell>
          <cell r="V92">
            <v>42837.9</v>
          </cell>
          <cell r="W92">
            <v>30503.9</v>
          </cell>
          <cell r="X92">
            <v>8156.5</v>
          </cell>
          <cell r="Y92">
            <v>28874.9</v>
          </cell>
          <cell r="Z92">
            <v>19169.7</v>
          </cell>
          <cell r="AA92">
            <v>30617.200000000001</v>
          </cell>
          <cell r="AB92">
            <v>56139.9</v>
          </cell>
          <cell r="AC92">
            <v>116244.7</v>
          </cell>
          <cell r="AD92">
            <v>116</v>
          </cell>
          <cell r="AE92">
            <v>987.5</v>
          </cell>
          <cell r="AF92">
            <v>11774.8</v>
          </cell>
          <cell r="AG92">
            <v>9428.2000000000007</v>
          </cell>
          <cell r="AH92">
            <v>133327.70000000001</v>
          </cell>
          <cell r="AI92">
            <v>156402.9</v>
          </cell>
        </row>
        <row r="98">
          <cell r="C98" t="str">
            <v>ARMY</v>
          </cell>
        </row>
        <row r="99">
          <cell r="A99" t="str">
            <v>37591-M1A2 ABRAMS UPGRADE</v>
          </cell>
          <cell r="B99">
            <v>37591</v>
          </cell>
          <cell r="C99" t="str">
            <v>ABRAMS UPGRADE</v>
          </cell>
          <cell r="D99" t="str">
            <v>M1A2 ABRAMS UPGRADE</v>
          </cell>
          <cell r="E99">
            <v>1995</v>
          </cell>
          <cell r="F99">
            <v>-1119.4000000000001</v>
          </cell>
          <cell r="G99">
            <v>-1322.7</v>
          </cell>
          <cell r="H99" t="str">
            <v>-</v>
          </cell>
          <cell r="I99" t="str">
            <v>-</v>
          </cell>
          <cell r="J99">
            <v>-19.600000000000001</v>
          </cell>
          <cell r="K99">
            <v>121.4</v>
          </cell>
          <cell r="L99">
            <v>3</v>
          </cell>
          <cell r="M99">
            <v>1350.4</v>
          </cell>
          <cell r="N99" t="str">
            <v>-</v>
          </cell>
          <cell r="O99" t="str">
            <v>-</v>
          </cell>
          <cell r="P99">
            <v>-191.6</v>
          </cell>
          <cell r="Q99">
            <v>-8.1</v>
          </cell>
          <cell r="R99">
            <v>-1327.6</v>
          </cell>
          <cell r="S99">
            <v>141</v>
          </cell>
          <cell r="T99">
            <v>106.4</v>
          </cell>
          <cell r="U99">
            <v>-247.8</v>
          </cell>
          <cell r="V99">
            <v>-1488.4</v>
          </cell>
          <cell r="W99">
            <v>-1847.9</v>
          </cell>
          <cell r="X99" t="str">
            <v>-</v>
          </cell>
          <cell r="Y99">
            <v>-210.7</v>
          </cell>
          <cell r="Z99">
            <v>-22.2</v>
          </cell>
          <cell r="AA99">
            <v>139.1</v>
          </cell>
          <cell r="AB99">
            <v>3.4</v>
          </cell>
          <cell r="AC99">
            <v>1697.5</v>
          </cell>
          <cell r="AD99" t="str">
            <v>-</v>
          </cell>
          <cell r="AE99" t="str">
            <v>-</v>
          </cell>
          <cell r="AF99">
            <v>-259.3</v>
          </cell>
          <cell r="AG99">
            <v>-56.1</v>
          </cell>
          <cell r="AH99">
            <v>-1660.1</v>
          </cell>
          <cell r="AI99">
            <v>-525.9</v>
          </cell>
        </row>
        <row r="100">
          <cell r="A100" t="str">
            <v>37591-ATACMS-BAT</v>
          </cell>
          <cell r="B100">
            <v>37591</v>
          </cell>
          <cell r="C100" t="str">
            <v>ATACMS-BAT</v>
          </cell>
          <cell r="D100" t="str">
            <v>ATACMS-BAT</v>
          </cell>
          <cell r="E100">
            <v>1991</v>
          </cell>
          <cell r="F100">
            <v>-1299.8</v>
          </cell>
          <cell r="G100">
            <v>-2193.4</v>
          </cell>
          <cell r="H100">
            <v>2.4</v>
          </cell>
          <cell r="I100">
            <v>42.5</v>
          </cell>
          <cell r="J100">
            <v>-28.3</v>
          </cell>
          <cell r="K100">
            <v>283.8</v>
          </cell>
          <cell r="L100">
            <v>-1591.9</v>
          </cell>
          <cell r="M100">
            <v>200.2</v>
          </cell>
          <cell r="N100" t="str">
            <v>-</v>
          </cell>
          <cell r="O100" t="str">
            <v>-</v>
          </cell>
          <cell r="P100">
            <v>-3.2</v>
          </cell>
          <cell r="Q100">
            <v>-40.1</v>
          </cell>
          <cell r="R100">
            <v>-2920.8</v>
          </cell>
          <cell r="S100">
            <v>-1707</v>
          </cell>
          <cell r="T100">
            <v>351.7</v>
          </cell>
          <cell r="U100">
            <v>-62.6</v>
          </cell>
          <cell r="V100">
            <v>-2230.6999999999998</v>
          </cell>
          <cell r="W100">
            <v>-3818.3</v>
          </cell>
          <cell r="X100">
            <v>-440.5</v>
          </cell>
          <cell r="Y100">
            <v>173.6</v>
          </cell>
          <cell r="Z100">
            <v>-35.5</v>
          </cell>
          <cell r="AA100">
            <v>347.8</v>
          </cell>
          <cell r="AB100">
            <v>-1725.3</v>
          </cell>
          <cell r="AC100">
            <v>556.4</v>
          </cell>
          <cell r="AD100" t="str">
            <v>-</v>
          </cell>
          <cell r="AE100" t="str">
            <v>-</v>
          </cell>
          <cell r="AF100">
            <v>-4.8</v>
          </cell>
          <cell r="AG100">
            <v>-54.4</v>
          </cell>
          <cell r="AH100">
            <v>-4085.1</v>
          </cell>
          <cell r="AI100">
            <v>-2857.5</v>
          </cell>
        </row>
        <row r="101">
          <cell r="A101" t="str">
            <v>37591-ATIRCM/CMWS</v>
          </cell>
          <cell r="B101">
            <v>37591</v>
          </cell>
          <cell r="C101" t="str">
            <v>ATIRCM/CMWS</v>
          </cell>
          <cell r="D101" t="str">
            <v>ATIRCM/CMWS</v>
          </cell>
          <cell r="E101">
            <v>1996</v>
          </cell>
          <cell r="F101">
            <v>352.1</v>
          </cell>
          <cell r="G101">
            <v>-634.9</v>
          </cell>
          <cell r="H101" t="str">
            <v>-</v>
          </cell>
          <cell r="I101">
            <v>-246.4</v>
          </cell>
          <cell r="J101">
            <v>54.6</v>
          </cell>
          <cell r="K101">
            <v>163.80000000000001</v>
          </cell>
          <cell r="L101">
            <v>117.9</v>
          </cell>
          <cell r="M101">
            <v>908</v>
          </cell>
          <cell r="N101" t="str">
            <v>-</v>
          </cell>
          <cell r="O101" t="str">
            <v>-</v>
          </cell>
          <cell r="P101">
            <v>198.7</v>
          </cell>
          <cell r="Q101">
            <v>176</v>
          </cell>
          <cell r="R101">
            <v>723.3</v>
          </cell>
          <cell r="S101">
            <v>366.5</v>
          </cell>
          <cell r="T101">
            <v>213.2</v>
          </cell>
          <cell r="U101">
            <v>67.599999999999994</v>
          </cell>
          <cell r="V101">
            <v>386.8</v>
          </cell>
          <cell r="W101">
            <v>-976.1</v>
          </cell>
          <cell r="X101">
            <v>-24.6</v>
          </cell>
          <cell r="Y101">
            <v>-188.6</v>
          </cell>
          <cell r="Z101">
            <v>63.8</v>
          </cell>
          <cell r="AA101">
            <v>176.8</v>
          </cell>
          <cell r="AB101">
            <v>127.6</v>
          </cell>
          <cell r="AC101">
            <v>1173.0999999999999</v>
          </cell>
          <cell r="AD101" t="str">
            <v>-</v>
          </cell>
          <cell r="AE101" t="str">
            <v>-</v>
          </cell>
          <cell r="AF101">
            <v>285.3</v>
          </cell>
          <cell r="AG101">
            <v>289.10000000000002</v>
          </cell>
          <cell r="AH101">
            <v>1052.0999999999999</v>
          </cell>
          <cell r="AI101">
            <v>541.9</v>
          </cell>
        </row>
        <row r="102">
          <cell r="A102" t="str">
            <v>37591-UH-60M Black Hawk Upgrade</v>
          </cell>
          <cell r="B102">
            <v>37591</v>
          </cell>
          <cell r="C102" t="str">
            <v>BLACK HAWK UPGRADE</v>
          </cell>
          <cell r="D102" t="str">
            <v>UH-60M Black Hawk Upgrade</v>
          </cell>
          <cell r="E102">
            <v>2001</v>
          </cell>
          <cell r="F102" t="str">
            <v>-</v>
          </cell>
          <cell r="G102" t="str">
            <v>-</v>
          </cell>
          <cell r="H102">
            <v>139.9</v>
          </cell>
          <cell r="I102">
            <v>-103.3</v>
          </cell>
          <cell r="J102">
            <v>683.8</v>
          </cell>
          <cell r="K102">
            <v>678.3</v>
          </cell>
          <cell r="L102" t="str">
            <v>-</v>
          </cell>
          <cell r="M102" t="str">
            <v>-</v>
          </cell>
          <cell r="N102" t="str">
            <v>-</v>
          </cell>
          <cell r="O102" t="str">
            <v>-</v>
          </cell>
          <cell r="P102">
            <v>44</v>
          </cell>
          <cell r="Q102">
            <v>39</v>
          </cell>
          <cell r="R102">
            <v>867.7</v>
          </cell>
          <cell r="S102">
            <v>614</v>
          </cell>
          <cell r="T102">
            <v>-385.3</v>
          </cell>
          <cell r="U102">
            <v>-618.5</v>
          </cell>
          <cell r="V102" t="str">
            <v>-</v>
          </cell>
          <cell r="W102" t="str">
            <v>-</v>
          </cell>
          <cell r="X102">
            <v>593.4</v>
          </cell>
          <cell r="Y102">
            <v>-597.4</v>
          </cell>
          <cell r="Z102">
            <v>882.9</v>
          </cell>
          <cell r="AA102">
            <v>877.3</v>
          </cell>
          <cell r="AB102" t="str">
            <v>-</v>
          </cell>
          <cell r="AC102" t="str">
            <v>-</v>
          </cell>
          <cell r="AD102" t="str">
            <v>-</v>
          </cell>
          <cell r="AE102" t="str">
            <v>-</v>
          </cell>
          <cell r="AF102">
            <v>63.3</v>
          </cell>
          <cell r="AG102">
            <v>14.4</v>
          </cell>
          <cell r="AH102">
            <v>1154.3</v>
          </cell>
          <cell r="AI102">
            <v>-324.2</v>
          </cell>
        </row>
        <row r="103">
          <cell r="A103" t="str">
            <v>37591-BRADLEY UPGRADE</v>
          </cell>
          <cell r="B103">
            <v>37591</v>
          </cell>
          <cell r="C103" t="str">
            <v>BRADLEY UPGRADE</v>
          </cell>
          <cell r="D103" t="str">
            <v>BRADLEY UPGRADE</v>
          </cell>
          <cell r="E103">
            <v>2001</v>
          </cell>
          <cell r="F103">
            <v>-1192.7</v>
          </cell>
          <cell r="G103">
            <v>-910.4</v>
          </cell>
          <cell r="H103">
            <v>-0.1</v>
          </cell>
          <cell r="I103" t="str">
            <v>-</v>
          </cell>
          <cell r="J103">
            <v>-10.199999999999999</v>
          </cell>
          <cell r="K103">
            <v>2.5</v>
          </cell>
          <cell r="L103">
            <v>-24.5</v>
          </cell>
          <cell r="M103">
            <v>0.5</v>
          </cell>
          <cell r="N103" t="str">
            <v>-</v>
          </cell>
          <cell r="O103" t="str">
            <v>-</v>
          </cell>
          <cell r="P103">
            <v>-67.5</v>
          </cell>
          <cell r="Q103">
            <v>-37.799999999999997</v>
          </cell>
          <cell r="R103">
            <v>-1295</v>
          </cell>
          <cell r="S103">
            <v>-945.2</v>
          </cell>
          <cell r="T103">
            <v>11.6</v>
          </cell>
          <cell r="U103">
            <v>-20.8</v>
          </cell>
          <cell r="V103">
            <v>-1338.3</v>
          </cell>
          <cell r="W103">
            <v>-1019.7</v>
          </cell>
          <cell r="X103">
            <v>-0.1</v>
          </cell>
          <cell r="Y103">
            <v>0.1</v>
          </cell>
          <cell r="Z103">
            <v>-7.5</v>
          </cell>
          <cell r="AA103">
            <v>6</v>
          </cell>
          <cell r="AB103">
            <v>-30.5</v>
          </cell>
          <cell r="AC103">
            <v>14.1</v>
          </cell>
          <cell r="AD103" t="str">
            <v>-</v>
          </cell>
          <cell r="AE103" t="str">
            <v>-</v>
          </cell>
          <cell r="AF103">
            <v>-98.2</v>
          </cell>
          <cell r="AG103">
            <v>-56.7</v>
          </cell>
          <cell r="AH103">
            <v>-1463</v>
          </cell>
          <cell r="AI103">
            <v>-1077</v>
          </cell>
        </row>
        <row r="104">
          <cell r="A104" t="str">
            <v>37591-CH-47F</v>
          </cell>
          <cell r="B104">
            <v>37591</v>
          </cell>
          <cell r="C104" t="str">
            <v>CH-47F</v>
          </cell>
          <cell r="D104" t="str">
            <v>CH-47F</v>
          </cell>
          <cell r="E104">
            <v>1997</v>
          </cell>
          <cell r="F104" t="str">
            <v>-</v>
          </cell>
          <cell r="G104">
            <v>232.1</v>
          </cell>
          <cell r="H104" t="str">
            <v>-</v>
          </cell>
          <cell r="I104">
            <v>2.9</v>
          </cell>
          <cell r="J104" t="str">
            <v>-</v>
          </cell>
          <cell r="K104">
            <v>812.7</v>
          </cell>
          <cell r="L104">
            <v>328.4</v>
          </cell>
          <cell r="M104">
            <v>1909.3</v>
          </cell>
          <cell r="N104" t="str">
            <v>-</v>
          </cell>
          <cell r="O104" t="str">
            <v>-</v>
          </cell>
          <cell r="P104" t="str">
            <v>-</v>
          </cell>
          <cell r="Q104">
            <v>236</v>
          </cell>
          <cell r="R104">
            <v>328.4</v>
          </cell>
          <cell r="S104">
            <v>3193</v>
          </cell>
          <cell r="T104">
            <v>0.3</v>
          </cell>
          <cell r="U104">
            <v>-110.7</v>
          </cell>
          <cell r="V104" t="str">
            <v>-</v>
          </cell>
          <cell r="W104">
            <v>325.3</v>
          </cell>
          <cell r="X104">
            <v>50.6</v>
          </cell>
          <cell r="Y104">
            <v>125.1</v>
          </cell>
          <cell r="Z104" t="str">
            <v>-</v>
          </cell>
          <cell r="AA104">
            <v>1163.7</v>
          </cell>
          <cell r="AB104">
            <v>412</v>
          </cell>
          <cell r="AC104">
            <v>1958.8</v>
          </cell>
          <cell r="AD104" t="str">
            <v>-</v>
          </cell>
          <cell r="AE104" t="str">
            <v>-</v>
          </cell>
          <cell r="AF104" t="str">
            <v>-</v>
          </cell>
          <cell r="AG104">
            <v>599.1</v>
          </cell>
          <cell r="AH104">
            <v>462.9</v>
          </cell>
          <cell r="AI104">
            <v>4061.3</v>
          </cell>
        </row>
        <row r="105">
          <cell r="A105" t="str">
            <v>37591-COMANCHE</v>
          </cell>
          <cell r="B105">
            <v>37591</v>
          </cell>
          <cell r="C105" t="str">
            <v>COMANCHE</v>
          </cell>
          <cell r="D105" t="str">
            <v>COMANCHE</v>
          </cell>
          <cell r="E105">
            <v>2000</v>
          </cell>
          <cell r="F105">
            <v>-8792.5</v>
          </cell>
          <cell r="G105">
            <v>-8838.7999999999993</v>
          </cell>
          <cell r="H105">
            <v>484.5</v>
          </cell>
          <cell r="I105">
            <v>685.2</v>
          </cell>
          <cell r="J105">
            <v>476.2</v>
          </cell>
          <cell r="K105">
            <v>1235.4000000000001</v>
          </cell>
          <cell r="L105">
            <v>1783.3</v>
          </cell>
          <cell r="M105">
            <v>2543.6999999999998</v>
          </cell>
          <cell r="N105" t="str">
            <v>-</v>
          </cell>
          <cell r="O105" t="str">
            <v>-</v>
          </cell>
          <cell r="P105">
            <v>-224.8</v>
          </cell>
          <cell r="Q105">
            <v>-658.1</v>
          </cell>
          <cell r="R105">
            <v>-6273.3</v>
          </cell>
          <cell r="S105">
            <v>-5032.6000000000004</v>
          </cell>
          <cell r="T105">
            <v>-570</v>
          </cell>
          <cell r="U105">
            <v>-977</v>
          </cell>
          <cell r="V105">
            <v>-12688.6</v>
          </cell>
          <cell r="W105">
            <v>-12725.7</v>
          </cell>
          <cell r="X105">
            <v>1203.0999999999999</v>
          </cell>
          <cell r="Y105">
            <v>574.29999999999995</v>
          </cell>
          <cell r="Z105">
            <v>540.9</v>
          </cell>
          <cell r="AA105">
            <v>1386.3</v>
          </cell>
          <cell r="AB105">
            <v>2224.9</v>
          </cell>
          <cell r="AC105">
            <v>2953.5</v>
          </cell>
          <cell r="AD105" t="str">
            <v>-</v>
          </cell>
          <cell r="AE105" t="str">
            <v>-</v>
          </cell>
          <cell r="AF105">
            <v>-292.2</v>
          </cell>
          <cell r="AG105">
            <v>-1022</v>
          </cell>
          <cell r="AH105">
            <v>-9581.9</v>
          </cell>
          <cell r="AI105">
            <v>-9810.6</v>
          </cell>
        </row>
        <row r="106">
          <cell r="A106" t="str">
            <v>37591-FBCB2</v>
          </cell>
          <cell r="B106">
            <v>37591</v>
          </cell>
          <cell r="C106" t="str">
            <v>FBCB2</v>
          </cell>
          <cell r="D106" t="str">
            <v>FBCB2</v>
          </cell>
          <cell r="E106">
            <v>2000</v>
          </cell>
          <cell r="F106" t="str">
            <v>-</v>
          </cell>
          <cell r="G106">
            <v>-64.7</v>
          </cell>
          <cell r="H106" t="str">
            <v>-</v>
          </cell>
          <cell r="I106">
            <v>77.400000000000006</v>
          </cell>
          <cell r="J106" t="str">
            <v>-</v>
          </cell>
          <cell r="K106">
            <v>105.2</v>
          </cell>
          <cell r="L106">
            <v>-76.099999999999994</v>
          </cell>
          <cell r="M106">
            <v>-154.9</v>
          </cell>
          <cell r="N106" t="str">
            <v>-</v>
          </cell>
          <cell r="O106" t="str">
            <v>-</v>
          </cell>
          <cell r="P106">
            <v>-24.2</v>
          </cell>
          <cell r="Q106">
            <v>90.7</v>
          </cell>
          <cell r="R106">
            <v>-100.3</v>
          </cell>
          <cell r="S106">
            <v>53.7</v>
          </cell>
          <cell r="T106">
            <v>-55</v>
          </cell>
          <cell r="U106">
            <v>-82.5</v>
          </cell>
          <cell r="V106" t="str">
            <v>-</v>
          </cell>
          <cell r="W106">
            <v>-85.7</v>
          </cell>
          <cell r="X106">
            <v>4.7</v>
          </cell>
          <cell r="Y106">
            <v>109</v>
          </cell>
          <cell r="Z106" t="str">
            <v>-</v>
          </cell>
          <cell r="AA106">
            <v>126.8</v>
          </cell>
          <cell r="AB106">
            <v>-85.4</v>
          </cell>
          <cell r="AC106">
            <v>-164.1</v>
          </cell>
          <cell r="AD106" t="str">
            <v>-</v>
          </cell>
          <cell r="AE106" t="str">
            <v>-</v>
          </cell>
          <cell r="AF106">
            <v>-48.8</v>
          </cell>
          <cell r="AG106">
            <v>111.5</v>
          </cell>
          <cell r="AH106">
            <v>-184.5</v>
          </cell>
          <cell r="AI106">
            <v>15</v>
          </cell>
        </row>
        <row r="107">
          <cell r="A107" t="str">
            <v>37591-FMTV</v>
          </cell>
          <cell r="B107">
            <v>37591</v>
          </cell>
          <cell r="C107" t="str">
            <v>FMTV</v>
          </cell>
          <cell r="D107" t="str">
            <v>FMTV</v>
          </cell>
          <cell r="E107">
            <v>1996</v>
          </cell>
          <cell r="F107" t="str">
            <v>-</v>
          </cell>
          <cell r="G107">
            <v>-97.2</v>
          </cell>
          <cell r="H107" t="str">
            <v>-</v>
          </cell>
          <cell r="I107">
            <v>42.8</v>
          </cell>
          <cell r="J107">
            <v>517.70000000000005</v>
          </cell>
          <cell r="K107">
            <v>1299.2</v>
          </cell>
          <cell r="L107">
            <v>364.2</v>
          </cell>
          <cell r="M107">
            <v>2547</v>
          </cell>
          <cell r="N107" t="str">
            <v>-</v>
          </cell>
          <cell r="O107" t="str">
            <v>-</v>
          </cell>
          <cell r="P107">
            <v>2.2000000000000002</v>
          </cell>
          <cell r="Q107">
            <v>-250</v>
          </cell>
          <cell r="R107">
            <v>884.1</v>
          </cell>
          <cell r="S107">
            <v>3541.8</v>
          </cell>
          <cell r="T107">
            <v>-463.5</v>
          </cell>
          <cell r="U107">
            <v>-3852</v>
          </cell>
          <cell r="V107" t="str">
            <v>-</v>
          </cell>
          <cell r="W107">
            <v>-597.79999999999995</v>
          </cell>
          <cell r="X107">
            <v>555.1</v>
          </cell>
          <cell r="Y107">
            <v>121.8</v>
          </cell>
          <cell r="Z107">
            <v>702</v>
          </cell>
          <cell r="AA107">
            <v>1750.7</v>
          </cell>
          <cell r="AB107">
            <v>385</v>
          </cell>
          <cell r="AC107">
            <v>3322.2</v>
          </cell>
          <cell r="AD107" t="str">
            <v>-</v>
          </cell>
          <cell r="AE107" t="str">
            <v>-</v>
          </cell>
          <cell r="AF107">
            <v>17.100000000000001</v>
          </cell>
          <cell r="AG107">
            <v>-396.1</v>
          </cell>
          <cell r="AH107">
            <v>1195.7</v>
          </cell>
          <cell r="AI107">
            <v>348.8</v>
          </cell>
        </row>
        <row r="108">
          <cell r="A108" t="str">
            <v>37591-GMLRS</v>
          </cell>
          <cell r="B108">
            <v>37591</v>
          </cell>
          <cell r="C108" t="str">
            <v>GMLRS</v>
          </cell>
          <cell r="D108" t="str">
            <v>GMLRS</v>
          </cell>
          <cell r="E108">
            <v>1996</v>
          </cell>
          <cell r="F108" t="str">
            <v>-</v>
          </cell>
          <cell r="G108">
            <v>2985.3</v>
          </cell>
          <cell r="H108" t="str">
            <v>-</v>
          </cell>
          <cell r="I108">
            <v>1.7</v>
          </cell>
          <cell r="J108">
            <v>670.4</v>
          </cell>
          <cell r="K108">
            <v>670.4</v>
          </cell>
          <cell r="L108">
            <v>498.7</v>
          </cell>
          <cell r="M108">
            <v>4097</v>
          </cell>
          <cell r="N108" t="str">
            <v>-</v>
          </cell>
          <cell r="O108" t="str">
            <v>-</v>
          </cell>
          <cell r="P108">
            <v>30.4</v>
          </cell>
          <cell r="Q108">
            <v>30.4</v>
          </cell>
          <cell r="R108">
            <v>1199.5</v>
          </cell>
          <cell r="S108">
            <v>7784.8</v>
          </cell>
          <cell r="T108">
            <v>-340.4</v>
          </cell>
          <cell r="U108">
            <v>-417</v>
          </cell>
          <cell r="V108" t="str">
            <v>-</v>
          </cell>
          <cell r="W108">
            <v>4156.8999999999996</v>
          </cell>
          <cell r="X108">
            <v>-90.6</v>
          </cell>
          <cell r="Y108">
            <v>79.900000000000006</v>
          </cell>
          <cell r="Z108">
            <v>879.4</v>
          </cell>
          <cell r="AA108">
            <v>879.4</v>
          </cell>
          <cell r="AB108">
            <v>657.3</v>
          </cell>
          <cell r="AC108">
            <v>5409.1</v>
          </cell>
          <cell r="AD108" t="str">
            <v>-</v>
          </cell>
          <cell r="AE108" t="str">
            <v>-</v>
          </cell>
          <cell r="AF108">
            <v>35</v>
          </cell>
          <cell r="AG108">
            <v>35</v>
          </cell>
          <cell r="AH108">
            <v>1140.7</v>
          </cell>
          <cell r="AI108">
            <v>10143.299999999999</v>
          </cell>
        </row>
        <row r="109">
          <cell r="A109" t="str">
            <v>37591-JAVELIN</v>
          </cell>
          <cell r="B109">
            <v>37591</v>
          </cell>
          <cell r="C109" t="str">
            <v>JAVELIN</v>
          </cell>
          <cell r="D109" t="str">
            <v>JAVELIN</v>
          </cell>
          <cell r="E109">
            <v>1997</v>
          </cell>
          <cell r="F109">
            <v>-173.7</v>
          </cell>
          <cell r="G109">
            <v>-79.7</v>
          </cell>
          <cell r="H109" t="str">
            <v>-</v>
          </cell>
          <cell r="I109" t="str">
            <v>-</v>
          </cell>
          <cell r="J109" t="str">
            <v>-</v>
          </cell>
          <cell r="K109">
            <v>10.7</v>
          </cell>
          <cell r="L109">
            <v>15</v>
          </cell>
          <cell r="M109">
            <v>252.6</v>
          </cell>
          <cell r="N109" t="str">
            <v>-</v>
          </cell>
          <cell r="O109" t="str">
            <v>-</v>
          </cell>
          <cell r="P109">
            <v>-1.2</v>
          </cell>
          <cell r="Q109">
            <v>-6</v>
          </cell>
          <cell r="R109">
            <v>-159.9</v>
          </cell>
          <cell r="S109">
            <v>177.6</v>
          </cell>
          <cell r="T109">
            <v>-15</v>
          </cell>
          <cell r="U109">
            <v>-83</v>
          </cell>
          <cell r="V109">
            <v>-213.6</v>
          </cell>
          <cell r="W109">
            <v>-140.4</v>
          </cell>
          <cell r="X109">
            <v>0.4</v>
          </cell>
          <cell r="Y109">
            <v>-15.5</v>
          </cell>
          <cell r="Z109" t="str">
            <v>-</v>
          </cell>
          <cell r="AA109">
            <v>10.7</v>
          </cell>
          <cell r="AB109">
            <v>16.899999999999999</v>
          </cell>
          <cell r="AC109">
            <v>323</v>
          </cell>
          <cell r="AD109" t="str">
            <v>-</v>
          </cell>
          <cell r="AE109" t="str">
            <v>-</v>
          </cell>
          <cell r="AF109">
            <v>-1.6</v>
          </cell>
          <cell r="AG109">
            <v>-14.5</v>
          </cell>
          <cell r="AH109">
            <v>-212.9</v>
          </cell>
          <cell r="AI109">
            <v>80.3</v>
          </cell>
        </row>
        <row r="110">
          <cell r="A110" t="str">
            <v>37591-JTRS GMR</v>
          </cell>
          <cell r="B110">
            <v>37591</v>
          </cell>
          <cell r="C110" t="str">
            <v>JTRS CLUSTER 1</v>
          </cell>
          <cell r="D110" t="str">
            <v>JTRS GMR</v>
          </cell>
          <cell r="E110">
            <v>2002</v>
          </cell>
          <cell r="F110">
            <v>11.2</v>
          </cell>
          <cell r="G110">
            <v>11.2</v>
          </cell>
          <cell r="H110" t="str">
            <v>-</v>
          </cell>
          <cell r="I110" t="str">
            <v>-</v>
          </cell>
          <cell r="J110">
            <v>102.5</v>
          </cell>
          <cell r="K110">
            <v>102.5</v>
          </cell>
          <cell r="L110">
            <v>-87.8</v>
          </cell>
          <cell r="M110">
            <v>-87.8</v>
          </cell>
          <cell r="N110" t="str">
            <v>-</v>
          </cell>
          <cell r="O110" t="str">
            <v>-</v>
          </cell>
          <cell r="P110">
            <v>-107.5</v>
          </cell>
          <cell r="Q110">
            <v>-107.5</v>
          </cell>
          <cell r="R110">
            <v>-81.599999999999994</v>
          </cell>
          <cell r="S110">
            <v>-81.599999999999994</v>
          </cell>
          <cell r="T110">
            <v>-485.4</v>
          </cell>
          <cell r="U110">
            <v>-485.4</v>
          </cell>
          <cell r="V110">
            <v>12.1</v>
          </cell>
          <cell r="W110">
            <v>12.1</v>
          </cell>
          <cell r="X110">
            <v>469.6</v>
          </cell>
          <cell r="Y110">
            <v>469.6</v>
          </cell>
          <cell r="Z110">
            <v>134</v>
          </cell>
          <cell r="AA110">
            <v>134</v>
          </cell>
          <cell r="AB110">
            <v>-143.30000000000001</v>
          </cell>
          <cell r="AC110">
            <v>-143.30000000000001</v>
          </cell>
          <cell r="AD110" t="str">
            <v>-</v>
          </cell>
          <cell r="AE110" t="str">
            <v>-</v>
          </cell>
          <cell r="AF110">
            <v>-97.8</v>
          </cell>
          <cell r="AG110">
            <v>-97.8</v>
          </cell>
          <cell r="AH110">
            <v>-110.8</v>
          </cell>
          <cell r="AI110">
            <v>-110.8</v>
          </cell>
        </row>
        <row r="111">
          <cell r="A111" t="str">
            <v>37591-LONGBOW APACHE</v>
          </cell>
          <cell r="B111">
            <v>37591</v>
          </cell>
          <cell r="C111" t="str">
            <v>LONGBOW APACHE</v>
          </cell>
          <cell r="D111" t="str">
            <v>LONGBOW APACHE</v>
          </cell>
          <cell r="E111">
            <v>1996</v>
          </cell>
          <cell r="F111" t="str">
            <v>-</v>
          </cell>
          <cell r="G111">
            <v>-1485.2</v>
          </cell>
          <cell r="H111" t="str">
            <v>-</v>
          </cell>
          <cell r="I111" t="str">
            <v>-</v>
          </cell>
          <cell r="J111">
            <v>129.6</v>
          </cell>
          <cell r="K111">
            <v>1766.7</v>
          </cell>
          <cell r="L111">
            <v>16.399999999999999</v>
          </cell>
          <cell r="M111">
            <v>603.70000000000005</v>
          </cell>
          <cell r="N111" t="str">
            <v>-</v>
          </cell>
          <cell r="O111" t="str">
            <v>-</v>
          </cell>
          <cell r="P111">
            <v>131.19999999999999</v>
          </cell>
          <cell r="Q111">
            <v>337</v>
          </cell>
          <cell r="R111">
            <v>277.2</v>
          </cell>
          <cell r="S111">
            <v>1222.2</v>
          </cell>
          <cell r="T111">
            <v>-76.5</v>
          </cell>
          <cell r="U111">
            <v>-389.1</v>
          </cell>
          <cell r="V111" t="str">
            <v>-</v>
          </cell>
          <cell r="W111">
            <v>-1876.6</v>
          </cell>
          <cell r="X111" t="str">
            <v>-</v>
          </cell>
          <cell r="Y111">
            <v>33.799999999999997</v>
          </cell>
          <cell r="Z111">
            <v>168</v>
          </cell>
          <cell r="AA111">
            <v>2049.8000000000002</v>
          </cell>
          <cell r="AB111">
            <v>6.1</v>
          </cell>
          <cell r="AC111">
            <v>220.4</v>
          </cell>
          <cell r="AD111" t="str">
            <v>-</v>
          </cell>
          <cell r="AE111" t="str">
            <v>-</v>
          </cell>
          <cell r="AF111">
            <v>155.80000000000001</v>
          </cell>
          <cell r="AG111">
            <v>337.4</v>
          </cell>
          <cell r="AH111">
            <v>253.4</v>
          </cell>
          <cell r="AI111">
            <v>375.7</v>
          </cell>
        </row>
        <row r="112">
          <cell r="A112" t="str">
            <v>37591-LONGBOW HELLFIRE</v>
          </cell>
          <cell r="B112">
            <v>37591</v>
          </cell>
          <cell r="C112" t="str">
            <v>LONGBOW HELLFIRE</v>
          </cell>
          <cell r="D112" t="str">
            <v>LONGBOW HELLFIRE</v>
          </cell>
          <cell r="E112">
            <v>1996</v>
          </cell>
          <cell r="F112" t="str">
            <v>-</v>
          </cell>
          <cell r="G112">
            <v>-41.8</v>
          </cell>
          <cell r="H112" t="str">
            <v>-</v>
          </cell>
          <cell r="I112">
            <v>-1.1000000000000001</v>
          </cell>
          <cell r="J112">
            <v>-27.2</v>
          </cell>
          <cell r="K112">
            <v>96</v>
          </cell>
          <cell r="L112">
            <v>-0.2</v>
          </cell>
          <cell r="M112">
            <v>47.9</v>
          </cell>
          <cell r="N112" t="str">
            <v>-</v>
          </cell>
          <cell r="O112" t="str">
            <v>-</v>
          </cell>
          <cell r="P112" t="str">
            <v>-</v>
          </cell>
          <cell r="Q112">
            <v>2.8</v>
          </cell>
          <cell r="R112">
            <v>-27.4</v>
          </cell>
          <cell r="S112">
            <v>103.8</v>
          </cell>
          <cell r="T112">
            <v>-11.2</v>
          </cell>
          <cell r="U112">
            <v>-175</v>
          </cell>
          <cell r="V112" t="str">
            <v>-</v>
          </cell>
          <cell r="W112">
            <v>-54.7</v>
          </cell>
          <cell r="X112" t="str">
            <v>-</v>
          </cell>
          <cell r="Y112">
            <v>7.2</v>
          </cell>
          <cell r="Z112">
            <v>-36.9</v>
          </cell>
          <cell r="AA112">
            <v>105.8</v>
          </cell>
          <cell r="AB112">
            <v>-0.4</v>
          </cell>
          <cell r="AC112">
            <v>54.6</v>
          </cell>
          <cell r="AD112" t="str">
            <v>-</v>
          </cell>
          <cell r="AE112" t="str">
            <v>-</v>
          </cell>
          <cell r="AF112" t="str">
            <v>-</v>
          </cell>
          <cell r="AG112">
            <v>1.8</v>
          </cell>
          <cell r="AH112">
            <v>-48.5</v>
          </cell>
          <cell r="AI112">
            <v>-60.3</v>
          </cell>
        </row>
        <row r="113">
          <cell r="A113" t="str">
            <v>37591-MCS</v>
          </cell>
          <cell r="B113">
            <v>37591</v>
          </cell>
          <cell r="C113" t="str">
            <v>MCS</v>
          </cell>
          <cell r="D113" t="str">
            <v>MCS</v>
          </cell>
          <cell r="E113">
            <v>1980</v>
          </cell>
          <cell r="F113">
            <v>-27.4</v>
          </cell>
          <cell r="G113">
            <v>924.7</v>
          </cell>
          <cell r="H113" t="str">
            <v>-</v>
          </cell>
          <cell r="I113">
            <v>-76.599999999999994</v>
          </cell>
          <cell r="J113" t="str">
            <v>-</v>
          </cell>
          <cell r="K113">
            <v>362.2</v>
          </cell>
          <cell r="L113">
            <v>186.8</v>
          </cell>
          <cell r="M113">
            <v>-831.7</v>
          </cell>
          <cell r="N113" t="str">
            <v>-</v>
          </cell>
          <cell r="O113" t="str">
            <v>-</v>
          </cell>
          <cell r="P113">
            <v>-20.8</v>
          </cell>
          <cell r="Q113">
            <v>124.5</v>
          </cell>
          <cell r="R113">
            <v>138.6</v>
          </cell>
          <cell r="S113">
            <v>503.1</v>
          </cell>
          <cell r="T113">
            <v>-20.5</v>
          </cell>
          <cell r="U113">
            <v>-24</v>
          </cell>
          <cell r="V113">
            <v>-67.8</v>
          </cell>
          <cell r="W113">
            <v>2264.6</v>
          </cell>
          <cell r="X113">
            <v>10.7</v>
          </cell>
          <cell r="Y113">
            <v>835.1</v>
          </cell>
          <cell r="Z113" t="str">
            <v>-</v>
          </cell>
          <cell r="AA113">
            <v>483.3</v>
          </cell>
          <cell r="AB113">
            <v>422</v>
          </cell>
          <cell r="AC113">
            <v>-2819.7</v>
          </cell>
          <cell r="AD113" t="str">
            <v>-</v>
          </cell>
          <cell r="AE113" t="str">
            <v>-</v>
          </cell>
          <cell r="AF113">
            <v>-47.9</v>
          </cell>
          <cell r="AG113">
            <v>364.4</v>
          </cell>
          <cell r="AH113">
            <v>296.5</v>
          </cell>
          <cell r="AI113">
            <v>1103.7</v>
          </cell>
        </row>
        <row r="114">
          <cell r="A114" t="str">
            <v>37591-PATRIOT PAC-3</v>
          </cell>
          <cell r="B114">
            <v>37591</v>
          </cell>
          <cell r="C114" t="str">
            <v>PATRIOT PAC-3</v>
          </cell>
          <cell r="D114" t="str">
            <v>PATRIOT PAC-3</v>
          </cell>
          <cell r="E114">
            <v>2002</v>
          </cell>
          <cell r="F114">
            <v>177.8</v>
          </cell>
          <cell r="G114">
            <v>1070.9000000000001</v>
          </cell>
          <cell r="H114">
            <v>-76.7</v>
          </cell>
          <cell r="I114">
            <v>-489.1</v>
          </cell>
          <cell r="J114">
            <v>328.5</v>
          </cell>
          <cell r="K114">
            <v>1019.1</v>
          </cell>
          <cell r="L114">
            <v>385.5</v>
          </cell>
          <cell r="M114">
            <v>4237.2</v>
          </cell>
          <cell r="N114" t="str">
            <v>-</v>
          </cell>
          <cell r="O114" t="str">
            <v>-</v>
          </cell>
          <cell r="P114">
            <v>-4.5999999999999996</v>
          </cell>
          <cell r="Q114">
            <v>211.3</v>
          </cell>
          <cell r="R114">
            <v>810.5</v>
          </cell>
          <cell r="S114">
            <v>6049.4</v>
          </cell>
          <cell r="T114">
            <v>-20.9</v>
          </cell>
          <cell r="U114">
            <v>-244.9</v>
          </cell>
          <cell r="V114">
            <v>182.3</v>
          </cell>
          <cell r="W114">
            <v>683.3</v>
          </cell>
          <cell r="X114">
            <v>102.6</v>
          </cell>
          <cell r="Y114">
            <v>581.70000000000005</v>
          </cell>
          <cell r="Z114">
            <v>339</v>
          </cell>
          <cell r="AA114">
            <v>1089.4000000000001</v>
          </cell>
          <cell r="AB114">
            <v>243.9</v>
          </cell>
          <cell r="AC114">
            <v>3945.2</v>
          </cell>
          <cell r="AD114" t="str">
            <v>-</v>
          </cell>
          <cell r="AE114" t="str">
            <v>-</v>
          </cell>
          <cell r="AF114">
            <v>-5.3</v>
          </cell>
          <cell r="AG114">
            <v>211.1</v>
          </cell>
          <cell r="AH114">
            <v>841.6</v>
          </cell>
          <cell r="AI114">
            <v>6265.8</v>
          </cell>
        </row>
        <row r="115">
          <cell r="A115" t="str">
            <v>37591-SMART-T</v>
          </cell>
          <cell r="B115">
            <v>37591</v>
          </cell>
          <cell r="C115" t="str">
            <v>SMART-T</v>
          </cell>
          <cell r="D115" t="str">
            <v>SMART-T</v>
          </cell>
          <cell r="E115">
            <v>1999</v>
          </cell>
          <cell r="F115">
            <v>-76.2</v>
          </cell>
          <cell r="G115">
            <v>-12.7</v>
          </cell>
          <cell r="H115" t="str">
            <v>-</v>
          </cell>
          <cell r="I115" t="str">
            <v>-</v>
          </cell>
          <cell r="J115">
            <v>1.3</v>
          </cell>
          <cell r="K115">
            <v>-28.5</v>
          </cell>
          <cell r="L115">
            <v>238.8</v>
          </cell>
          <cell r="M115">
            <v>183.9</v>
          </cell>
          <cell r="N115" t="str">
            <v>-</v>
          </cell>
          <cell r="O115" t="str">
            <v>-</v>
          </cell>
          <cell r="P115">
            <v>17.5</v>
          </cell>
          <cell r="Q115">
            <v>19.8</v>
          </cell>
          <cell r="R115">
            <v>181.4</v>
          </cell>
          <cell r="S115">
            <v>162.5</v>
          </cell>
          <cell r="T115">
            <v>-8.6</v>
          </cell>
          <cell r="U115">
            <v>-8.3000000000000007</v>
          </cell>
          <cell r="V115">
            <v>-82.5</v>
          </cell>
          <cell r="W115">
            <v>-12.5</v>
          </cell>
          <cell r="X115">
            <v>1</v>
          </cell>
          <cell r="Y115">
            <v>2.6</v>
          </cell>
          <cell r="Z115">
            <v>1.6</v>
          </cell>
          <cell r="AA115">
            <v>-29.9</v>
          </cell>
          <cell r="AB115">
            <v>266.2</v>
          </cell>
          <cell r="AC115">
            <v>217.5</v>
          </cell>
          <cell r="AD115" t="str">
            <v>-</v>
          </cell>
          <cell r="AE115" t="str">
            <v>-</v>
          </cell>
          <cell r="AF115">
            <v>18.8</v>
          </cell>
          <cell r="AG115">
            <v>21.2</v>
          </cell>
          <cell r="AH115">
            <v>196.5</v>
          </cell>
          <cell r="AI115">
            <v>190.6</v>
          </cell>
        </row>
        <row r="116">
          <cell r="A116" t="str">
            <v>37591-STRYKER</v>
          </cell>
          <cell r="B116">
            <v>37591</v>
          </cell>
          <cell r="C116" t="str">
            <v>STRYKER (IAV)</v>
          </cell>
          <cell r="D116" t="str">
            <v>STRYKER</v>
          </cell>
          <cell r="E116">
            <v>2000</v>
          </cell>
          <cell r="F116">
            <v>-23.3</v>
          </cell>
          <cell r="G116">
            <v>-30.4</v>
          </cell>
          <cell r="H116" t="str">
            <v>-</v>
          </cell>
          <cell r="I116" t="str">
            <v>-</v>
          </cell>
          <cell r="J116">
            <v>17.600000000000001</v>
          </cell>
          <cell r="K116">
            <v>27.9</v>
          </cell>
          <cell r="L116">
            <v>343.4</v>
          </cell>
          <cell r="M116">
            <v>232.9</v>
          </cell>
          <cell r="N116" t="str">
            <v>-</v>
          </cell>
          <cell r="O116" t="str">
            <v>-</v>
          </cell>
          <cell r="P116">
            <v>-8.1</v>
          </cell>
          <cell r="Q116">
            <v>-34.799999999999997</v>
          </cell>
          <cell r="R116">
            <v>329.6</v>
          </cell>
          <cell r="S116">
            <v>195.6</v>
          </cell>
          <cell r="T116">
            <v>-125.4</v>
          </cell>
          <cell r="U116">
            <v>-168.4</v>
          </cell>
          <cell r="V116">
            <v>-26.4</v>
          </cell>
          <cell r="W116">
            <v>-36.700000000000003</v>
          </cell>
          <cell r="X116">
            <v>4.8</v>
          </cell>
          <cell r="Y116">
            <v>2.1</v>
          </cell>
          <cell r="Z116">
            <v>21.2</v>
          </cell>
          <cell r="AA116">
            <v>32.5</v>
          </cell>
          <cell r="AB116">
            <v>364.8</v>
          </cell>
          <cell r="AC116">
            <v>273.60000000000002</v>
          </cell>
          <cell r="AD116" t="str">
            <v>-</v>
          </cell>
          <cell r="AE116" t="str">
            <v>-</v>
          </cell>
          <cell r="AF116">
            <v>-4.3</v>
          </cell>
          <cell r="AG116">
            <v>-44.2</v>
          </cell>
          <cell r="AH116">
            <v>234.7</v>
          </cell>
          <cell r="AI116">
            <v>58.9</v>
          </cell>
        </row>
        <row r="117">
          <cell r="A117" t="str">
            <v>37591-Army Subtotal</v>
          </cell>
          <cell r="B117">
            <v>37591</v>
          </cell>
          <cell r="C117" t="str">
            <v>Army Subtotal</v>
          </cell>
          <cell r="D117" t="str">
            <v>Army Subtotal</v>
          </cell>
          <cell r="F117">
            <v>12163.9</v>
          </cell>
          <cell r="G117">
            <v>-10487.7</v>
          </cell>
          <cell r="H117">
            <v>550</v>
          </cell>
          <cell r="I117">
            <v>-64</v>
          </cell>
          <cell r="J117">
            <v>2896.9</v>
          </cell>
          <cell r="K117">
            <v>8729.2999999999993</v>
          </cell>
          <cell r="L117">
            <v>2500.9</v>
          </cell>
          <cell r="M117">
            <v>18039.900000000001</v>
          </cell>
          <cell r="N117" t="str">
            <v>-</v>
          </cell>
          <cell r="O117" t="str">
            <v>-</v>
          </cell>
          <cell r="P117">
            <v>-229.5</v>
          </cell>
          <cell r="Q117">
            <v>125.1</v>
          </cell>
          <cell r="R117">
            <v>-6445.6</v>
          </cell>
          <cell r="S117">
            <v>16342.6</v>
          </cell>
          <cell r="T117">
            <v>-1894.5</v>
          </cell>
          <cell r="U117">
            <v>-7899.4</v>
          </cell>
          <cell r="V117">
            <v>-17555.099999999999</v>
          </cell>
          <cell r="W117">
            <v>-15749.9</v>
          </cell>
          <cell r="X117">
            <v>2440.1999999999998</v>
          </cell>
          <cell r="Y117">
            <v>2103.6999999999998</v>
          </cell>
          <cell r="Z117">
            <v>3630.7</v>
          </cell>
          <cell r="AA117">
            <v>10729.5</v>
          </cell>
          <cell r="AB117">
            <v>3145.2</v>
          </cell>
          <cell r="AC117">
            <v>18991.900000000001</v>
          </cell>
          <cell r="AD117" t="str">
            <v>-</v>
          </cell>
          <cell r="AE117" t="str">
            <v>-</v>
          </cell>
          <cell r="AF117">
            <v>-284.89999999999998</v>
          </cell>
          <cell r="AG117">
            <v>243.2</v>
          </cell>
          <cell r="AH117">
            <v>-10518.4</v>
          </cell>
          <cell r="AI117">
            <v>8419</v>
          </cell>
        </row>
        <row r="119">
          <cell r="C119" t="str">
            <v>NAVY</v>
          </cell>
        </row>
        <row r="120">
          <cell r="A120" t="str">
            <v>37591-EFV</v>
          </cell>
          <cell r="B120">
            <v>37591</v>
          </cell>
          <cell r="C120" t="str">
            <v>AAAV</v>
          </cell>
          <cell r="D120" t="str">
            <v>EFV</v>
          </cell>
          <cell r="E120">
            <v>1993</v>
          </cell>
          <cell r="F120" t="str">
            <v>-</v>
          </cell>
          <cell r="G120" t="str">
            <v>-</v>
          </cell>
          <cell r="H120">
            <v>2.5</v>
          </cell>
          <cell r="I120">
            <v>1.9</v>
          </cell>
          <cell r="J120">
            <v>84.8</v>
          </cell>
          <cell r="K120">
            <v>458.6</v>
          </cell>
          <cell r="L120">
            <v>743.2</v>
          </cell>
          <cell r="M120">
            <v>970.4</v>
          </cell>
          <cell r="N120" t="str">
            <v>-</v>
          </cell>
          <cell r="O120" t="str">
            <v>-</v>
          </cell>
          <cell r="P120">
            <v>-0.9</v>
          </cell>
          <cell r="Q120">
            <v>7.7</v>
          </cell>
          <cell r="R120">
            <v>829.6</v>
          </cell>
          <cell r="S120">
            <v>1438.6</v>
          </cell>
          <cell r="T120">
            <v>-261.89999999999998</v>
          </cell>
          <cell r="U120">
            <v>-303.8</v>
          </cell>
          <cell r="V120" t="str">
            <v>-</v>
          </cell>
          <cell r="W120" t="str">
            <v>-</v>
          </cell>
          <cell r="X120">
            <v>164.1</v>
          </cell>
          <cell r="Y120">
            <v>294.2</v>
          </cell>
          <cell r="Z120">
            <v>116.1</v>
          </cell>
          <cell r="AA120">
            <v>628.70000000000005</v>
          </cell>
          <cell r="AB120">
            <v>952.6</v>
          </cell>
          <cell r="AC120">
            <v>1245.0999999999999</v>
          </cell>
          <cell r="AD120" t="str">
            <v>-</v>
          </cell>
          <cell r="AE120" t="str">
            <v>-</v>
          </cell>
          <cell r="AF120">
            <v>11.6</v>
          </cell>
          <cell r="AG120">
            <v>33.4</v>
          </cell>
          <cell r="AH120">
            <v>982.5</v>
          </cell>
          <cell r="AI120">
            <v>1897.6</v>
          </cell>
        </row>
        <row r="121">
          <cell r="A121" t="str">
            <v>37591-AESA</v>
          </cell>
          <cell r="B121">
            <v>37591</v>
          </cell>
          <cell r="C121" t="str">
            <v>AESA (RDT&amp;E)</v>
          </cell>
          <cell r="D121" t="str">
            <v>AESA</v>
          </cell>
          <cell r="E121">
            <v>2000</v>
          </cell>
          <cell r="F121" t="str">
            <v>-</v>
          </cell>
          <cell r="G121" t="str">
            <v>-</v>
          </cell>
          <cell r="H121" t="str">
            <v>-</v>
          </cell>
          <cell r="I121" t="str">
            <v>-</v>
          </cell>
          <cell r="J121" t="str">
            <v>-</v>
          </cell>
          <cell r="K121" t="str">
            <v>-</v>
          </cell>
          <cell r="L121">
            <v>49.9</v>
          </cell>
          <cell r="M121">
            <v>26.4</v>
          </cell>
          <cell r="N121" t="str">
            <v>-</v>
          </cell>
          <cell r="O121" t="str">
            <v>-</v>
          </cell>
          <cell r="P121" t="str">
            <v>-</v>
          </cell>
          <cell r="Q121" t="str">
            <v>-</v>
          </cell>
          <cell r="R121">
            <v>49.9</v>
          </cell>
          <cell r="S121">
            <v>26.4</v>
          </cell>
          <cell r="T121">
            <v>-7</v>
          </cell>
          <cell r="U121">
            <v>-6.2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-</v>
          </cell>
          <cell r="AB121">
            <v>53</v>
          </cell>
          <cell r="AC121">
            <v>27.3</v>
          </cell>
          <cell r="AD121" t="str">
            <v>-</v>
          </cell>
          <cell r="AE121" t="str">
            <v>-</v>
          </cell>
          <cell r="AF121" t="str">
            <v>-</v>
          </cell>
          <cell r="AG121" t="str">
            <v>-</v>
          </cell>
          <cell r="AH121">
            <v>46</v>
          </cell>
          <cell r="AI121">
            <v>21.1</v>
          </cell>
        </row>
        <row r="122">
          <cell r="A122" t="str">
            <v>37591-AIM-9X</v>
          </cell>
          <cell r="B122">
            <v>37591</v>
          </cell>
          <cell r="C122" t="str">
            <v>AIM-9X</v>
          </cell>
          <cell r="D122" t="str">
            <v>AIM-9X</v>
          </cell>
          <cell r="E122">
            <v>1997</v>
          </cell>
          <cell r="F122" t="str">
            <v>-</v>
          </cell>
          <cell r="G122">
            <v>12.9</v>
          </cell>
          <cell r="H122">
            <v>19.600000000000001</v>
          </cell>
          <cell r="I122">
            <v>40.9</v>
          </cell>
          <cell r="J122">
            <v>32.5</v>
          </cell>
          <cell r="K122">
            <v>167.2</v>
          </cell>
          <cell r="L122">
            <v>3.8</v>
          </cell>
          <cell r="M122">
            <v>-5.2</v>
          </cell>
          <cell r="N122" t="str">
            <v>-</v>
          </cell>
          <cell r="O122" t="str">
            <v>-</v>
          </cell>
          <cell r="P122">
            <v>34.4</v>
          </cell>
          <cell r="Q122">
            <v>-165</v>
          </cell>
          <cell r="R122">
            <v>90.3</v>
          </cell>
          <cell r="S122">
            <v>50.8</v>
          </cell>
          <cell r="T122">
            <v>-73</v>
          </cell>
          <cell r="U122">
            <v>-330.1</v>
          </cell>
          <cell r="V122" t="str">
            <v>-</v>
          </cell>
          <cell r="W122">
            <v>19.5</v>
          </cell>
          <cell r="X122">
            <v>39.700000000000003</v>
          </cell>
          <cell r="Y122">
            <v>126</v>
          </cell>
          <cell r="Z122">
            <v>37.4</v>
          </cell>
          <cell r="AA122">
            <v>207.8</v>
          </cell>
          <cell r="AB122">
            <v>4</v>
          </cell>
          <cell r="AC122">
            <v>-4.8</v>
          </cell>
          <cell r="AD122" t="str">
            <v>-</v>
          </cell>
          <cell r="AE122" t="str">
            <v>-</v>
          </cell>
          <cell r="AF122">
            <v>42.6</v>
          </cell>
          <cell r="AG122">
            <v>-243.3</v>
          </cell>
          <cell r="AH122">
            <v>50.7</v>
          </cell>
          <cell r="AI122">
            <v>-224.9</v>
          </cell>
        </row>
        <row r="123">
          <cell r="A123" t="str">
            <v>37591-AV-8B REMANUFACTURE</v>
          </cell>
          <cell r="B123">
            <v>37591</v>
          </cell>
          <cell r="C123" t="str">
            <v>AV-8B REMANUFACTURE</v>
          </cell>
          <cell r="D123" t="str">
            <v>AV-8B REMANUFACTURE</v>
          </cell>
          <cell r="E123">
            <v>1994</v>
          </cell>
          <cell r="F123" t="str">
            <v>-</v>
          </cell>
          <cell r="G123">
            <v>20.5</v>
          </cell>
          <cell r="H123" t="str">
            <v>-</v>
          </cell>
          <cell r="I123">
            <v>23.3</v>
          </cell>
          <cell r="J123" t="str">
            <v>-</v>
          </cell>
          <cell r="K123">
            <v>61.1</v>
          </cell>
          <cell r="L123">
            <v>6.9</v>
          </cell>
          <cell r="M123">
            <v>-64.3</v>
          </cell>
          <cell r="N123" t="str">
            <v>-</v>
          </cell>
          <cell r="O123" t="str">
            <v>-</v>
          </cell>
          <cell r="P123">
            <v>0.5</v>
          </cell>
          <cell r="Q123">
            <v>115.4</v>
          </cell>
          <cell r="R123">
            <v>7.4</v>
          </cell>
          <cell r="S123">
            <v>156</v>
          </cell>
          <cell r="T123">
            <v>-5.6</v>
          </cell>
          <cell r="U123">
            <v>-169.5</v>
          </cell>
          <cell r="V123" t="str">
            <v>-</v>
          </cell>
          <cell r="W123">
            <v>21.2</v>
          </cell>
          <cell r="X123" t="str">
            <v>-</v>
          </cell>
          <cell r="Y123">
            <v>40.299999999999997</v>
          </cell>
          <cell r="Z123" t="str">
            <v>-</v>
          </cell>
          <cell r="AA123">
            <v>70.099999999999994</v>
          </cell>
          <cell r="AB123">
            <v>7.6</v>
          </cell>
          <cell r="AC123">
            <v>-86.7</v>
          </cell>
          <cell r="AD123" t="str">
            <v>-</v>
          </cell>
          <cell r="AE123" t="str">
            <v>-</v>
          </cell>
          <cell r="AF123">
            <v>0.5</v>
          </cell>
          <cell r="AG123">
            <v>135.30000000000001</v>
          </cell>
          <cell r="AH123">
            <v>2.5</v>
          </cell>
          <cell r="AI123">
            <v>10.7</v>
          </cell>
        </row>
        <row r="124">
          <cell r="A124" t="str">
            <v>37591-CEC</v>
          </cell>
          <cell r="B124">
            <v>37591</v>
          </cell>
          <cell r="C124" t="str">
            <v>CEC</v>
          </cell>
          <cell r="D124" t="str">
            <v>CEC</v>
          </cell>
          <cell r="E124">
            <v>2002</v>
          </cell>
          <cell r="F124">
            <v>81.900000000000006</v>
          </cell>
          <cell r="G124">
            <v>81.900000000000006</v>
          </cell>
          <cell r="H124" t="str">
            <v>-</v>
          </cell>
          <cell r="I124" t="str">
            <v>-</v>
          </cell>
          <cell r="J124">
            <v>218.4</v>
          </cell>
          <cell r="K124">
            <v>218.4</v>
          </cell>
          <cell r="L124">
            <v>237.4</v>
          </cell>
          <cell r="M124">
            <v>205.6</v>
          </cell>
          <cell r="N124" t="str">
            <v>-</v>
          </cell>
          <cell r="O124" t="str">
            <v>-</v>
          </cell>
          <cell r="P124">
            <v>-208.4</v>
          </cell>
          <cell r="Q124">
            <v>-233.3</v>
          </cell>
          <cell r="R124">
            <v>329.3</v>
          </cell>
          <cell r="S124">
            <v>272.60000000000002</v>
          </cell>
          <cell r="T124">
            <v>-14.8</v>
          </cell>
          <cell r="U124">
            <v>-14.8</v>
          </cell>
          <cell r="V124">
            <v>87.1</v>
          </cell>
          <cell r="W124">
            <v>87.1</v>
          </cell>
          <cell r="X124" t="str">
            <v>-</v>
          </cell>
          <cell r="Y124" t="str">
            <v>-</v>
          </cell>
          <cell r="Z124">
            <v>234.5</v>
          </cell>
          <cell r="AA124">
            <v>234.5</v>
          </cell>
          <cell r="AB124">
            <v>200.1</v>
          </cell>
          <cell r="AC124">
            <v>143.30000000000001</v>
          </cell>
          <cell r="AD124" t="str">
            <v>-</v>
          </cell>
          <cell r="AE124" t="str">
            <v>-</v>
          </cell>
          <cell r="AF124">
            <v>-161.6</v>
          </cell>
          <cell r="AG124">
            <v>-186.6</v>
          </cell>
          <cell r="AH124">
            <v>345.3</v>
          </cell>
          <cell r="AI124">
            <v>263.5</v>
          </cell>
        </row>
        <row r="125">
          <cell r="A125" t="str">
            <v>37591-CVN 21</v>
          </cell>
          <cell r="B125">
            <v>37591</v>
          </cell>
          <cell r="C125" t="str">
            <v>CVN 21 (RDT&amp;E Only)</v>
          </cell>
          <cell r="D125" t="str">
            <v>CVN 21</v>
          </cell>
          <cell r="E125">
            <v>2000</v>
          </cell>
          <cell r="F125" t="str">
            <v>-</v>
          </cell>
          <cell r="G125" t="str">
            <v>-</v>
          </cell>
          <cell r="H125" t="str">
            <v>-</v>
          </cell>
          <cell r="I125" t="str">
            <v>-</v>
          </cell>
          <cell r="J125">
            <v>217.9</v>
          </cell>
          <cell r="K125">
            <v>217.9</v>
          </cell>
          <cell r="L125">
            <v>-241.8</v>
          </cell>
          <cell r="M125">
            <v>-45.7</v>
          </cell>
          <cell r="N125" t="str">
            <v>-</v>
          </cell>
          <cell r="O125" t="str">
            <v>-</v>
          </cell>
          <cell r="P125" t="str">
            <v>-</v>
          </cell>
          <cell r="Q125" t="str">
            <v>-</v>
          </cell>
          <cell r="R125">
            <v>-23.9</v>
          </cell>
          <cell r="S125">
            <v>172.2</v>
          </cell>
          <cell r="T125">
            <v>-51.6</v>
          </cell>
          <cell r="U125">
            <v>-60.1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>
            <v>266.39999999999998</v>
          </cell>
          <cell r="AA125">
            <v>266.39999999999998</v>
          </cell>
          <cell r="AB125">
            <v>-410.2</v>
          </cell>
          <cell r="AC125">
            <v>-158.1</v>
          </cell>
          <cell r="AD125" t="str">
            <v>-</v>
          </cell>
          <cell r="AE125" t="str">
            <v>-</v>
          </cell>
          <cell r="AF125" t="str">
            <v>-</v>
          </cell>
          <cell r="AG125" t="str">
            <v>-</v>
          </cell>
          <cell r="AH125">
            <v>-195.4</v>
          </cell>
          <cell r="AI125">
            <v>48.2</v>
          </cell>
        </row>
        <row r="126">
          <cell r="A126" t="str">
            <v>37591-CVN 68</v>
          </cell>
          <cell r="B126">
            <v>37591</v>
          </cell>
          <cell r="C126" t="str">
            <v>CVN 68</v>
          </cell>
          <cell r="D126" t="str">
            <v>CVN 68</v>
          </cell>
          <cell r="E126">
            <v>1995</v>
          </cell>
          <cell r="F126" t="str">
            <v>-</v>
          </cell>
          <cell r="G126" t="str">
            <v>-</v>
          </cell>
          <cell r="H126" t="str">
            <v>-</v>
          </cell>
          <cell r="I126">
            <v>-138.9</v>
          </cell>
          <cell r="J126" t="str">
            <v>-</v>
          </cell>
          <cell r="K126">
            <v>29.2</v>
          </cell>
          <cell r="L126">
            <v>140.69999999999999</v>
          </cell>
          <cell r="M126">
            <v>974.6</v>
          </cell>
          <cell r="N126" t="str">
            <v>-</v>
          </cell>
          <cell r="O126">
            <v>239.9</v>
          </cell>
          <cell r="P126" t="str">
            <v>-</v>
          </cell>
          <cell r="Q126" t="str">
            <v>-</v>
          </cell>
          <cell r="R126">
            <v>140.69999999999999</v>
          </cell>
          <cell r="S126">
            <v>1104.8</v>
          </cell>
          <cell r="T126">
            <v>-55.9</v>
          </cell>
          <cell r="U126">
            <v>-760.8</v>
          </cell>
          <cell r="V126" t="str">
            <v>-</v>
          </cell>
          <cell r="W126" t="str">
            <v>-</v>
          </cell>
          <cell r="X126" t="str">
            <v>-</v>
          </cell>
          <cell r="Y126">
            <v>-141.4</v>
          </cell>
          <cell r="Z126" t="str">
            <v>-</v>
          </cell>
          <cell r="AA126">
            <v>-30.1</v>
          </cell>
          <cell r="AB126">
            <v>179.2</v>
          </cell>
          <cell r="AC126">
            <v>1116.5</v>
          </cell>
          <cell r="AD126" t="str">
            <v>-</v>
          </cell>
          <cell r="AE126">
            <v>266.10000000000002</v>
          </cell>
          <cell r="AF126" t="str">
            <v>-</v>
          </cell>
          <cell r="AG126" t="str">
            <v>-</v>
          </cell>
          <cell r="AH126">
            <v>123.3</v>
          </cell>
          <cell r="AI126">
            <v>450.3</v>
          </cell>
        </row>
        <row r="127">
          <cell r="A127" t="str">
            <v>37591-DDG 1000 (RDT&amp;E)</v>
          </cell>
          <cell r="B127">
            <v>37591</v>
          </cell>
          <cell r="C127" t="str">
            <v>DD(X) (RDT&amp;E Only)</v>
          </cell>
          <cell r="D127" t="str">
            <v>DDG 1000 (RDT&amp;E)</v>
          </cell>
          <cell r="E127">
            <v>1996</v>
          </cell>
          <cell r="F127" t="str">
            <v>-</v>
          </cell>
          <cell r="G127" t="str">
            <v>-</v>
          </cell>
          <cell r="H127" t="str">
            <v>-</v>
          </cell>
          <cell r="I127" t="str">
            <v>-</v>
          </cell>
          <cell r="J127" t="str">
            <v>-</v>
          </cell>
          <cell r="K127">
            <v>4720.8999999999996</v>
          </cell>
          <cell r="L127">
            <v>-189.2</v>
          </cell>
          <cell r="M127">
            <v>2649.4</v>
          </cell>
          <cell r="N127" t="str">
            <v>-</v>
          </cell>
          <cell r="O127" t="str">
            <v>-</v>
          </cell>
          <cell r="P127" t="str">
            <v>-</v>
          </cell>
          <cell r="Q127" t="str">
            <v>-</v>
          </cell>
          <cell r="R127">
            <v>-189.2</v>
          </cell>
          <cell r="S127">
            <v>7370.3</v>
          </cell>
          <cell r="T127">
            <v>-201.5</v>
          </cell>
          <cell r="U127">
            <v>-305.89999999999998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>
            <v>5471.3</v>
          </cell>
          <cell r="AB127">
            <v>-229.2</v>
          </cell>
          <cell r="AC127">
            <v>3124.6</v>
          </cell>
          <cell r="AD127" t="str">
            <v>-</v>
          </cell>
          <cell r="AE127" t="str">
            <v>-</v>
          </cell>
          <cell r="AF127" t="str">
            <v>-</v>
          </cell>
          <cell r="AG127" t="str">
            <v>-</v>
          </cell>
          <cell r="AH127">
            <v>-430.7</v>
          </cell>
          <cell r="AI127">
            <v>8290</v>
          </cell>
        </row>
        <row r="128">
          <cell r="A128" t="str">
            <v>37591-DDG 51</v>
          </cell>
          <cell r="B128">
            <v>37591</v>
          </cell>
          <cell r="C128" t="str">
            <v>DDG 51</v>
          </cell>
          <cell r="D128" t="str">
            <v>DDG 51</v>
          </cell>
          <cell r="E128">
            <v>1987</v>
          </cell>
          <cell r="F128">
            <v>-1337.7</v>
          </cell>
          <cell r="G128">
            <v>24694.7</v>
          </cell>
          <cell r="H128" t="str">
            <v>-</v>
          </cell>
          <cell r="I128">
            <v>89.1</v>
          </cell>
          <cell r="J128" t="str">
            <v>-</v>
          </cell>
          <cell r="K128">
            <v>1546.8</v>
          </cell>
          <cell r="L128">
            <v>-295.5</v>
          </cell>
          <cell r="M128">
            <v>4152.6000000000004</v>
          </cell>
          <cell r="N128" t="str">
            <v>-</v>
          </cell>
          <cell r="O128" t="str">
            <v>-</v>
          </cell>
          <cell r="P128" t="str">
            <v>-</v>
          </cell>
          <cell r="Q128" t="str">
            <v>-</v>
          </cell>
          <cell r="R128">
            <v>-1633.2</v>
          </cell>
          <cell r="S128">
            <v>30483.200000000001</v>
          </cell>
          <cell r="T128">
            <v>-544.9</v>
          </cell>
          <cell r="U128">
            <v>-5248.5</v>
          </cell>
          <cell r="V128">
            <v>-2020</v>
          </cell>
          <cell r="W128">
            <v>36929.9</v>
          </cell>
          <cell r="X128">
            <v>-82.1</v>
          </cell>
          <cell r="Y128">
            <v>985.1</v>
          </cell>
          <cell r="Z128" t="str">
            <v>-</v>
          </cell>
          <cell r="AA128">
            <v>2349.9</v>
          </cell>
          <cell r="AB128">
            <v>-577</v>
          </cell>
          <cell r="AC128">
            <v>7668.8</v>
          </cell>
          <cell r="AD128" t="str">
            <v>-</v>
          </cell>
          <cell r="AE128" t="str">
            <v>-</v>
          </cell>
          <cell r="AF128" t="str">
            <v>-</v>
          </cell>
          <cell r="AG128" t="str">
            <v>-</v>
          </cell>
          <cell r="AH128">
            <v>-3224</v>
          </cell>
          <cell r="AI128">
            <v>42685.2</v>
          </cell>
        </row>
        <row r="129">
          <cell r="A129" t="str">
            <v>37591-E-2C REPRODUCTION</v>
          </cell>
          <cell r="B129">
            <v>37591</v>
          </cell>
          <cell r="C129" t="str">
            <v>E-2C REPRODUCTION</v>
          </cell>
          <cell r="D129" t="str">
            <v>E-2C REPRODUCTION</v>
          </cell>
          <cell r="E129">
            <v>1994</v>
          </cell>
          <cell r="F129">
            <v>178.8</v>
          </cell>
          <cell r="G129">
            <v>477.3</v>
          </cell>
          <cell r="H129">
            <v>22.6</v>
          </cell>
          <cell r="I129">
            <v>50.4</v>
          </cell>
          <cell r="J129">
            <v>12</v>
          </cell>
          <cell r="K129">
            <v>306.10000000000002</v>
          </cell>
          <cell r="L129">
            <v>83</v>
          </cell>
          <cell r="M129">
            <v>175.2</v>
          </cell>
          <cell r="N129" t="str">
            <v>-</v>
          </cell>
          <cell r="O129" t="str">
            <v>-</v>
          </cell>
          <cell r="P129">
            <v>73.900000000000006</v>
          </cell>
          <cell r="Q129">
            <v>242.5</v>
          </cell>
          <cell r="R129">
            <v>370.3</v>
          </cell>
          <cell r="S129">
            <v>1251.5</v>
          </cell>
          <cell r="T129">
            <v>-28.2</v>
          </cell>
          <cell r="U129">
            <v>-277.8</v>
          </cell>
          <cell r="V129">
            <v>218.6</v>
          </cell>
          <cell r="W129">
            <v>578.9</v>
          </cell>
          <cell r="X129">
            <v>27.3</v>
          </cell>
          <cell r="Y129">
            <v>48.8</v>
          </cell>
          <cell r="Z129">
            <v>19.8</v>
          </cell>
          <cell r="AA129">
            <v>361.4</v>
          </cell>
          <cell r="AB129">
            <v>96.9</v>
          </cell>
          <cell r="AC129">
            <v>173</v>
          </cell>
          <cell r="AD129" t="str">
            <v>-</v>
          </cell>
          <cell r="AE129" t="str">
            <v>-</v>
          </cell>
          <cell r="AF129">
            <v>88.8</v>
          </cell>
          <cell r="AG129">
            <v>263.5</v>
          </cell>
          <cell r="AH129">
            <v>423.2</v>
          </cell>
          <cell r="AI129">
            <v>1147.8</v>
          </cell>
        </row>
        <row r="130">
          <cell r="A130" t="str">
            <v>37591-F/A-18E/F</v>
          </cell>
          <cell r="B130">
            <v>37591</v>
          </cell>
          <cell r="C130" t="str">
            <v>F/A-18 E/F</v>
          </cell>
          <cell r="D130" t="str">
            <v>F/A-18E/F</v>
          </cell>
          <cell r="E130">
            <v>2000</v>
          </cell>
          <cell r="F130">
            <v>163.69999999999999</v>
          </cell>
          <cell r="G130">
            <v>218.6</v>
          </cell>
          <cell r="H130">
            <v>55.2</v>
          </cell>
          <cell r="I130">
            <v>860.7</v>
          </cell>
          <cell r="J130">
            <v>1021.5</v>
          </cell>
          <cell r="K130">
            <v>1021.5</v>
          </cell>
          <cell r="L130">
            <v>148.9</v>
          </cell>
          <cell r="M130">
            <v>614.70000000000005</v>
          </cell>
          <cell r="N130" t="str">
            <v>-</v>
          </cell>
          <cell r="O130" t="str">
            <v>-</v>
          </cell>
          <cell r="P130">
            <v>895.2</v>
          </cell>
          <cell r="Q130">
            <v>1369.1</v>
          </cell>
          <cell r="R130">
            <v>2284.5</v>
          </cell>
          <cell r="S130">
            <v>4084.6</v>
          </cell>
          <cell r="T130">
            <v>-781.3</v>
          </cell>
          <cell r="U130">
            <v>-865</v>
          </cell>
          <cell r="V130">
            <v>198.6</v>
          </cell>
          <cell r="W130">
            <v>254.3</v>
          </cell>
          <cell r="X130">
            <v>159.9</v>
          </cell>
          <cell r="Y130">
            <v>1157.9000000000001</v>
          </cell>
          <cell r="Z130">
            <v>1178.7</v>
          </cell>
          <cell r="AA130">
            <v>1178.7</v>
          </cell>
          <cell r="AB130">
            <v>159.69999999999999</v>
          </cell>
          <cell r="AC130">
            <v>667.6</v>
          </cell>
          <cell r="AD130" t="str">
            <v>-</v>
          </cell>
          <cell r="AE130" t="str">
            <v>-</v>
          </cell>
          <cell r="AF130">
            <v>1043.5</v>
          </cell>
          <cell r="AG130">
            <v>1531</v>
          </cell>
          <cell r="AH130">
            <v>1959.1</v>
          </cell>
          <cell r="AI130">
            <v>3924.5</v>
          </cell>
        </row>
        <row r="131">
          <cell r="A131" t="str">
            <v>37591-JSOW</v>
          </cell>
          <cell r="B131">
            <v>37591</v>
          </cell>
          <cell r="C131" t="str">
            <v>JSOW</v>
          </cell>
          <cell r="D131" t="str">
            <v>JSOW</v>
          </cell>
          <cell r="E131">
            <v>1990</v>
          </cell>
          <cell r="F131">
            <v>-780.5</v>
          </cell>
          <cell r="G131">
            <v>-1586.4</v>
          </cell>
          <cell r="H131" t="str">
            <v>-</v>
          </cell>
          <cell r="I131" t="str">
            <v>-</v>
          </cell>
          <cell r="J131">
            <v>21.2</v>
          </cell>
          <cell r="K131">
            <v>43.5</v>
          </cell>
          <cell r="L131">
            <v>-636.70000000000005</v>
          </cell>
          <cell r="M131">
            <v>-1578.6</v>
          </cell>
          <cell r="N131" t="str">
            <v>-</v>
          </cell>
          <cell r="O131" t="str">
            <v>-</v>
          </cell>
          <cell r="P131">
            <v>9.1999999999999993</v>
          </cell>
          <cell r="Q131">
            <v>-170.1</v>
          </cell>
          <cell r="R131">
            <v>-1386.8</v>
          </cell>
          <cell r="S131">
            <v>-3291.6</v>
          </cell>
          <cell r="T131">
            <v>-72.900000000000006</v>
          </cell>
          <cell r="U131">
            <v>-521.70000000000005</v>
          </cell>
          <cell r="V131">
            <v>-1193.7</v>
          </cell>
          <cell r="W131">
            <v>-2546.1999999999998</v>
          </cell>
          <cell r="X131">
            <v>102.6</v>
          </cell>
          <cell r="Y131">
            <v>229</v>
          </cell>
          <cell r="Z131">
            <v>31.4</v>
          </cell>
          <cell r="AA131">
            <v>59.9</v>
          </cell>
          <cell r="AB131">
            <v>-998.3</v>
          </cell>
          <cell r="AC131">
            <v>-3165.1</v>
          </cell>
          <cell r="AD131" t="str">
            <v>-</v>
          </cell>
          <cell r="AE131" t="str">
            <v>-</v>
          </cell>
          <cell r="AF131">
            <v>16.600000000000001</v>
          </cell>
          <cell r="AG131">
            <v>-302.89999999999998</v>
          </cell>
          <cell r="AH131">
            <v>-2114.3000000000002</v>
          </cell>
          <cell r="AI131">
            <v>-6247</v>
          </cell>
        </row>
        <row r="132">
          <cell r="A132" t="str">
            <v>37591-LHD 1</v>
          </cell>
          <cell r="B132">
            <v>37591</v>
          </cell>
          <cell r="C132" t="str">
            <v>LHD 1</v>
          </cell>
          <cell r="D132" t="str">
            <v>LHD 1</v>
          </cell>
          <cell r="E132">
            <v>1982</v>
          </cell>
          <cell r="F132" t="str">
            <v>-</v>
          </cell>
          <cell r="G132">
            <v>4225.6000000000004</v>
          </cell>
          <cell r="H132" t="str">
            <v>-</v>
          </cell>
          <cell r="I132">
            <v>-89.3</v>
          </cell>
          <cell r="J132">
            <v>33.1</v>
          </cell>
          <cell r="K132">
            <v>61.8</v>
          </cell>
          <cell r="L132">
            <v>55.1</v>
          </cell>
          <cell r="M132">
            <v>192.8</v>
          </cell>
          <cell r="N132" t="str">
            <v>-</v>
          </cell>
          <cell r="O132" t="str">
            <v>-</v>
          </cell>
          <cell r="P132" t="str">
            <v>-</v>
          </cell>
          <cell r="Q132">
            <v>2.8</v>
          </cell>
          <cell r="R132">
            <v>88.2</v>
          </cell>
          <cell r="S132">
            <v>4393.7</v>
          </cell>
          <cell r="T132">
            <v>-34.1</v>
          </cell>
          <cell r="U132">
            <v>-1221.4000000000001</v>
          </cell>
          <cell r="V132" t="str">
            <v>-</v>
          </cell>
          <cell r="W132">
            <v>6952.9</v>
          </cell>
          <cell r="X132" t="str">
            <v>-</v>
          </cell>
          <cell r="Y132">
            <v>-902.5</v>
          </cell>
          <cell r="Z132">
            <v>54.3</v>
          </cell>
          <cell r="AA132">
            <v>94.8</v>
          </cell>
          <cell r="AB132">
            <v>92.8</v>
          </cell>
          <cell r="AC132">
            <v>509.2</v>
          </cell>
          <cell r="AD132" t="str">
            <v>-</v>
          </cell>
          <cell r="AE132" t="str">
            <v>-</v>
          </cell>
          <cell r="AF132" t="str">
            <v>-</v>
          </cell>
          <cell r="AG132" t="str">
            <v>-</v>
          </cell>
          <cell r="AH132">
            <v>113</v>
          </cell>
          <cell r="AI132">
            <v>5433</v>
          </cell>
        </row>
        <row r="133">
          <cell r="A133" t="str">
            <v>37591-LPD 17</v>
          </cell>
          <cell r="B133">
            <v>37591</v>
          </cell>
          <cell r="C133" t="str">
            <v>LPD 17</v>
          </cell>
          <cell r="D133" t="str">
            <v>LPD 17</v>
          </cell>
          <cell r="E133">
            <v>1996</v>
          </cell>
          <cell r="F133" t="str">
            <v>-</v>
          </cell>
          <cell r="G133" t="str">
            <v>-</v>
          </cell>
          <cell r="H133" t="str">
            <v>-</v>
          </cell>
          <cell r="I133">
            <v>315.7</v>
          </cell>
          <cell r="J133" t="str">
            <v>-</v>
          </cell>
          <cell r="K133" t="str">
            <v>-</v>
          </cell>
          <cell r="L133">
            <v>460.1</v>
          </cell>
          <cell r="M133">
            <v>4065.8</v>
          </cell>
          <cell r="N133" t="str">
            <v>-</v>
          </cell>
          <cell r="O133" t="str">
            <v>-</v>
          </cell>
          <cell r="P133" t="str">
            <v>-</v>
          </cell>
          <cell r="Q133" t="str">
            <v>-</v>
          </cell>
          <cell r="R133">
            <v>460.1</v>
          </cell>
          <cell r="S133">
            <v>4381.5</v>
          </cell>
          <cell r="T133">
            <v>-391.4</v>
          </cell>
          <cell r="U133">
            <v>-785.1</v>
          </cell>
          <cell r="V133" t="str">
            <v>-</v>
          </cell>
          <cell r="W133">
            <v>64.900000000000006</v>
          </cell>
          <cell r="X133">
            <v>65.900000000000006</v>
          </cell>
          <cell r="Y133">
            <v>761.4</v>
          </cell>
          <cell r="Z133" t="str">
            <v>-</v>
          </cell>
          <cell r="AA133" t="str">
            <v>-</v>
          </cell>
          <cell r="AB133">
            <v>556.4</v>
          </cell>
          <cell r="AC133">
            <v>4808.6000000000004</v>
          </cell>
          <cell r="AD133" t="str">
            <v>-</v>
          </cell>
          <cell r="AE133" t="str">
            <v>-</v>
          </cell>
          <cell r="AF133" t="str">
            <v>-</v>
          </cell>
          <cell r="AG133" t="str">
            <v>-</v>
          </cell>
          <cell r="AH133">
            <v>230.9</v>
          </cell>
          <cell r="AI133">
            <v>4849.8</v>
          </cell>
        </row>
        <row r="134">
          <cell r="A134" t="str">
            <v>37591-MH-60R</v>
          </cell>
          <cell r="B134">
            <v>37591</v>
          </cell>
          <cell r="C134" t="str">
            <v>MH-60R</v>
          </cell>
          <cell r="D134" t="str">
            <v>MH-60R</v>
          </cell>
          <cell r="E134">
            <v>1993</v>
          </cell>
          <cell r="F134" t="str">
            <v>-</v>
          </cell>
          <cell r="G134">
            <v>689</v>
          </cell>
          <cell r="H134">
            <v>-84.2</v>
          </cell>
          <cell r="I134">
            <v>-31.2</v>
          </cell>
          <cell r="J134">
            <v>562.6</v>
          </cell>
          <cell r="K134">
            <v>565.6</v>
          </cell>
          <cell r="L134">
            <v>48.2</v>
          </cell>
          <cell r="M134">
            <v>2339.8000000000002</v>
          </cell>
          <cell r="N134" t="str">
            <v>-</v>
          </cell>
          <cell r="O134" t="str">
            <v>-</v>
          </cell>
          <cell r="P134">
            <v>305.89999999999998</v>
          </cell>
          <cell r="Q134">
            <v>405</v>
          </cell>
          <cell r="R134">
            <v>832.5</v>
          </cell>
          <cell r="S134">
            <v>3968.2</v>
          </cell>
          <cell r="T134">
            <v>-166.1</v>
          </cell>
          <cell r="U134">
            <v>-731</v>
          </cell>
          <cell r="V134" t="str">
            <v>-</v>
          </cell>
          <cell r="W134">
            <v>928</v>
          </cell>
          <cell r="X134">
            <v>-326.3</v>
          </cell>
          <cell r="Y134">
            <v>110.4</v>
          </cell>
          <cell r="Z134">
            <v>717.1</v>
          </cell>
          <cell r="AA134">
            <v>716.7</v>
          </cell>
          <cell r="AB134">
            <v>34.799999999999997</v>
          </cell>
          <cell r="AC134">
            <v>2940.3</v>
          </cell>
          <cell r="AD134" t="str">
            <v>-</v>
          </cell>
          <cell r="AE134" t="str">
            <v>-</v>
          </cell>
          <cell r="AF134">
            <v>410.3</v>
          </cell>
          <cell r="AG134">
            <v>465.9</v>
          </cell>
          <cell r="AH134">
            <v>669.8</v>
          </cell>
          <cell r="AI134">
            <v>4430.3</v>
          </cell>
        </row>
        <row r="135">
          <cell r="A135" t="str">
            <v>37591-MH-60S</v>
          </cell>
          <cell r="B135">
            <v>37591</v>
          </cell>
          <cell r="C135" t="str">
            <v>MH-60S</v>
          </cell>
          <cell r="D135" t="str">
            <v>MH-60S</v>
          </cell>
          <cell r="E135">
            <v>1998</v>
          </cell>
          <cell r="F135" t="str">
            <v>-</v>
          </cell>
          <cell r="G135">
            <v>927.2</v>
          </cell>
          <cell r="H135" t="str">
            <v>-</v>
          </cell>
          <cell r="I135" t="str">
            <v>-</v>
          </cell>
          <cell r="J135">
            <v>279.3</v>
          </cell>
          <cell r="K135">
            <v>590.4</v>
          </cell>
          <cell r="L135">
            <v>156.69999999999999</v>
          </cell>
          <cell r="M135">
            <v>728.5</v>
          </cell>
          <cell r="N135" t="str">
            <v>-</v>
          </cell>
          <cell r="O135" t="str">
            <v>-</v>
          </cell>
          <cell r="P135">
            <v>220.4</v>
          </cell>
          <cell r="Q135">
            <v>344</v>
          </cell>
          <cell r="R135">
            <v>656.4</v>
          </cell>
          <cell r="S135">
            <v>2590.1</v>
          </cell>
          <cell r="T135">
            <v>-109</v>
          </cell>
          <cell r="U135">
            <v>-182.9</v>
          </cell>
          <cell r="V135" t="str">
            <v>-</v>
          </cell>
          <cell r="W135">
            <v>1156</v>
          </cell>
          <cell r="X135">
            <v>-1.1000000000000001</v>
          </cell>
          <cell r="Y135">
            <v>-0.2</v>
          </cell>
          <cell r="Z135">
            <v>319.2</v>
          </cell>
          <cell r="AA135">
            <v>677.8</v>
          </cell>
          <cell r="AB135">
            <v>184.7</v>
          </cell>
          <cell r="AC135">
            <v>826.2</v>
          </cell>
          <cell r="AD135" t="str">
            <v>-</v>
          </cell>
          <cell r="AE135" t="str">
            <v>-</v>
          </cell>
          <cell r="AF135">
            <v>250.9</v>
          </cell>
          <cell r="AG135">
            <v>401.3</v>
          </cell>
          <cell r="AH135">
            <v>644.70000000000005</v>
          </cell>
          <cell r="AI135">
            <v>2878.2</v>
          </cell>
        </row>
        <row r="136">
          <cell r="A136" t="str">
            <v>37591-MIDS-LVT</v>
          </cell>
          <cell r="B136">
            <v>37591</v>
          </cell>
          <cell r="C136" t="str">
            <v>MIDS-LVT</v>
          </cell>
          <cell r="D136" t="str">
            <v>MIDS-LVT</v>
          </cell>
          <cell r="E136">
            <v>1992</v>
          </cell>
          <cell r="F136">
            <v>96.8</v>
          </cell>
          <cell r="G136">
            <v>461.3</v>
          </cell>
          <cell r="H136" t="str">
            <v>-</v>
          </cell>
          <cell r="I136">
            <v>0.2</v>
          </cell>
          <cell r="J136">
            <v>11.5</v>
          </cell>
          <cell r="K136">
            <v>-20.7</v>
          </cell>
          <cell r="L136">
            <v>12.8</v>
          </cell>
          <cell r="M136">
            <v>166.4</v>
          </cell>
          <cell r="N136" t="str">
            <v>-</v>
          </cell>
          <cell r="O136" t="str">
            <v>-</v>
          </cell>
          <cell r="P136">
            <v>-22.1</v>
          </cell>
          <cell r="Q136">
            <v>-61.7</v>
          </cell>
          <cell r="R136">
            <v>99</v>
          </cell>
          <cell r="S136">
            <v>545.5</v>
          </cell>
          <cell r="T136">
            <v>-6.3</v>
          </cell>
          <cell r="U136">
            <v>-67.599999999999994</v>
          </cell>
          <cell r="V136">
            <v>105.3</v>
          </cell>
          <cell r="W136">
            <v>574.79999999999995</v>
          </cell>
          <cell r="X136">
            <v>19.899999999999999</v>
          </cell>
          <cell r="Y136">
            <v>40.5</v>
          </cell>
          <cell r="Z136">
            <v>7.8</v>
          </cell>
          <cell r="AA136">
            <v>-39.1</v>
          </cell>
          <cell r="AB136">
            <v>8.1999999999999993</v>
          </cell>
          <cell r="AC136">
            <v>178.1</v>
          </cell>
          <cell r="AD136" t="str">
            <v>-</v>
          </cell>
          <cell r="AE136" t="str">
            <v>-</v>
          </cell>
          <cell r="AF136">
            <v>-30.1</v>
          </cell>
          <cell r="AG136">
            <v>-79.7</v>
          </cell>
          <cell r="AH136">
            <v>104.8</v>
          </cell>
          <cell r="AI136">
            <v>607</v>
          </cell>
        </row>
        <row r="137">
          <cell r="A137" t="str">
            <v>37591-NESP</v>
          </cell>
          <cell r="B137">
            <v>37591</v>
          </cell>
          <cell r="C137" t="str">
            <v>NESP</v>
          </cell>
          <cell r="D137" t="str">
            <v>NESP</v>
          </cell>
          <cell r="E137">
            <v>1990</v>
          </cell>
          <cell r="F137">
            <v>36</v>
          </cell>
          <cell r="G137">
            <v>184.6</v>
          </cell>
          <cell r="H137">
            <v>-0.1</v>
          </cell>
          <cell r="I137">
            <v>15.1</v>
          </cell>
          <cell r="J137" t="str">
            <v>-</v>
          </cell>
          <cell r="K137">
            <v>48.1</v>
          </cell>
          <cell r="L137">
            <v>20.100000000000001</v>
          </cell>
          <cell r="M137">
            <v>-210.8</v>
          </cell>
          <cell r="N137" t="str">
            <v>-</v>
          </cell>
          <cell r="O137" t="str">
            <v>-</v>
          </cell>
          <cell r="P137">
            <v>-1.4</v>
          </cell>
          <cell r="Q137">
            <v>-111.7</v>
          </cell>
          <cell r="R137">
            <v>54.6</v>
          </cell>
          <cell r="S137">
            <v>-74.7</v>
          </cell>
          <cell r="T137">
            <v>-6.1</v>
          </cell>
          <cell r="U137">
            <v>-195</v>
          </cell>
          <cell r="V137">
            <v>50</v>
          </cell>
          <cell r="W137">
            <v>223.9</v>
          </cell>
          <cell r="X137">
            <v>1.7</v>
          </cell>
          <cell r="Y137">
            <v>40.4</v>
          </cell>
          <cell r="Z137" t="str">
            <v>-</v>
          </cell>
          <cell r="AA137">
            <v>69.2</v>
          </cell>
          <cell r="AB137">
            <v>25.5</v>
          </cell>
          <cell r="AC137">
            <v>-282.10000000000002</v>
          </cell>
          <cell r="AD137" t="str">
            <v>-</v>
          </cell>
          <cell r="AE137" t="str">
            <v>-</v>
          </cell>
          <cell r="AF137">
            <v>-1.3</v>
          </cell>
          <cell r="AG137">
            <v>-167</v>
          </cell>
          <cell r="AH137">
            <v>69.8</v>
          </cell>
          <cell r="AI137">
            <v>-310.60000000000002</v>
          </cell>
        </row>
        <row r="138">
          <cell r="A138" t="str">
            <v>37591-SM-2</v>
          </cell>
          <cell r="B138">
            <v>37591</v>
          </cell>
          <cell r="C138" t="str">
            <v>SM 2</v>
          </cell>
          <cell r="D138" t="str">
            <v>SM-2</v>
          </cell>
          <cell r="E138">
            <v>1984</v>
          </cell>
          <cell r="F138" t="str">
            <v>-</v>
          </cell>
          <cell r="G138">
            <v>-1455.6</v>
          </cell>
          <cell r="H138">
            <v>169.8</v>
          </cell>
          <cell r="I138">
            <v>525.70000000000005</v>
          </cell>
          <cell r="J138">
            <v>19</v>
          </cell>
          <cell r="K138">
            <v>238</v>
          </cell>
          <cell r="L138">
            <v>48.1</v>
          </cell>
          <cell r="M138">
            <v>318.60000000000002</v>
          </cell>
          <cell r="N138" t="str">
            <v>-</v>
          </cell>
          <cell r="O138" t="str">
            <v>-</v>
          </cell>
          <cell r="P138">
            <v>200.8</v>
          </cell>
          <cell r="Q138">
            <v>280.7</v>
          </cell>
          <cell r="R138">
            <v>437.7</v>
          </cell>
          <cell r="S138">
            <v>-92.6</v>
          </cell>
          <cell r="T138">
            <v>-41.6</v>
          </cell>
          <cell r="U138">
            <v>-1006.4</v>
          </cell>
          <cell r="V138" t="str">
            <v>-</v>
          </cell>
          <cell r="W138">
            <v>-2767.3</v>
          </cell>
          <cell r="X138">
            <v>300.2</v>
          </cell>
          <cell r="Y138">
            <v>1898.7</v>
          </cell>
          <cell r="Z138">
            <v>30.5</v>
          </cell>
          <cell r="AA138">
            <v>365.4</v>
          </cell>
          <cell r="AB138">
            <v>128.19999999999999</v>
          </cell>
          <cell r="AC138">
            <v>917.4</v>
          </cell>
          <cell r="AD138" t="str">
            <v>-</v>
          </cell>
          <cell r="AE138" t="str">
            <v>-</v>
          </cell>
          <cell r="AF138">
            <v>357.6</v>
          </cell>
          <cell r="AG138">
            <v>374.9</v>
          </cell>
          <cell r="AH138">
            <v>774.9</v>
          </cell>
          <cell r="AI138">
            <v>-217.3</v>
          </cell>
        </row>
        <row r="139">
          <cell r="A139" t="str">
            <v>37591-SSN 774</v>
          </cell>
          <cell r="B139">
            <v>37591</v>
          </cell>
          <cell r="C139" t="str">
            <v>SSN 774 (VA CLASS)</v>
          </cell>
          <cell r="D139" t="str">
            <v>SSN 774</v>
          </cell>
          <cell r="E139">
            <v>1995</v>
          </cell>
          <cell r="F139" t="str">
            <v>-</v>
          </cell>
          <cell r="G139" t="str">
            <v>-</v>
          </cell>
          <cell r="H139" t="str">
            <v>-</v>
          </cell>
          <cell r="I139">
            <v>88.6</v>
          </cell>
          <cell r="J139" t="str">
            <v>-</v>
          </cell>
          <cell r="K139">
            <v>956</v>
          </cell>
          <cell r="L139">
            <v>5922.1</v>
          </cell>
          <cell r="M139">
            <v>17135.400000000001</v>
          </cell>
          <cell r="N139" t="str">
            <v>-</v>
          </cell>
          <cell r="O139">
            <v>216.3</v>
          </cell>
          <cell r="P139">
            <v>355.7</v>
          </cell>
          <cell r="Q139">
            <v>718.1</v>
          </cell>
          <cell r="R139">
            <v>6277.8</v>
          </cell>
          <cell r="S139">
            <v>19114.400000000001</v>
          </cell>
          <cell r="T139">
            <v>-1184.3</v>
          </cell>
          <cell r="U139">
            <v>-14716.3</v>
          </cell>
          <cell r="V139" t="str">
            <v>-</v>
          </cell>
          <cell r="W139" t="str">
            <v>-</v>
          </cell>
          <cell r="X139">
            <v>815</v>
          </cell>
          <cell r="Y139">
            <v>2168.1</v>
          </cell>
          <cell r="Z139" t="str">
            <v>-</v>
          </cell>
          <cell r="AA139">
            <v>1272.3</v>
          </cell>
          <cell r="AB139">
            <v>8225.7000000000007</v>
          </cell>
          <cell r="AC139">
            <v>20771.3</v>
          </cell>
          <cell r="AD139" t="str">
            <v>-</v>
          </cell>
          <cell r="AE139">
            <v>280</v>
          </cell>
          <cell r="AF139">
            <v>495.7</v>
          </cell>
          <cell r="AG139">
            <v>936</v>
          </cell>
          <cell r="AH139">
            <v>8352.1</v>
          </cell>
          <cell r="AI139">
            <v>10711.4</v>
          </cell>
        </row>
        <row r="140">
          <cell r="A140" t="str">
            <v>37591-T-45TS</v>
          </cell>
          <cell r="B140">
            <v>37591</v>
          </cell>
          <cell r="C140" t="str">
            <v>T-45TS</v>
          </cell>
          <cell r="D140" t="str">
            <v>T-45TS</v>
          </cell>
          <cell r="E140">
            <v>1995</v>
          </cell>
          <cell r="F140">
            <v>477.8</v>
          </cell>
          <cell r="G140">
            <v>595.4</v>
          </cell>
          <cell r="H140" t="str">
            <v>-</v>
          </cell>
          <cell r="I140">
            <v>-65.900000000000006</v>
          </cell>
          <cell r="J140" t="str">
            <v>-</v>
          </cell>
          <cell r="K140">
            <v>31.5</v>
          </cell>
          <cell r="L140">
            <v>58.1</v>
          </cell>
          <cell r="M140">
            <v>267.7</v>
          </cell>
          <cell r="N140" t="str">
            <v>-</v>
          </cell>
          <cell r="O140" t="str">
            <v>-</v>
          </cell>
          <cell r="P140">
            <v>105.9</v>
          </cell>
          <cell r="Q140">
            <v>-10.8</v>
          </cell>
          <cell r="R140">
            <v>641.79999999999995</v>
          </cell>
          <cell r="S140">
            <v>817.9</v>
          </cell>
          <cell r="T140">
            <v>-12.6</v>
          </cell>
          <cell r="U140">
            <v>1.9</v>
          </cell>
          <cell r="V140">
            <v>554</v>
          </cell>
          <cell r="W140">
            <v>617.6</v>
          </cell>
          <cell r="X140" t="str">
            <v>-</v>
          </cell>
          <cell r="Y140">
            <v>-151.4</v>
          </cell>
          <cell r="Z140" t="str">
            <v>-</v>
          </cell>
          <cell r="AA140">
            <v>23.5</v>
          </cell>
          <cell r="AB140">
            <v>73.3</v>
          </cell>
          <cell r="AC140">
            <v>254.8</v>
          </cell>
          <cell r="AD140" t="str">
            <v>-</v>
          </cell>
          <cell r="AE140" t="str">
            <v>-</v>
          </cell>
          <cell r="AF140">
            <v>124.6</v>
          </cell>
          <cell r="AG140">
            <v>-37</v>
          </cell>
          <cell r="AH140">
            <v>739.3</v>
          </cell>
          <cell r="AI140">
            <v>709.4</v>
          </cell>
        </row>
        <row r="141">
          <cell r="A141" t="str">
            <v>37591-T-AKE</v>
          </cell>
          <cell r="B141">
            <v>37591</v>
          </cell>
          <cell r="C141" t="str">
            <v>T-AKE</v>
          </cell>
          <cell r="D141" t="str">
            <v>T-AKE</v>
          </cell>
          <cell r="E141">
            <v>2000</v>
          </cell>
          <cell r="F141">
            <v>-326.7</v>
          </cell>
          <cell r="G141">
            <v>-326.7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>
            <v>34.6</v>
          </cell>
          <cell r="M141">
            <v>72.2</v>
          </cell>
          <cell r="N141" t="str">
            <v>-</v>
          </cell>
          <cell r="O141" t="str">
            <v>-</v>
          </cell>
          <cell r="P141" t="str">
            <v>-</v>
          </cell>
          <cell r="Q141" t="str">
            <v>-</v>
          </cell>
          <cell r="R141">
            <v>-292.10000000000002</v>
          </cell>
          <cell r="S141">
            <v>-254.5</v>
          </cell>
          <cell r="T141">
            <v>-105.3</v>
          </cell>
          <cell r="U141">
            <v>-153.9</v>
          </cell>
          <cell r="V141">
            <v>-398.8</v>
          </cell>
          <cell r="W141">
            <v>-398.8</v>
          </cell>
          <cell r="X141">
            <v>-19.8</v>
          </cell>
          <cell r="Y141">
            <v>4.3</v>
          </cell>
          <cell r="Z141" t="str">
            <v>-</v>
          </cell>
          <cell r="AA141" t="str">
            <v>-</v>
          </cell>
          <cell r="AB141">
            <v>41</v>
          </cell>
          <cell r="AC141">
            <v>80.900000000000006</v>
          </cell>
          <cell r="AD141" t="str">
            <v>-</v>
          </cell>
          <cell r="AE141" t="str">
            <v>-</v>
          </cell>
          <cell r="AF141" t="str">
            <v>-</v>
          </cell>
          <cell r="AG141" t="str">
            <v>-</v>
          </cell>
          <cell r="AH141">
            <v>-482.9</v>
          </cell>
          <cell r="AI141">
            <v>-467.5</v>
          </cell>
        </row>
        <row r="142">
          <cell r="A142" t="str">
            <v>37591-TACTICAL TOMAHAWK</v>
          </cell>
          <cell r="B142">
            <v>37591</v>
          </cell>
          <cell r="C142" t="str">
            <v>TACTICAL TOMAHAWK</v>
          </cell>
          <cell r="D142" t="str">
            <v>TACTICAL TOMAHAWK</v>
          </cell>
          <cell r="E142">
            <v>1999</v>
          </cell>
          <cell r="F142">
            <v>381.8</v>
          </cell>
          <cell r="G142">
            <v>587.70000000000005</v>
          </cell>
          <cell r="H142">
            <v>152.69999999999999</v>
          </cell>
          <cell r="I142">
            <v>211.6</v>
          </cell>
          <cell r="J142" t="str">
            <v>-</v>
          </cell>
          <cell r="K142" t="str">
            <v>-</v>
          </cell>
          <cell r="L142">
            <v>237.8</v>
          </cell>
          <cell r="M142">
            <v>208.4</v>
          </cell>
          <cell r="N142" t="str">
            <v>-</v>
          </cell>
          <cell r="O142" t="str">
            <v>-</v>
          </cell>
          <cell r="P142">
            <v>-105.5</v>
          </cell>
          <cell r="Q142">
            <v>-27.8</v>
          </cell>
          <cell r="R142">
            <v>666.8</v>
          </cell>
          <cell r="S142">
            <v>979.9</v>
          </cell>
          <cell r="T142">
            <v>4.5999999999999996</v>
          </cell>
          <cell r="U142">
            <v>-40.9</v>
          </cell>
          <cell r="V142">
            <v>450.4</v>
          </cell>
          <cell r="W142">
            <v>686.7</v>
          </cell>
          <cell r="X142">
            <v>285.7</v>
          </cell>
          <cell r="Y142">
            <v>352.3</v>
          </cell>
          <cell r="Z142" t="str">
            <v>-</v>
          </cell>
          <cell r="AA142" t="str">
            <v>-</v>
          </cell>
          <cell r="AB142">
            <v>39.700000000000003</v>
          </cell>
          <cell r="AC142">
            <v>-2.9</v>
          </cell>
          <cell r="AD142" t="str">
            <v>-</v>
          </cell>
          <cell r="AE142" t="str">
            <v>-</v>
          </cell>
          <cell r="AF142">
            <v>8.6</v>
          </cell>
          <cell r="AG142">
            <v>100.3</v>
          </cell>
          <cell r="AH142">
            <v>789</v>
          </cell>
          <cell r="AI142">
            <v>1095.5</v>
          </cell>
        </row>
        <row r="143">
          <cell r="A143" t="str">
            <v>37591-TRIDENT II</v>
          </cell>
          <cell r="B143">
            <v>37591</v>
          </cell>
          <cell r="C143" t="str">
            <v>TRIDENT II MSL</v>
          </cell>
          <cell r="D143" t="str">
            <v>TRIDENT II</v>
          </cell>
          <cell r="E143">
            <v>1983</v>
          </cell>
          <cell r="F143" t="str">
            <v>-</v>
          </cell>
          <cell r="G143">
            <v>-3863.2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>
            <v>-6.4</v>
          </cell>
          <cell r="M143">
            <v>2470.6</v>
          </cell>
          <cell r="N143" t="str">
            <v>-</v>
          </cell>
          <cell r="O143" t="str">
            <v>-</v>
          </cell>
          <cell r="P143">
            <v>64.900000000000006</v>
          </cell>
          <cell r="Q143">
            <v>838.5</v>
          </cell>
          <cell r="R143">
            <v>58.5</v>
          </cell>
          <cell r="S143">
            <v>-554.1</v>
          </cell>
          <cell r="T143">
            <v>-372.1</v>
          </cell>
          <cell r="U143">
            <v>-785.2</v>
          </cell>
          <cell r="V143" t="str">
            <v>-</v>
          </cell>
          <cell r="W143">
            <v>-6492.7</v>
          </cell>
          <cell r="X143" t="str">
            <v>-</v>
          </cell>
          <cell r="Y143">
            <v>1837.7</v>
          </cell>
          <cell r="Z143" t="str">
            <v>-</v>
          </cell>
          <cell r="AA143" t="str">
            <v>-</v>
          </cell>
          <cell r="AB143">
            <v>-1.3</v>
          </cell>
          <cell r="AC143">
            <v>5237</v>
          </cell>
          <cell r="AD143" t="str">
            <v>-</v>
          </cell>
          <cell r="AE143" t="str">
            <v>-</v>
          </cell>
          <cell r="AF143">
            <v>126.2</v>
          </cell>
          <cell r="AG143">
            <v>1981.4</v>
          </cell>
          <cell r="AH143">
            <v>-247.2</v>
          </cell>
          <cell r="AI143">
            <v>1778.2</v>
          </cell>
        </row>
        <row r="144">
          <cell r="A144" t="str">
            <v>37591-H-1 Upgrades</v>
          </cell>
          <cell r="B144">
            <v>37591</v>
          </cell>
          <cell r="C144" t="str">
            <v>USMC H-1 UPGRADES</v>
          </cell>
          <cell r="D144" t="str">
            <v>H-1 Upgrades</v>
          </cell>
          <cell r="E144">
            <v>1996</v>
          </cell>
          <cell r="F144" t="str">
            <v>-</v>
          </cell>
          <cell r="G144" t="str">
            <v>-</v>
          </cell>
          <cell r="H144">
            <v>5.3</v>
          </cell>
          <cell r="I144">
            <v>33.1</v>
          </cell>
          <cell r="J144">
            <v>21.4</v>
          </cell>
          <cell r="K144">
            <v>381.4</v>
          </cell>
          <cell r="L144">
            <v>501.6</v>
          </cell>
          <cell r="M144">
            <v>1982.2</v>
          </cell>
          <cell r="N144" t="str">
            <v>-</v>
          </cell>
          <cell r="O144" t="str">
            <v>-</v>
          </cell>
          <cell r="P144">
            <v>-93.6</v>
          </cell>
          <cell r="Q144">
            <v>388.7</v>
          </cell>
          <cell r="R144">
            <v>434.7</v>
          </cell>
          <cell r="S144">
            <v>2785.4</v>
          </cell>
          <cell r="T144">
            <v>-146.1</v>
          </cell>
          <cell r="U144">
            <v>-390.5</v>
          </cell>
          <cell r="V144" t="str">
            <v>-</v>
          </cell>
          <cell r="W144" t="str">
            <v>-</v>
          </cell>
          <cell r="X144">
            <v>78.8</v>
          </cell>
          <cell r="Y144">
            <v>197.1</v>
          </cell>
          <cell r="Z144">
            <v>27</v>
          </cell>
          <cell r="AA144">
            <v>457.7</v>
          </cell>
          <cell r="AB144">
            <v>621.9</v>
          </cell>
          <cell r="AC144">
            <v>2416.1</v>
          </cell>
          <cell r="AD144" t="str">
            <v>-</v>
          </cell>
          <cell r="AE144" t="str">
            <v>-</v>
          </cell>
          <cell r="AF144">
            <v>-95</v>
          </cell>
          <cell r="AG144">
            <v>493.3</v>
          </cell>
          <cell r="AH144">
            <v>486.6</v>
          </cell>
          <cell r="AI144">
            <v>3173.7</v>
          </cell>
        </row>
        <row r="145">
          <cell r="A145" t="str">
            <v>37591-V-22</v>
          </cell>
          <cell r="B145">
            <v>37591</v>
          </cell>
          <cell r="C145" t="str">
            <v>V-22</v>
          </cell>
          <cell r="D145" t="str">
            <v>V-22</v>
          </cell>
          <cell r="E145">
            <v>1986</v>
          </cell>
          <cell r="F145" t="str">
            <v>-</v>
          </cell>
          <cell r="G145">
            <v>-456.2</v>
          </cell>
          <cell r="H145" t="str">
            <v>-</v>
          </cell>
          <cell r="I145">
            <v>-383.6</v>
          </cell>
          <cell r="J145">
            <v>637.79999999999995</v>
          </cell>
          <cell r="K145">
            <v>1474.8</v>
          </cell>
          <cell r="L145">
            <v>876.8</v>
          </cell>
          <cell r="M145">
            <v>8272.9</v>
          </cell>
          <cell r="N145" t="str">
            <v>-</v>
          </cell>
          <cell r="O145" t="str">
            <v>-</v>
          </cell>
          <cell r="P145">
            <v>213.9</v>
          </cell>
          <cell r="Q145">
            <v>-747.7</v>
          </cell>
          <cell r="R145">
            <v>1728.5</v>
          </cell>
          <cell r="S145">
            <v>8160.2</v>
          </cell>
          <cell r="T145">
            <v>-921</v>
          </cell>
          <cell r="U145">
            <v>-7038.6</v>
          </cell>
          <cell r="V145" t="str">
            <v>-</v>
          </cell>
          <cell r="W145">
            <v>11818.9</v>
          </cell>
          <cell r="X145">
            <v>56.5</v>
          </cell>
          <cell r="Y145">
            <v>-2726.8</v>
          </cell>
          <cell r="Z145">
            <v>1064</v>
          </cell>
          <cell r="AA145">
            <v>2352.5</v>
          </cell>
          <cell r="AB145">
            <v>1490.8</v>
          </cell>
          <cell r="AC145">
            <v>12978.6</v>
          </cell>
          <cell r="AD145" t="str">
            <v>-</v>
          </cell>
          <cell r="AE145" t="str">
            <v>-</v>
          </cell>
          <cell r="AF145">
            <v>331.6</v>
          </cell>
          <cell r="AG145">
            <v>1215.8</v>
          </cell>
          <cell r="AH145">
            <v>2021.9</v>
          </cell>
          <cell r="AI145">
            <v>18600.400000000001</v>
          </cell>
        </row>
        <row r="146">
          <cell r="A146" t="str">
            <v>37591-Navy Subtotal</v>
          </cell>
          <cell r="B146">
            <v>37591</v>
          </cell>
          <cell r="C146" t="str">
            <v>Navy Subtotal</v>
          </cell>
          <cell r="D146" t="str">
            <v>Navy Subtotal</v>
          </cell>
          <cell r="F146">
            <v>-1028.0999999999999</v>
          </cell>
          <cell r="G146">
            <v>25488.6</v>
          </cell>
          <cell r="H146">
            <v>343.4</v>
          </cell>
          <cell r="I146">
            <v>1547.4</v>
          </cell>
          <cell r="J146">
            <v>3173</v>
          </cell>
          <cell r="K146">
            <v>13118.1</v>
          </cell>
          <cell r="L146">
            <v>8476.2999999999993</v>
          </cell>
          <cell r="M146">
            <v>46085.599999999999</v>
          </cell>
          <cell r="N146" t="str">
            <v>-</v>
          </cell>
          <cell r="O146">
            <v>456.2</v>
          </cell>
          <cell r="P146">
            <v>2048.8000000000002</v>
          </cell>
          <cell r="Q146">
            <v>3184.4</v>
          </cell>
          <cell r="R146">
            <v>13013.4</v>
          </cell>
          <cell r="S146">
            <v>89880.3</v>
          </cell>
          <cell r="T146">
            <v>-5590</v>
          </cell>
          <cell r="U146">
            <v>-36177.1</v>
          </cell>
          <cell r="V146">
            <v>-1948.5</v>
          </cell>
          <cell r="W146">
            <v>48709.599999999999</v>
          </cell>
          <cell r="X146">
            <v>1688</v>
          </cell>
          <cell r="Y146">
            <v>6369.9</v>
          </cell>
          <cell r="Z146">
            <v>4104.2</v>
          </cell>
          <cell r="AA146">
            <v>16789.400000000001</v>
          </cell>
          <cell r="AB146">
            <v>10960.1</v>
          </cell>
          <cell r="AC146">
            <v>62385</v>
          </cell>
          <cell r="AD146" t="str">
            <v>-</v>
          </cell>
          <cell r="AE146">
            <v>546.1</v>
          </cell>
          <cell r="AF146">
            <v>3021.1</v>
          </cell>
          <cell r="AG146">
            <v>6915.6</v>
          </cell>
          <cell r="AH146">
            <v>12234.9</v>
          </cell>
          <cell r="AI146">
            <v>105538.5</v>
          </cell>
        </row>
        <row r="148">
          <cell r="C148" t="str">
            <v>AIR FORCE</v>
          </cell>
        </row>
        <row r="149">
          <cell r="A149" t="str">
            <v>37591-AEHF</v>
          </cell>
          <cell r="B149">
            <v>37591</v>
          </cell>
          <cell r="C149" t="str">
            <v xml:space="preserve">AEHF </v>
          </cell>
          <cell r="D149" t="str">
            <v>AEHF</v>
          </cell>
          <cell r="E149">
            <v>2002</v>
          </cell>
          <cell r="F149">
            <v>-849</v>
          </cell>
          <cell r="G149">
            <v>-849</v>
          </cell>
          <cell r="H149" t="str">
            <v>-</v>
          </cell>
          <cell r="I149">
            <v>106.6</v>
          </cell>
          <cell r="J149" t="str">
            <v>-</v>
          </cell>
          <cell r="K149" t="str">
            <v>-</v>
          </cell>
          <cell r="L149">
            <v>296.39999999999998</v>
          </cell>
          <cell r="M149">
            <v>159.9</v>
          </cell>
          <cell r="N149" t="str">
            <v>-</v>
          </cell>
          <cell r="O149" t="str">
            <v>-</v>
          </cell>
          <cell r="P149">
            <v>23.9</v>
          </cell>
          <cell r="Q149">
            <v>23.9</v>
          </cell>
          <cell r="R149">
            <v>-528.70000000000005</v>
          </cell>
          <cell r="S149">
            <v>-558.6</v>
          </cell>
          <cell r="T149">
            <v>31.2</v>
          </cell>
          <cell r="U149">
            <v>-135.30000000000001</v>
          </cell>
          <cell r="V149">
            <v>-969.3</v>
          </cell>
          <cell r="W149">
            <v>-969.3</v>
          </cell>
          <cell r="X149">
            <v>12.9</v>
          </cell>
          <cell r="Y149">
            <v>86</v>
          </cell>
          <cell r="Z149" t="str">
            <v>-</v>
          </cell>
          <cell r="AA149" t="str">
            <v>-</v>
          </cell>
          <cell r="AB149">
            <v>316.2</v>
          </cell>
          <cell r="AC149">
            <v>263.2</v>
          </cell>
          <cell r="AD149" t="str">
            <v>-</v>
          </cell>
          <cell r="AE149" t="str">
            <v>-</v>
          </cell>
          <cell r="AF149">
            <v>27</v>
          </cell>
          <cell r="AG149">
            <v>27</v>
          </cell>
          <cell r="AH149">
            <v>-644.4</v>
          </cell>
          <cell r="AI149">
            <v>-728.4</v>
          </cell>
        </row>
        <row r="150">
          <cell r="A150" t="str">
            <v>37591-AMRAAM</v>
          </cell>
          <cell r="B150">
            <v>37591</v>
          </cell>
          <cell r="C150" t="str">
            <v>AMRAAM</v>
          </cell>
          <cell r="D150" t="str">
            <v>AMRAAM</v>
          </cell>
          <cell r="E150">
            <v>1992</v>
          </cell>
          <cell r="F150">
            <v>35.1</v>
          </cell>
          <cell r="G150">
            <v>-1930</v>
          </cell>
          <cell r="H150" t="str">
            <v>-</v>
          </cell>
          <cell r="I150">
            <v>783.8</v>
          </cell>
          <cell r="J150">
            <v>208.2</v>
          </cell>
          <cell r="K150">
            <v>659.6</v>
          </cell>
          <cell r="L150">
            <v>17.7</v>
          </cell>
          <cell r="M150">
            <v>-1227.8</v>
          </cell>
          <cell r="N150" t="str">
            <v>-</v>
          </cell>
          <cell r="O150" t="str">
            <v>-</v>
          </cell>
          <cell r="P150">
            <v>9.6</v>
          </cell>
          <cell r="Q150">
            <v>-20.5</v>
          </cell>
          <cell r="R150">
            <v>270.60000000000002</v>
          </cell>
          <cell r="S150">
            <v>-1734.9</v>
          </cell>
          <cell r="T150">
            <v>-25.2</v>
          </cell>
          <cell r="U150">
            <v>-408</v>
          </cell>
          <cell r="V150">
            <v>46.1</v>
          </cell>
          <cell r="W150">
            <v>-2931</v>
          </cell>
          <cell r="X150">
            <v>2.6</v>
          </cell>
          <cell r="Y150">
            <v>1772.7</v>
          </cell>
          <cell r="Z150">
            <v>273.8</v>
          </cell>
          <cell r="AA150">
            <v>845.7</v>
          </cell>
          <cell r="AB150">
            <v>21.5</v>
          </cell>
          <cell r="AC150">
            <v>-1689.6</v>
          </cell>
          <cell r="AD150" t="str">
            <v>-</v>
          </cell>
          <cell r="AE150" t="str">
            <v>-</v>
          </cell>
          <cell r="AF150">
            <v>14.4</v>
          </cell>
          <cell r="AG150">
            <v>15.2</v>
          </cell>
          <cell r="AH150">
            <v>333.2</v>
          </cell>
          <cell r="AI150">
            <v>-2395</v>
          </cell>
        </row>
        <row r="151">
          <cell r="A151" t="str">
            <v>37591-AWACS Upgrade</v>
          </cell>
          <cell r="B151">
            <v>37591</v>
          </cell>
          <cell r="C151" t="str">
            <v>AWACS RSIP (E-3)</v>
          </cell>
          <cell r="D151" t="str">
            <v>AWACS Upgrade</v>
          </cell>
          <cell r="E151">
            <v>1997</v>
          </cell>
          <cell r="F151" t="str">
            <v>-</v>
          </cell>
          <cell r="G151" t="str">
            <v>-</v>
          </cell>
          <cell r="H151" t="str">
            <v>-</v>
          </cell>
          <cell r="I151">
            <v>22.2</v>
          </cell>
          <cell r="J151" t="str">
            <v>-</v>
          </cell>
          <cell r="K151" t="str">
            <v>-</v>
          </cell>
          <cell r="L151">
            <v>1.8</v>
          </cell>
          <cell r="M151">
            <v>-5.3</v>
          </cell>
          <cell r="N151" t="str">
            <v>-</v>
          </cell>
          <cell r="O151" t="str">
            <v>-</v>
          </cell>
          <cell r="P151">
            <v>-0.8</v>
          </cell>
          <cell r="Q151">
            <v>110.2</v>
          </cell>
          <cell r="R151">
            <v>1</v>
          </cell>
          <cell r="S151">
            <v>127.1</v>
          </cell>
          <cell r="T151">
            <v>-4.2</v>
          </cell>
          <cell r="U151">
            <v>-23.2</v>
          </cell>
          <cell r="V151" t="str">
            <v>-</v>
          </cell>
          <cell r="W151" t="str">
            <v>-</v>
          </cell>
          <cell r="X151" t="str">
            <v>-</v>
          </cell>
          <cell r="Y151">
            <v>24.9</v>
          </cell>
          <cell r="Z151" t="str">
            <v>-</v>
          </cell>
          <cell r="AA151" t="str">
            <v>-</v>
          </cell>
          <cell r="AB151">
            <v>2</v>
          </cell>
          <cell r="AC151">
            <v>-8.8000000000000007</v>
          </cell>
          <cell r="AD151" t="str">
            <v>-</v>
          </cell>
          <cell r="AE151" t="str">
            <v>-</v>
          </cell>
          <cell r="AF151">
            <v>-0.8</v>
          </cell>
          <cell r="AG151">
            <v>119.1</v>
          </cell>
          <cell r="AH151">
            <v>-3</v>
          </cell>
          <cell r="AI151">
            <v>112</v>
          </cell>
        </row>
        <row r="152">
          <cell r="A152" t="str">
            <v>37591-B-1B CMUP</v>
          </cell>
          <cell r="B152">
            <v>37591</v>
          </cell>
          <cell r="C152" t="str">
            <v>B-1B CMUP</v>
          </cell>
          <cell r="D152" t="str">
            <v>B-1B CMUP</v>
          </cell>
          <cell r="E152">
            <v>1995</v>
          </cell>
          <cell r="F152">
            <v>-155.6</v>
          </cell>
          <cell r="G152">
            <v>-328.1</v>
          </cell>
          <cell r="H152" t="str">
            <v>-</v>
          </cell>
          <cell r="I152">
            <v>105</v>
          </cell>
          <cell r="J152" t="str">
            <v>-</v>
          </cell>
          <cell r="K152">
            <v>-10.9</v>
          </cell>
          <cell r="L152">
            <v>-259.7</v>
          </cell>
          <cell r="M152">
            <v>280.60000000000002</v>
          </cell>
          <cell r="N152" t="str">
            <v>-</v>
          </cell>
          <cell r="O152">
            <v>18.7</v>
          </cell>
          <cell r="P152">
            <v>-35.299999999999997</v>
          </cell>
          <cell r="Q152">
            <v>-30</v>
          </cell>
          <cell r="R152">
            <v>-450.6</v>
          </cell>
          <cell r="S152">
            <v>35.299999999999997</v>
          </cell>
          <cell r="T152">
            <v>16.7</v>
          </cell>
          <cell r="U152">
            <v>-71.2</v>
          </cell>
          <cell r="V152">
            <v>-215.3</v>
          </cell>
          <cell r="W152">
            <v>-431.1</v>
          </cell>
          <cell r="X152">
            <v>-9.3000000000000007</v>
          </cell>
          <cell r="Y152">
            <v>122.6</v>
          </cell>
          <cell r="Z152" t="str">
            <v>-</v>
          </cell>
          <cell r="AA152">
            <v>-11.1</v>
          </cell>
          <cell r="AB152">
            <v>-293.10000000000002</v>
          </cell>
          <cell r="AC152">
            <v>328.3</v>
          </cell>
          <cell r="AD152" t="str">
            <v>-</v>
          </cell>
          <cell r="AE152">
            <v>20.7</v>
          </cell>
          <cell r="AF152">
            <v>-45.4</v>
          </cell>
          <cell r="AG152">
            <v>-38.4</v>
          </cell>
          <cell r="AH152">
            <v>-546.4</v>
          </cell>
          <cell r="AI152">
            <v>-80.2</v>
          </cell>
        </row>
        <row r="153">
          <cell r="A153" t="str">
            <v>37591-C-130AMP</v>
          </cell>
          <cell r="B153">
            <v>37591</v>
          </cell>
          <cell r="C153" t="str">
            <v>C-130 AMP</v>
          </cell>
          <cell r="D153" t="str">
            <v>C-130AMP</v>
          </cell>
          <cell r="E153">
            <v>2000</v>
          </cell>
          <cell r="F153">
            <v>-112.4</v>
          </cell>
          <cell r="G153">
            <v>-112.4</v>
          </cell>
          <cell r="H153">
            <v>99.4</v>
          </cell>
          <cell r="I153">
            <v>99.4</v>
          </cell>
          <cell r="J153" t="str">
            <v>-</v>
          </cell>
          <cell r="K153" t="str">
            <v>-</v>
          </cell>
          <cell r="L153">
            <v>136.5</v>
          </cell>
          <cell r="M153">
            <v>568.5</v>
          </cell>
          <cell r="N153" t="str">
            <v>-</v>
          </cell>
          <cell r="O153" t="str">
            <v>-</v>
          </cell>
          <cell r="P153" t="str">
            <v>-</v>
          </cell>
          <cell r="Q153">
            <v>3.5</v>
          </cell>
          <cell r="R153">
            <v>123.5</v>
          </cell>
          <cell r="S153">
            <v>559</v>
          </cell>
          <cell r="T153">
            <v>-185.4</v>
          </cell>
          <cell r="U153">
            <v>-408.3</v>
          </cell>
          <cell r="V153">
            <v>-167</v>
          </cell>
          <cell r="W153">
            <v>-167</v>
          </cell>
          <cell r="X153">
            <v>177.8</v>
          </cell>
          <cell r="Y153">
            <v>177.8</v>
          </cell>
          <cell r="Z153" t="str">
            <v>-</v>
          </cell>
          <cell r="AA153" t="str">
            <v>-</v>
          </cell>
          <cell r="AB153">
            <v>141.5</v>
          </cell>
          <cell r="AC153">
            <v>972.3</v>
          </cell>
          <cell r="AD153" t="str">
            <v>-</v>
          </cell>
          <cell r="AE153" t="str">
            <v>-</v>
          </cell>
          <cell r="AF153" t="str">
            <v>-</v>
          </cell>
          <cell r="AG153">
            <v>3.7</v>
          </cell>
          <cell r="AH153">
            <v>-33.1</v>
          </cell>
          <cell r="AI153">
            <v>578.5</v>
          </cell>
        </row>
        <row r="154">
          <cell r="A154" t="str">
            <v>37591-C-130J</v>
          </cell>
          <cell r="B154">
            <v>37591</v>
          </cell>
          <cell r="C154" t="str">
            <v>C-130J</v>
          </cell>
          <cell r="D154" t="str">
            <v>C-130J</v>
          </cell>
          <cell r="E154">
            <v>1996</v>
          </cell>
          <cell r="F154" t="str">
            <v>-</v>
          </cell>
          <cell r="G154">
            <v>10530.5</v>
          </cell>
          <cell r="H154" t="str">
            <v>-</v>
          </cell>
          <cell r="I154">
            <v>-239.7</v>
          </cell>
          <cell r="J154" t="str">
            <v>-</v>
          </cell>
          <cell r="K154">
            <v>0.4</v>
          </cell>
          <cell r="L154">
            <v>617.1</v>
          </cell>
          <cell r="M154">
            <v>-20.2</v>
          </cell>
          <cell r="N154" t="str">
            <v>-</v>
          </cell>
          <cell r="O154" t="str">
            <v>-</v>
          </cell>
          <cell r="P154">
            <v>382.6</v>
          </cell>
          <cell r="Q154">
            <v>2619.6</v>
          </cell>
          <cell r="R154">
            <v>999.7</v>
          </cell>
          <cell r="S154">
            <v>12890.6</v>
          </cell>
          <cell r="T154">
            <v>-383.1</v>
          </cell>
          <cell r="U154">
            <v>-384</v>
          </cell>
          <cell r="V154" t="str">
            <v>-</v>
          </cell>
          <cell r="W154">
            <v>13411</v>
          </cell>
          <cell r="X154">
            <v>-4.5999999999999996</v>
          </cell>
          <cell r="Y154">
            <v>-377.3</v>
          </cell>
          <cell r="Z154" t="str">
            <v>-</v>
          </cell>
          <cell r="AA154">
            <v>0.4</v>
          </cell>
          <cell r="AB154">
            <v>713.3</v>
          </cell>
          <cell r="AC154">
            <v>-182.7</v>
          </cell>
          <cell r="AD154" t="str">
            <v>-</v>
          </cell>
          <cell r="AE154" t="str">
            <v>-</v>
          </cell>
          <cell r="AF154">
            <v>504.5</v>
          </cell>
          <cell r="AG154">
            <v>3194.2</v>
          </cell>
          <cell r="AH154">
            <v>830.1</v>
          </cell>
          <cell r="AI154">
            <v>15661.6</v>
          </cell>
        </row>
        <row r="155">
          <cell r="A155" t="str">
            <v>37591-C-17A</v>
          </cell>
          <cell r="B155">
            <v>37591</v>
          </cell>
          <cell r="C155" t="str">
            <v>C-17A</v>
          </cell>
          <cell r="D155" t="str">
            <v>C-17A</v>
          </cell>
          <cell r="E155">
            <v>1996</v>
          </cell>
          <cell r="F155" t="str">
            <v>-</v>
          </cell>
          <cell r="G155">
            <v>-2512</v>
          </cell>
          <cell r="H155">
            <v>-32.700000000000003</v>
          </cell>
          <cell r="I155">
            <v>983.4</v>
          </cell>
          <cell r="J155">
            <v>48.1</v>
          </cell>
          <cell r="K155">
            <v>315.10000000000002</v>
          </cell>
          <cell r="L155">
            <v>1576</v>
          </cell>
          <cell r="M155">
            <v>13177.4</v>
          </cell>
          <cell r="N155" t="str">
            <v>-</v>
          </cell>
          <cell r="O155">
            <v>411</v>
          </cell>
          <cell r="P155">
            <v>236.4</v>
          </cell>
          <cell r="Q155">
            <v>4353.8999999999996</v>
          </cell>
          <cell r="R155">
            <v>1827.8</v>
          </cell>
          <cell r="S155">
            <v>16728.8</v>
          </cell>
          <cell r="T155">
            <v>-703.9</v>
          </cell>
          <cell r="U155">
            <v>-1694.5</v>
          </cell>
          <cell r="V155" t="str">
            <v>-</v>
          </cell>
          <cell r="W155">
            <v>-3725.7</v>
          </cell>
          <cell r="X155">
            <v>-152.80000000000001</v>
          </cell>
          <cell r="Y155">
            <v>4237.3999999999996</v>
          </cell>
          <cell r="Z155">
            <v>57.1</v>
          </cell>
          <cell r="AA155">
            <v>334.7</v>
          </cell>
          <cell r="AB155">
            <v>1826.4</v>
          </cell>
          <cell r="AC155">
            <v>13362.5</v>
          </cell>
          <cell r="AD155" t="str">
            <v>-</v>
          </cell>
          <cell r="AE155">
            <v>412</v>
          </cell>
          <cell r="AF155">
            <v>316.3</v>
          </cell>
          <cell r="AG155">
            <v>5603.1</v>
          </cell>
          <cell r="AH155">
            <v>1343.1</v>
          </cell>
          <cell r="AI155">
            <v>18529.5</v>
          </cell>
        </row>
        <row r="156">
          <cell r="A156" t="str">
            <v>37591-C-5 RERP</v>
          </cell>
          <cell r="B156">
            <v>37591</v>
          </cell>
          <cell r="C156" t="str">
            <v>C-5 RERP</v>
          </cell>
          <cell r="D156" t="str">
            <v>C-5 RERP</v>
          </cell>
          <cell r="E156">
            <v>2000</v>
          </cell>
          <cell r="F156" t="str">
            <v>-</v>
          </cell>
          <cell r="G156">
            <v>-477.2</v>
          </cell>
          <cell r="H156" t="str">
            <v>-</v>
          </cell>
          <cell r="I156" t="str">
            <v>-</v>
          </cell>
          <cell r="J156" t="str">
            <v>-</v>
          </cell>
          <cell r="K156" t="str">
            <v>-</v>
          </cell>
          <cell r="L156">
            <v>-143.6</v>
          </cell>
          <cell r="M156">
            <v>51.1</v>
          </cell>
          <cell r="N156" t="str">
            <v>-</v>
          </cell>
          <cell r="O156" t="str">
            <v>-</v>
          </cell>
          <cell r="P156">
            <v>217.5</v>
          </cell>
          <cell r="Q156">
            <v>182.8</v>
          </cell>
          <cell r="R156">
            <v>73.900000000000006</v>
          </cell>
          <cell r="S156">
            <v>-243.3</v>
          </cell>
          <cell r="T156">
            <v>-96.8</v>
          </cell>
          <cell r="U156">
            <v>-522.6</v>
          </cell>
          <cell r="V156" t="str">
            <v>-</v>
          </cell>
          <cell r="W156">
            <v>-607.4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-</v>
          </cell>
          <cell r="AB156">
            <v>-191.8</v>
          </cell>
          <cell r="AC156">
            <v>64.7</v>
          </cell>
          <cell r="AD156" t="str">
            <v>-</v>
          </cell>
          <cell r="AE156" t="str">
            <v>-</v>
          </cell>
          <cell r="AF156">
            <v>276</v>
          </cell>
          <cell r="AG156">
            <v>228.5</v>
          </cell>
          <cell r="AH156">
            <v>-12.6</v>
          </cell>
          <cell r="AI156">
            <v>-836.8</v>
          </cell>
        </row>
        <row r="157">
          <cell r="A157" t="str">
            <v>37591-EELV</v>
          </cell>
          <cell r="B157">
            <v>37591</v>
          </cell>
          <cell r="C157" t="str">
            <v>EELV</v>
          </cell>
          <cell r="D157" t="str">
            <v>EELV</v>
          </cell>
          <cell r="E157">
            <v>1995</v>
          </cell>
          <cell r="F157" t="str">
            <v>-</v>
          </cell>
          <cell r="G157">
            <v>126.9</v>
          </cell>
          <cell r="H157" t="str">
            <v>-</v>
          </cell>
          <cell r="I157" t="str">
            <v>-</v>
          </cell>
          <cell r="J157" t="str">
            <v>-</v>
          </cell>
          <cell r="K157">
            <v>25</v>
          </cell>
          <cell r="L157">
            <v>1280.5</v>
          </cell>
          <cell r="M157">
            <v>2712.4</v>
          </cell>
          <cell r="N157">
            <v>12</v>
          </cell>
          <cell r="O157">
            <v>12</v>
          </cell>
          <cell r="P157" t="str">
            <v>-</v>
          </cell>
          <cell r="Q157" t="str">
            <v>-</v>
          </cell>
          <cell r="R157">
            <v>1292.5</v>
          </cell>
          <cell r="S157">
            <v>2876.3</v>
          </cell>
          <cell r="T157">
            <v>-411</v>
          </cell>
          <cell r="U157">
            <v>-886.8</v>
          </cell>
          <cell r="V157" t="str">
            <v>-</v>
          </cell>
          <cell r="W157">
            <v>141.1</v>
          </cell>
          <cell r="X157">
            <v>132.30000000000001</v>
          </cell>
          <cell r="Y157">
            <v>338.7</v>
          </cell>
          <cell r="Z157" t="str">
            <v>-</v>
          </cell>
          <cell r="AA157">
            <v>28.2</v>
          </cell>
          <cell r="AB157">
            <v>1635.5</v>
          </cell>
          <cell r="AC157">
            <v>3302.3</v>
          </cell>
          <cell r="AD157">
            <v>13.2</v>
          </cell>
          <cell r="AE157">
            <v>13.2</v>
          </cell>
          <cell r="AF157" t="str">
            <v>-</v>
          </cell>
          <cell r="AG157" t="str">
            <v>-</v>
          </cell>
          <cell r="AH157">
            <v>1370</v>
          </cell>
          <cell r="AI157">
            <v>2936.7</v>
          </cell>
        </row>
        <row r="158">
          <cell r="A158" t="str">
            <v>37591-F-22</v>
          </cell>
          <cell r="B158">
            <v>37591</v>
          </cell>
          <cell r="C158" t="str">
            <v>F/A-22</v>
          </cell>
          <cell r="D158" t="str">
            <v>F-22</v>
          </cell>
          <cell r="E158">
            <v>1990</v>
          </cell>
          <cell r="F158">
            <v>-3336.4</v>
          </cell>
          <cell r="G158">
            <v>-19000.599999999999</v>
          </cell>
          <cell r="H158" t="str">
            <v>-</v>
          </cell>
          <cell r="I158">
            <v>1853.3</v>
          </cell>
          <cell r="J158">
            <v>1327.1</v>
          </cell>
          <cell r="K158">
            <v>2548.6</v>
          </cell>
          <cell r="L158">
            <v>4350.2</v>
          </cell>
          <cell r="M158">
            <v>12915.6</v>
          </cell>
          <cell r="N158" t="str">
            <v>-</v>
          </cell>
          <cell r="O158" t="str">
            <v>-</v>
          </cell>
          <cell r="P158">
            <v>-254.6</v>
          </cell>
          <cell r="Q158">
            <v>-2371.4</v>
          </cell>
          <cell r="R158">
            <v>2086.3000000000002</v>
          </cell>
          <cell r="S158">
            <v>-4054.5</v>
          </cell>
          <cell r="T158">
            <v>359.5</v>
          </cell>
          <cell r="U158">
            <v>-9258.2999999999993</v>
          </cell>
          <cell r="V158">
            <v>-6106.4</v>
          </cell>
          <cell r="W158">
            <v>-39617.300000000003</v>
          </cell>
          <cell r="X158">
            <v>415.5</v>
          </cell>
          <cell r="Y158">
            <v>6641.4</v>
          </cell>
          <cell r="Z158">
            <v>1845.2</v>
          </cell>
          <cell r="AA158">
            <v>3409.9</v>
          </cell>
          <cell r="AB158">
            <v>5969.2</v>
          </cell>
          <cell r="AC158">
            <v>16819.599999999999</v>
          </cell>
          <cell r="AD158" t="str">
            <v>-</v>
          </cell>
          <cell r="AE158" t="str">
            <v>-</v>
          </cell>
          <cell r="AF158">
            <v>-419.1</v>
          </cell>
          <cell r="AG158">
            <v>-5319</v>
          </cell>
          <cell r="AH158">
            <v>2063.9</v>
          </cell>
          <cell r="AI158">
            <v>-27323.7</v>
          </cell>
        </row>
        <row r="159">
          <cell r="A159" t="str">
            <v>37591-GBS</v>
          </cell>
          <cell r="B159">
            <v>37591</v>
          </cell>
          <cell r="C159" t="str">
            <v>GBS</v>
          </cell>
          <cell r="D159" t="str">
            <v>GBS</v>
          </cell>
          <cell r="E159">
            <v>1997</v>
          </cell>
          <cell r="F159">
            <v>85.3</v>
          </cell>
          <cell r="G159">
            <v>225.9</v>
          </cell>
          <cell r="H159">
            <v>11.7</v>
          </cell>
          <cell r="I159">
            <v>36.200000000000003</v>
          </cell>
          <cell r="J159">
            <v>24.1</v>
          </cell>
          <cell r="K159">
            <v>28.4</v>
          </cell>
          <cell r="L159">
            <v>-29.7</v>
          </cell>
          <cell r="M159">
            <v>-54.7</v>
          </cell>
          <cell r="N159" t="str">
            <v>-</v>
          </cell>
          <cell r="O159" t="str">
            <v>-</v>
          </cell>
          <cell r="P159">
            <v>-0.7</v>
          </cell>
          <cell r="Q159">
            <v>2</v>
          </cell>
          <cell r="R159">
            <v>90.7</v>
          </cell>
          <cell r="S159">
            <v>237.8</v>
          </cell>
          <cell r="T159">
            <v>-7.6</v>
          </cell>
          <cell r="U159">
            <v>-21.5</v>
          </cell>
          <cell r="V159">
            <v>98.7</v>
          </cell>
          <cell r="W159">
            <v>256.39999999999998</v>
          </cell>
          <cell r="X159">
            <v>13</v>
          </cell>
          <cell r="Y159">
            <v>40.9</v>
          </cell>
          <cell r="Z159">
            <v>25.1</v>
          </cell>
          <cell r="AA159">
            <v>29.7</v>
          </cell>
          <cell r="AB159">
            <v>-35.200000000000003</v>
          </cell>
          <cell r="AC159">
            <v>-65.7</v>
          </cell>
          <cell r="AD159" t="str">
            <v>-</v>
          </cell>
          <cell r="AE159" t="str">
            <v>-</v>
          </cell>
          <cell r="AF159" t="str">
            <v>-</v>
          </cell>
          <cell r="AG159">
            <v>2.8</v>
          </cell>
          <cell r="AH159">
            <v>94</v>
          </cell>
          <cell r="AI159">
            <v>242.6</v>
          </cell>
        </row>
        <row r="160">
          <cell r="A160" t="str">
            <v>37591-RQ-4 GLOBAL HAWK</v>
          </cell>
          <cell r="B160">
            <v>37591</v>
          </cell>
          <cell r="C160" t="str">
            <v>GLOBAL HAWK</v>
          </cell>
          <cell r="D160" t="str">
            <v>RQ-4 GLOBAL HAWK</v>
          </cell>
          <cell r="E160">
            <v>2000</v>
          </cell>
          <cell r="F160" t="str">
            <v>-</v>
          </cell>
          <cell r="G160">
            <v>-454</v>
          </cell>
          <cell r="H160">
            <v>5</v>
          </cell>
          <cell r="I160">
            <v>-734.6</v>
          </cell>
          <cell r="J160">
            <v>-396.7</v>
          </cell>
          <cell r="K160">
            <v>2160.4</v>
          </cell>
          <cell r="L160">
            <v>-349</v>
          </cell>
          <cell r="M160">
            <v>-108.2</v>
          </cell>
          <cell r="N160" t="str">
            <v>-</v>
          </cell>
          <cell r="O160" t="str">
            <v>-</v>
          </cell>
          <cell r="P160">
            <v>13.7</v>
          </cell>
          <cell r="Q160">
            <v>35.9</v>
          </cell>
          <cell r="R160">
            <v>-727</v>
          </cell>
          <cell r="S160">
            <v>899.5</v>
          </cell>
          <cell r="T160">
            <v>-159.6</v>
          </cell>
          <cell r="U160">
            <v>-216.9</v>
          </cell>
          <cell r="V160" t="str">
            <v>-</v>
          </cell>
          <cell r="W160">
            <v>-650.5</v>
          </cell>
          <cell r="X160">
            <v>-0.9</v>
          </cell>
          <cell r="Y160">
            <v>-1078</v>
          </cell>
          <cell r="Z160">
            <v>-478.9</v>
          </cell>
          <cell r="AA160">
            <v>2468.1</v>
          </cell>
          <cell r="AB160">
            <v>-396.8</v>
          </cell>
          <cell r="AC160">
            <v>-129.4</v>
          </cell>
          <cell r="AD160" t="str">
            <v>-</v>
          </cell>
          <cell r="AE160" t="str">
            <v>-</v>
          </cell>
          <cell r="AF160">
            <v>4.5</v>
          </cell>
          <cell r="AG160">
            <v>27.6</v>
          </cell>
          <cell r="AH160">
            <v>-1031.7</v>
          </cell>
          <cell r="AI160">
            <v>420.9</v>
          </cell>
        </row>
        <row r="161">
          <cell r="A161" t="str">
            <v>37591-JASSM</v>
          </cell>
          <cell r="B161">
            <v>37591</v>
          </cell>
          <cell r="C161" t="str">
            <v>JASSM</v>
          </cell>
          <cell r="D161" t="str">
            <v>JASSM</v>
          </cell>
          <cell r="E161">
            <v>1995</v>
          </cell>
          <cell r="F161">
            <v>341.4</v>
          </cell>
          <cell r="G161">
            <v>845.1</v>
          </cell>
          <cell r="H161">
            <v>1.7</v>
          </cell>
          <cell r="I161">
            <v>177.9</v>
          </cell>
          <cell r="J161">
            <v>352.1</v>
          </cell>
          <cell r="K161">
            <v>304.7</v>
          </cell>
          <cell r="L161">
            <v>43.9</v>
          </cell>
          <cell r="M161">
            <v>236.5</v>
          </cell>
          <cell r="N161" t="str">
            <v>-</v>
          </cell>
          <cell r="O161" t="str">
            <v>-</v>
          </cell>
          <cell r="P161">
            <v>3</v>
          </cell>
          <cell r="Q161">
            <v>39</v>
          </cell>
          <cell r="R161">
            <v>742.1</v>
          </cell>
          <cell r="S161">
            <v>1603.2</v>
          </cell>
          <cell r="T161">
            <v>-52.3</v>
          </cell>
          <cell r="U161">
            <v>-112.8</v>
          </cell>
          <cell r="V161">
            <v>439.8</v>
          </cell>
          <cell r="W161">
            <v>1168.5999999999999</v>
          </cell>
          <cell r="X161">
            <v>1.8</v>
          </cell>
          <cell r="Y161">
            <v>217.2</v>
          </cell>
          <cell r="Z161">
            <v>438.6</v>
          </cell>
          <cell r="AA161">
            <v>382.3</v>
          </cell>
          <cell r="AB161">
            <v>55.6</v>
          </cell>
          <cell r="AC161">
            <v>269.89999999999998</v>
          </cell>
          <cell r="AD161" t="str">
            <v>-</v>
          </cell>
          <cell r="AE161" t="str">
            <v>-</v>
          </cell>
          <cell r="AF161">
            <v>4.0999999999999996</v>
          </cell>
          <cell r="AG161">
            <v>52.3</v>
          </cell>
          <cell r="AH161">
            <v>887.6</v>
          </cell>
          <cell r="AI161">
            <v>1977.5</v>
          </cell>
        </row>
        <row r="162">
          <cell r="A162" t="str">
            <v>37591-JDAM</v>
          </cell>
          <cell r="B162">
            <v>37591</v>
          </cell>
          <cell r="C162" t="str">
            <v>JDAM</v>
          </cell>
          <cell r="D162" t="str">
            <v>JDAM</v>
          </cell>
          <cell r="E162">
            <v>1995</v>
          </cell>
          <cell r="F162">
            <v>1674.2</v>
          </cell>
          <cell r="G162">
            <v>1674.2</v>
          </cell>
          <cell r="H162" t="str">
            <v>-</v>
          </cell>
          <cell r="I162" t="str">
            <v>-</v>
          </cell>
          <cell r="J162" t="str">
            <v>-</v>
          </cell>
          <cell r="K162" t="str">
            <v>-</v>
          </cell>
          <cell r="L162">
            <v>-56</v>
          </cell>
          <cell r="M162">
            <v>1034.9000000000001</v>
          </cell>
          <cell r="N162" t="str">
            <v>-</v>
          </cell>
          <cell r="O162" t="str">
            <v>-</v>
          </cell>
          <cell r="P162">
            <v>26.1</v>
          </cell>
          <cell r="Q162">
            <v>25.6</v>
          </cell>
          <cell r="R162">
            <v>1644.3</v>
          </cell>
          <cell r="S162">
            <v>2734.7</v>
          </cell>
          <cell r="T162">
            <v>-17.7</v>
          </cell>
          <cell r="U162">
            <v>-17.7</v>
          </cell>
          <cell r="V162">
            <v>2022.5</v>
          </cell>
          <cell r="W162">
            <v>2022.5</v>
          </cell>
          <cell r="X162">
            <v>-90.5</v>
          </cell>
          <cell r="Y162">
            <v>-90.5</v>
          </cell>
          <cell r="Z162" t="str">
            <v>-</v>
          </cell>
          <cell r="AA162" t="str">
            <v>-</v>
          </cell>
          <cell r="AB162">
            <v>-56.2</v>
          </cell>
          <cell r="AC162">
            <v>1203.0999999999999</v>
          </cell>
          <cell r="AD162" t="str">
            <v>-</v>
          </cell>
          <cell r="AE162" t="str">
            <v>-</v>
          </cell>
          <cell r="AF162">
            <v>31.9</v>
          </cell>
          <cell r="AG162">
            <v>31.3</v>
          </cell>
          <cell r="AH162">
            <v>1890</v>
          </cell>
          <cell r="AI162">
            <v>3148.7</v>
          </cell>
        </row>
        <row r="163">
          <cell r="A163" t="str">
            <v>37591-JPATS</v>
          </cell>
          <cell r="B163">
            <v>37591</v>
          </cell>
          <cell r="C163" t="str">
            <v>JPATS</v>
          </cell>
          <cell r="D163" t="str">
            <v>JPATS</v>
          </cell>
          <cell r="E163">
            <v>2002</v>
          </cell>
          <cell r="F163" t="str">
            <v>-</v>
          </cell>
          <cell r="G163" t="str">
            <v>-</v>
          </cell>
          <cell r="H163" t="str">
            <v>-</v>
          </cell>
          <cell r="I163" t="str">
            <v>-</v>
          </cell>
          <cell r="J163">
            <v>7</v>
          </cell>
          <cell r="K163">
            <v>7</v>
          </cell>
          <cell r="L163">
            <v>25.9</v>
          </cell>
          <cell r="M163">
            <v>94.2</v>
          </cell>
          <cell r="N163" t="str">
            <v>-</v>
          </cell>
          <cell r="O163" t="str">
            <v>-</v>
          </cell>
          <cell r="P163">
            <v>88.5</v>
          </cell>
          <cell r="Q163">
            <v>88.5</v>
          </cell>
          <cell r="R163">
            <v>121.4</v>
          </cell>
          <cell r="S163">
            <v>189.7</v>
          </cell>
          <cell r="T163">
            <v>-62.5</v>
          </cell>
          <cell r="U163">
            <v>-154.9</v>
          </cell>
          <cell r="V163" t="str">
            <v>-</v>
          </cell>
          <cell r="W163" t="str">
            <v>-</v>
          </cell>
          <cell r="X163">
            <v>42.7</v>
          </cell>
          <cell r="Y163">
            <v>42.7</v>
          </cell>
          <cell r="Z163">
            <v>8</v>
          </cell>
          <cell r="AA163">
            <v>8</v>
          </cell>
          <cell r="AB163">
            <v>-14.7</v>
          </cell>
          <cell r="AC163">
            <v>63.3</v>
          </cell>
          <cell r="AD163" t="str">
            <v>-</v>
          </cell>
          <cell r="AE163" t="str">
            <v>-</v>
          </cell>
          <cell r="AF163">
            <v>100.2</v>
          </cell>
          <cell r="AG163">
            <v>100.2</v>
          </cell>
          <cell r="AH163">
            <v>73.7</v>
          </cell>
          <cell r="AI163">
            <v>59.3</v>
          </cell>
        </row>
        <row r="164">
          <cell r="A164" t="str">
            <v>37591-E-8 JSTARS</v>
          </cell>
          <cell r="B164">
            <v>37591</v>
          </cell>
          <cell r="C164" t="str">
            <v>JSTARS</v>
          </cell>
          <cell r="D164" t="str">
            <v>E-8 JSTARS</v>
          </cell>
          <cell r="E164">
            <v>1998</v>
          </cell>
          <cell r="F164" t="str">
            <v>-</v>
          </cell>
          <cell r="G164">
            <v>-463.6</v>
          </cell>
          <cell r="H164" t="str">
            <v>-</v>
          </cell>
          <cell r="I164">
            <v>-7.9</v>
          </cell>
          <cell r="J164">
            <v>131.4</v>
          </cell>
          <cell r="K164">
            <v>562.79999999999995</v>
          </cell>
          <cell r="L164">
            <v>-91.1</v>
          </cell>
          <cell r="M164">
            <v>-294</v>
          </cell>
          <cell r="N164" t="str">
            <v>-</v>
          </cell>
          <cell r="O164" t="str">
            <v>-</v>
          </cell>
          <cell r="P164">
            <v>-0.9</v>
          </cell>
          <cell r="Q164">
            <v>243.4</v>
          </cell>
          <cell r="R164">
            <v>39.4</v>
          </cell>
          <cell r="S164">
            <v>40.700000000000003</v>
          </cell>
          <cell r="T164">
            <v>-37.9</v>
          </cell>
          <cell r="U164">
            <v>-40.9</v>
          </cell>
          <cell r="V164" t="str">
            <v>-</v>
          </cell>
          <cell r="W164">
            <v>-606.70000000000005</v>
          </cell>
          <cell r="X164" t="str">
            <v>-</v>
          </cell>
          <cell r="Y164">
            <v>-10.7</v>
          </cell>
          <cell r="Z164">
            <v>159</v>
          </cell>
          <cell r="AA164">
            <v>645.9</v>
          </cell>
          <cell r="AB164">
            <v>-93.9</v>
          </cell>
          <cell r="AC164">
            <v>-338.4</v>
          </cell>
          <cell r="AD164" t="str">
            <v>-</v>
          </cell>
          <cell r="AE164" t="str">
            <v>-</v>
          </cell>
          <cell r="AF164">
            <v>-3</v>
          </cell>
          <cell r="AG164">
            <v>240.9</v>
          </cell>
          <cell r="AH164">
            <v>24.2</v>
          </cell>
          <cell r="AI164">
            <v>-109.9</v>
          </cell>
        </row>
        <row r="165">
          <cell r="A165" t="str">
            <v>37591-MINUTEMAN III GRP</v>
          </cell>
          <cell r="B165">
            <v>37591</v>
          </cell>
          <cell r="C165" t="str">
            <v>MINUTEMAN III GRP</v>
          </cell>
          <cell r="D165" t="str">
            <v>MINUTEMAN III GRP</v>
          </cell>
          <cell r="E165">
            <v>1993</v>
          </cell>
          <cell r="F165">
            <v>14.3</v>
          </cell>
          <cell r="G165">
            <v>-52.3</v>
          </cell>
          <cell r="H165">
            <v>0.4</v>
          </cell>
          <cell r="I165">
            <v>0.4</v>
          </cell>
          <cell r="J165" t="str">
            <v>-</v>
          </cell>
          <cell r="K165" t="str">
            <v>-</v>
          </cell>
          <cell r="L165">
            <v>37.799999999999997</v>
          </cell>
          <cell r="M165">
            <v>206.8</v>
          </cell>
          <cell r="N165" t="str">
            <v>-</v>
          </cell>
          <cell r="O165" t="str">
            <v>-</v>
          </cell>
          <cell r="P165">
            <v>-16.3</v>
          </cell>
          <cell r="Q165">
            <v>2.6</v>
          </cell>
          <cell r="R165">
            <v>36.200000000000003</v>
          </cell>
          <cell r="S165">
            <v>157.5</v>
          </cell>
          <cell r="T165">
            <v>0.6</v>
          </cell>
          <cell r="U165">
            <v>0.6</v>
          </cell>
          <cell r="V165">
            <v>18</v>
          </cell>
          <cell r="W165">
            <v>-60.3</v>
          </cell>
          <cell r="X165">
            <v>0.1</v>
          </cell>
          <cell r="Y165">
            <v>0.1</v>
          </cell>
          <cell r="Z165" t="str">
            <v>-</v>
          </cell>
          <cell r="AA165" t="str">
            <v>-</v>
          </cell>
          <cell r="AB165">
            <v>22.8</v>
          </cell>
          <cell r="AC165">
            <v>151.69999999999999</v>
          </cell>
          <cell r="AD165" t="str">
            <v>-</v>
          </cell>
          <cell r="AE165" t="str">
            <v>-</v>
          </cell>
          <cell r="AF165">
            <v>-19.600000000000001</v>
          </cell>
          <cell r="AG165">
            <v>2.6</v>
          </cell>
          <cell r="AH165">
            <v>21.9</v>
          </cell>
          <cell r="AI165">
            <v>94.7</v>
          </cell>
        </row>
        <row r="166">
          <cell r="A166" t="str">
            <v>37591-MINUTEMAN III PRP</v>
          </cell>
          <cell r="B166">
            <v>37591</v>
          </cell>
          <cell r="C166" t="str">
            <v>MINUTEMAN III PRP</v>
          </cell>
          <cell r="D166" t="str">
            <v>MINUTEMAN III PRP</v>
          </cell>
          <cell r="E166">
            <v>1994</v>
          </cell>
          <cell r="F166" t="str">
            <v>-</v>
          </cell>
          <cell r="G166">
            <v>-1.6</v>
          </cell>
          <cell r="H166" t="str">
            <v>-</v>
          </cell>
          <cell r="I166">
            <v>-15.5</v>
          </cell>
          <cell r="J166" t="str">
            <v>-</v>
          </cell>
          <cell r="K166" t="str">
            <v>-</v>
          </cell>
          <cell r="L166">
            <v>51.9</v>
          </cell>
          <cell r="M166">
            <v>-78.5</v>
          </cell>
          <cell r="N166" t="str">
            <v>-</v>
          </cell>
          <cell r="O166" t="str">
            <v>-</v>
          </cell>
          <cell r="P166">
            <v>-21.4</v>
          </cell>
          <cell r="Q166">
            <v>-21.4</v>
          </cell>
          <cell r="R166">
            <v>30.5</v>
          </cell>
          <cell r="S166">
            <v>-117</v>
          </cell>
          <cell r="T166">
            <v>-3.7</v>
          </cell>
          <cell r="U166">
            <v>-29.9</v>
          </cell>
          <cell r="V166" t="str">
            <v>-</v>
          </cell>
          <cell r="W166">
            <v>-2.1</v>
          </cell>
          <cell r="X166" t="str">
            <v>-</v>
          </cell>
          <cell r="Y166">
            <v>-21</v>
          </cell>
          <cell r="Z166" t="str">
            <v>-</v>
          </cell>
          <cell r="AA166" t="str">
            <v>-</v>
          </cell>
          <cell r="AB166">
            <v>34.299999999999997</v>
          </cell>
          <cell r="AC166">
            <v>-245.7</v>
          </cell>
          <cell r="AD166" t="str">
            <v>-</v>
          </cell>
          <cell r="AE166" t="str">
            <v>-</v>
          </cell>
          <cell r="AF166">
            <v>-24</v>
          </cell>
          <cell r="AG166">
            <v>-24</v>
          </cell>
          <cell r="AH166">
            <v>6.6</v>
          </cell>
          <cell r="AI166">
            <v>-322.7</v>
          </cell>
        </row>
        <row r="167">
          <cell r="A167" t="str">
            <v>37591-NAS</v>
          </cell>
          <cell r="B167">
            <v>37591</v>
          </cell>
          <cell r="C167" t="str">
            <v>NAS</v>
          </cell>
          <cell r="D167" t="str">
            <v>NAS</v>
          </cell>
          <cell r="E167">
            <v>1990</v>
          </cell>
          <cell r="F167">
            <v>9.8000000000000007</v>
          </cell>
          <cell r="G167">
            <v>217.8</v>
          </cell>
          <cell r="H167" t="str">
            <v>-</v>
          </cell>
          <cell r="I167">
            <v>52.4</v>
          </cell>
          <cell r="J167">
            <v>71.3</v>
          </cell>
          <cell r="K167">
            <v>103.8</v>
          </cell>
          <cell r="L167">
            <v>-4</v>
          </cell>
          <cell r="M167">
            <v>-41.4</v>
          </cell>
          <cell r="N167" t="str">
            <v>-</v>
          </cell>
          <cell r="O167" t="str">
            <v>-</v>
          </cell>
          <cell r="P167">
            <v>169.7</v>
          </cell>
          <cell r="Q167">
            <v>171.2</v>
          </cell>
          <cell r="R167">
            <v>246.8</v>
          </cell>
          <cell r="S167">
            <v>503.8</v>
          </cell>
          <cell r="T167">
            <v>-16.5</v>
          </cell>
          <cell r="U167">
            <v>-79.599999999999994</v>
          </cell>
          <cell r="V167">
            <v>13.3</v>
          </cell>
          <cell r="W167">
            <v>300.5</v>
          </cell>
          <cell r="X167">
            <v>4.2</v>
          </cell>
          <cell r="Y167">
            <v>124.3</v>
          </cell>
          <cell r="Z167">
            <v>100.3</v>
          </cell>
          <cell r="AA167">
            <v>142.4</v>
          </cell>
          <cell r="AB167">
            <v>0.9</v>
          </cell>
          <cell r="AC167">
            <v>-71.8</v>
          </cell>
          <cell r="AD167" t="str">
            <v>-</v>
          </cell>
          <cell r="AE167" t="str">
            <v>-</v>
          </cell>
          <cell r="AF167">
            <v>242.4</v>
          </cell>
          <cell r="AG167">
            <v>250.4</v>
          </cell>
          <cell r="AH167">
            <v>344.6</v>
          </cell>
          <cell r="AI167">
            <v>666.2</v>
          </cell>
        </row>
        <row r="168">
          <cell r="A168" t="str">
            <v>37591-NAVSTAR GPS</v>
          </cell>
          <cell r="B168">
            <v>37591</v>
          </cell>
          <cell r="C168" t="str">
            <v>NAVSTAR GPS</v>
          </cell>
          <cell r="D168" t="str">
            <v>NAVSTAR GPS</v>
          </cell>
          <cell r="E168">
            <v>2000</v>
          </cell>
          <cell r="F168">
            <v>260.5</v>
          </cell>
          <cell r="G168">
            <v>260.5</v>
          </cell>
          <cell r="H168" t="str">
            <v>-</v>
          </cell>
          <cell r="I168" t="str">
            <v>-</v>
          </cell>
          <cell r="J168">
            <v>450.8</v>
          </cell>
          <cell r="K168">
            <v>463.4</v>
          </cell>
          <cell r="L168">
            <v>-20.8</v>
          </cell>
          <cell r="M168">
            <v>-62.1</v>
          </cell>
          <cell r="N168" t="str">
            <v>-</v>
          </cell>
          <cell r="O168" t="str">
            <v>-</v>
          </cell>
          <cell r="P168">
            <v>198.4</v>
          </cell>
          <cell r="Q168">
            <v>150.80000000000001</v>
          </cell>
          <cell r="R168">
            <v>888.9</v>
          </cell>
          <cell r="S168">
            <v>812.6</v>
          </cell>
          <cell r="T168">
            <v>-57</v>
          </cell>
          <cell r="U168">
            <v>-57</v>
          </cell>
          <cell r="V168">
            <v>288.39999999999998</v>
          </cell>
          <cell r="W168">
            <v>288.39999999999998</v>
          </cell>
          <cell r="X168" t="str">
            <v>-</v>
          </cell>
          <cell r="Y168" t="str">
            <v>-</v>
          </cell>
          <cell r="Z168">
            <v>499.6</v>
          </cell>
          <cell r="AA168">
            <v>505.2</v>
          </cell>
          <cell r="AB168">
            <v>-25</v>
          </cell>
          <cell r="AC168">
            <v>-31.5</v>
          </cell>
          <cell r="AD168" t="str">
            <v>-</v>
          </cell>
          <cell r="AE168" t="str">
            <v>-</v>
          </cell>
          <cell r="AF168">
            <v>214.1</v>
          </cell>
          <cell r="AG168">
            <v>156.9</v>
          </cell>
          <cell r="AH168">
            <v>920.1</v>
          </cell>
          <cell r="AI168">
            <v>862</v>
          </cell>
        </row>
        <row r="169">
          <cell r="A169" t="str">
            <v>37591-NPOESS</v>
          </cell>
          <cell r="B169">
            <v>37591</v>
          </cell>
          <cell r="C169" t="str">
            <v xml:space="preserve">NPOESS </v>
          </cell>
          <cell r="D169" t="str">
            <v>NPOESS</v>
          </cell>
          <cell r="E169">
            <v>2002</v>
          </cell>
          <cell r="F169" t="str">
            <v>-</v>
          </cell>
          <cell r="G169" t="str">
            <v>-</v>
          </cell>
          <cell r="H169">
            <v>-5.3</v>
          </cell>
          <cell r="I169">
            <v>-5.3</v>
          </cell>
          <cell r="J169" t="str">
            <v>-</v>
          </cell>
          <cell r="K169" t="str">
            <v>-</v>
          </cell>
          <cell r="L169">
            <v>-2.7</v>
          </cell>
          <cell r="M169">
            <v>543.79999999999995</v>
          </cell>
          <cell r="N169" t="str">
            <v>-</v>
          </cell>
          <cell r="O169" t="str">
            <v>-</v>
          </cell>
          <cell r="P169" t="str">
            <v>-</v>
          </cell>
          <cell r="Q169" t="str">
            <v>-</v>
          </cell>
          <cell r="R169">
            <v>-8</v>
          </cell>
          <cell r="S169">
            <v>538.5</v>
          </cell>
          <cell r="T169">
            <v>-77.2</v>
          </cell>
          <cell r="U169">
            <v>-77.2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-</v>
          </cell>
          <cell r="AB169">
            <v>-2.7</v>
          </cell>
          <cell r="AC169">
            <v>545.4</v>
          </cell>
          <cell r="AD169" t="str">
            <v>-</v>
          </cell>
          <cell r="AE169" t="str">
            <v>-</v>
          </cell>
          <cell r="AF169" t="str">
            <v>-</v>
          </cell>
          <cell r="AG169" t="str">
            <v>-</v>
          </cell>
          <cell r="AH169">
            <v>-79.900000000000006</v>
          </cell>
          <cell r="AI169">
            <v>468.2</v>
          </cell>
        </row>
        <row r="170">
          <cell r="A170" t="str">
            <v>37591-SBIRS</v>
          </cell>
          <cell r="B170">
            <v>37591</v>
          </cell>
          <cell r="C170" t="str">
            <v>SBIRS HIGH</v>
          </cell>
          <cell r="D170" t="str">
            <v>SBIRS</v>
          </cell>
          <cell r="E170">
            <v>1995</v>
          </cell>
          <cell r="F170" t="str">
            <v>-</v>
          </cell>
          <cell r="G170">
            <v>27.2</v>
          </cell>
          <cell r="H170" t="str">
            <v>-</v>
          </cell>
          <cell r="I170">
            <v>301.5</v>
          </cell>
          <cell r="J170">
            <v>320.5</v>
          </cell>
          <cell r="K170">
            <v>701.7</v>
          </cell>
          <cell r="L170">
            <v>-124.1</v>
          </cell>
          <cell r="M170">
            <v>2741.4</v>
          </cell>
          <cell r="N170" t="str">
            <v>-</v>
          </cell>
          <cell r="O170" t="str">
            <v>-</v>
          </cell>
          <cell r="P170">
            <v>0.6</v>
          </cell>
          <cell r="Q170">
            <v>83.9</v>
          </cell>
          <cell r="R170">
            <v>197</v>
          </cell>
          <cell r="S170">
            <v>3855.7</v>
          </cell>
          <cell r="T170">
            <v>-105.1</v>
          </cell>
          <cell r="U170">
            <v>-236.3</v>
          </cell>
          <cell r="V170" t="str">
            <v>-</v>
          </cell>
          <cell r="W170">
            <v>27.4</v>
          </cell>
          <cell r="X170">
            <v>48.2</v>
          </cell>
          <cell r="Y170">
            <v>420.9</v>
          </cell>
          <cell r="Z170">
            <v>396.6</v>
          </cell>
          <cell r="AA170">
            <v>829.9</v>
          </cell>
          <cell r="AB170">
            <v>-155.4</v>
          </cell>
          <cell r="AC170">
            <v>3317.5</v>
          </cell>
          <cell r="AD170" t="str">
            <v>-</v>
          </cell>
          <cell r="AE170" t="str">
            <v>-</v>
          </cell>
          <cell r="AF170">
            <v>1.1000000000000001</v>
          </cell>
          <cell r="AG170">
            <v>99.6</v>
          </cell>
          <cell r="AH170">
            <v>185.4</v>
          </cell>
          <cell r="AI170">
            <v>4459</v>
          </cell>
        </row>
        <row r="171">
          <cell r="A171" t="str">
            <v>37591-WGS</v>
          </cell>
          <cell r="B171">
            <v>37591</v>
          </cell>
          <cell r="C171" t="str">
            <v>WIDEBAND GAPFILLER</v>
          </cell>
          <cell r="D171" t="str">
            <v>WGS</v>
          </cell>
          <cell r="E171">
            <v>2001</v>
          </cell>
          <cell r="F171">
            <v>560.5</v>
          </cell>
          <cell r="G171">
            <v>560.5</v>
          </cell>
          <cell r="H171" t="str">
            <v>-</v>
          </cell>
          <cell r="I171" t="str">
            <v>-</v>
          </cell>
          <cell r="J171">
            <v>59.7</v>
          </cell>
          <cell r="K171">
            <v>59.7</v>
          </cell>
          <cell r="L171">
            <v>-1.4</v>
          </cell>
          <cell r="M171">
            <v>-137.80000000000001</v>
          </cell>
          <cell r="N171" t="str">
            <v>-</v>
          </cell>
          <cell r="O171" t="str">
            <v>-</v>
          </cell>
          <cell r="P171">
            <v>-18</v>
          </cell>
          <cell r="Q171">
            <v>-19.3</v>
          </cell>
          <cell r="R171">
            <v>600.79999999999995</v>
          </cell>
          <cell r="S171">
            <v>463.1</v>
          </cell>
          <cell r="T171">
            <v>-9.4</v>
          </cell>
          <cell r="U171">
            <v>-16</v>
          </cell>
          <cell r="V171">
            <v>634.20000000000005</v>
          </cell>
          <cell r="W171">
            <v>634.20000000000005</v>
          </cell>
          <cell r="X171" t="str">
            <v>-</v>
          </cell>
          <cell r="Y171" t="str">
            <v>-</v>
          </cell>
          <cell r="Z171">
            <v>63.2</v>
          </cell>
          <cell r="AA171">
            <v>63.2</v>
          </cell>
          <cell r="AB171">
            <v>-0.9</v>
          </cell>
          <cell r="AC171">
            <v>-158.5</v>
          </cell>
          <cell r="AD171" t="str">
            <v>-</v>
          </cell>
          <cell r="AE171" t="str">
            <v>-</v>
          </cell>
          <cell r="AF171">
            <v>-19.899999999999999</v>
          </cell>
          <cell r="AG171">
            <v>-21.3</v>
          </cell>
          <cell r="AH171">
            <v>667.2</v>
          </cell>
          <cell r="AI171">
            <v>501.6</v>
          </cell>
        </row>
        <row r="172">
          <cell r="A172" t="str">
            <v>37591-Air Force Subtotal</v>
          </cell>
          <cell r="B172">
            <v>37591</v>
          </cell>
          <cell r="C172" t="str">
            <v>Air Force Subtotal</v>
          </cell>
          <cell r="D172" t="str">
            <v>Air Force Subtotal</v>
          </cell>
          <cell r="F172">
            <v>-1472.3</v>
          </cell>
          <cell r="G172">
            <v>-11712.2</v>
          </cell>
          <cell r="H172">
            <v>80.2</v>
          </cell>
          <cell r="I172">
            <v>3519.1</v>
          </cell>
          <cell r="J172">
            <v>2603.6</v>
          </cell>
          <cell r="K172">
            <v>7929.7</v>
          </cell>
          <cell r="L172">
            <v>7353.6</v>
          </cell>
          <cell r="M172">
            <v>32693.1</v>
          </cell>
          <cell r="N172">
            <v>12</v>
          </cell>
          <cell r="O172">
            <v>441.7</v>
          </cell>
          <cell r="P172">
            <v>1022</v>
          </cell>
          <cell r="Q172">
            <v>5674.2</v>
          </cell>
          <cell r="R172">
            <v>9599.1</v>
          </cell>
          <cell r="S172">
            <v>38545.599999999999</v>
          </cell>
          <cell r="T172">
            <v>-2070.5</v>
          </cell>
          <cell r="U172">
            <v>-14852.3</v>
          </cell>
          <cell r="V172">
            <v>-3897</v>
          </cell>
          <cell r="W172">
            <v>-31518.3</v>
          </cell>
          <cell r="X172">
            <v>593</v>
          </cell>
          <cell r="Y172">
            <v>12670.1</v>
          </cell>
          <cell r="Z172">
            <v>3387.6</v>
          </cell>
          <cell r="AA172">
            <v>9682.5</v>
          </cell>
          <cell r="AB172">
            <v>9473.5</v>
          </cell>
          <cell r="AC172">
            <v>37741.699999999997</v>
          </cell>
          <cell r="AD172">
            <v>13.2</v>
          </cell>
          <cell r="AE172">
            <v>445.9</v>
          </cell>
          <cell r="AF172">
            <v>1204.7</v>
          </cell>
          <cell r="AG172">
            <v>4752.7</v>
          </cell>
          <cell r="AH172">
            <v>8704.5</v>
          </cell>
          <cell r="AI172">
            <v>18922.3</v>
          </cell>
        </row>
        <row r="174">
          <cell r="C174" t="str">
            <v>DoD</v>
          </cell>
        </row>
        <row r="175">
          <cell r="A175" t="e">
            <v>#N/A</v>
          </cell>
          <cell r="B175">
            <v>37591</v>
          </cell>
          <cell r="C175" t="str">
            <v xml:space="preserve">BMDS (RDT&amp;E Only) </v>
          </cell>
          <cell r="D175" t="e">
            <v>#N/A</v>
          </cell>
          <cell r="E175">
            <v>2002</v>
          </cell>
          <cell r="F175" t="str">
            <v>-</v>
          </cell>
          <cell r="G175" t="str">
            <v>-</v>
          </cell>
          <cell r="H175" t="str">
            <v>-</v>
          </cell>
          <cell r="I175" t="str">
            <v>-</v>
          </cell>
          <cell r="J175">
            <v>15020.5</v>
          </cell>
          <cell r="K175">
            <v>15020.5</v>
          </cell>
          <cell r="L175">
            <v>-630.6</v>
          </cell>
          <cell r="M175">
            <v>-630.6</v>
          </cell>
          <cell r="N175" t="str">
            <v>-</v>
          </cell>
          <cell r="O175" t="str">
            <v>-</v>
          </cell>
          <cell r="P175" t="str">
            <v>-</v>
          </cell>
          <cell r="Q175" t="str">
            <v>-</v>
          </cell>
          <cell r="R175">
            <v>14389.9</v>
          </cell>
          <cell r="S175">
            <v>14389.9</v>
          </cell>
          <cell r="T175">
            <v>-436.2</v>
          </cell>
          <cell r="U175">
            <v>-436.2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>
            <v>16821.900000000001</v>
          </cell>
          <cell r="AA175">
            <v>16821.900000000001</v>
          </cell>
          <cell r="AB175">
            <v>-706.3</v>
          </cell>
          <cell r="AC175">
            <v>-706.3</v>
          </cell>
          <cell r="AD175" t="str">
            <v>-</v>
          </cell>
          <cell r="AE175" t="str">
            <v>-</v>
          </cell>
          <cell r="AF175" t="str">
            <v>-</v>
          </cell>
          <cell r="AG175" t="str">
            <v>-</v>
          </cell>
          <cell r="AH175">
            <v>15679.4</v>
          </cell>
          <cell r="AI175">
            <v>15679.4</v>
          </cell>
        </row>
        <row r="176">
          <cell r="A176" t="e">
            <v>#N/A</v>
          </cell>
          <cell r="B176">
            <v>37591</v>
          </cell>
          <cell r="C176" t="str">
            <v>CHEM DEMIL</v>
          </cell>
          <cell r="D176" t="e">
            <v>#N/A</v>
          </cell>
          <cell r="E176">
            <v>1994</v>
          </cell>
          <cell r="F176" t="str">
            <v>-</v>
          </cell>
          <cell r="G176" t="str">
            <v>-</v>
          </cell>
          <cell r="H176" t="str">
            <v>-</v>
          </cell>
          <cell r="I176">
            <v>3114.9</v>
          </cell>
          <cell r="J176" t="str">
            <v>-</v>
          </cell>
          <cell r="K176" t="str">
            <v>-</v>
          </cell>
          <cell r="L176">
            <v>390.5</v>
          </cell>
          <cell r="M176">
            <v>4091.7</v>
          </cell>
          <cell r="N176" t="str">
            <v>-</v>
          </cell>
          <cell r="O176">
            <v>7.6</v>
          </cell>
          <cell r="P176" t="str">
            <v>-</v>
          </cell>
          <cell r="Q176" t="str">
            <v>-</v>
          </cell>
          <cell r="R176">
            <v>390.5</v>
          </cell>
          <cell r="S176">
            <v>7214.2</v>
          </cell>
          <cell r="T176">
            <v>-158.19999999999999</v>
          </cell>
          <cell r="U176">
            <v>-498.2</v>
          </cell>
          <cell r="V176" t="str">
            <v>-</v>
          </cell>
          <cell r="W176" t="str">
            <v>-</v>
          </cell>
          <cell r="X176" t="str">
            <v>-</v>
          </cell>
          <cell r="Y176">
            <v>3875.6</v>
          </cell>
          <cell r="Z176" t="str">
            <v>-</v>
          </cell>
          <cell r="AA176" t="str">
            <v>-</v>
          </cell>
          <cell r="AB176">
            <v>276.8</v>
          </cell>
          <cell r="AC176">
            <v>5124.2</v>
          </cell>
          <cell r="AD176" t="str">
            <v>-</v>
          </cell>
          <cell r="AE176">
            <v>8.6999999999999993</v>
          </cell>
          <cell r="AF176" t="str">
            <v>-</v>
          </cell>
          <cell r="AG176" t="str">
            <v>-</v>
          </cell>
          <cell r="AH176">
            <v>118.6</v>
          </cell>
          <cell r="AI176">
            <v>8510.2999999999993</v>
          </cell>
        </row>
        <row r="177">
          <cell r="A177" t="str">
            <v>37591-F-35</v>
          </cell>
          <cell r="B177">
            <v>37591</v>
          </cell>
          <cell r="C177" t="str">
            <v xml:space="preserve">JSF (F-35) </v>
          </cell>
          <cell r="D177" t="str">
            <v>F-35</v>
          </cell>
          <cell r="E177">
            <v>2002</v>
          </cell>
          <cell r="F177">
            <v>-16249.1</v>
          </cell>
          <cell r="G177">
            <v>-16249.1</v>
          </cell>
          <cell r="H177" t="str">
            <v>-</v>
          </cell>
          <cell r="I177" t="str">
            <v>-</v>
          </cell>
          <cell r="J177">
            <v>2458.3000000000002</v>
          </cell>
          <cell r="K177">
            <v>2458.3000000000002</v>
          </cell>
          <cell r="L177">
            <v>399.2</v>
          </cell>
          <cell r="M177">
            <v>2329.8000000000002</v>
          </cell>
          <cell r="N177" t="str">
            <v>-</v>
          </cell>
          <cell r="O177" t="str">
            <v>-</v>
          </cell>
          <cell r="P177">
            <v>-2595.1</v>
          </cell>
          <cell r="Q177">
            <v>-2595.1</v>
          </cell>
          <cell r="R177">
            <v>-15986.7</v>
          </cell>
          <cell r="S177">
            <v>-14056.1</v>
          </cell>
          <cell r="T177">
            <v>-3404.4</v>
          </cell>
          <cell r="U177">
            <v>-7952.6</v>
          </cell>
          <cell r="V177">
            <v>-25434.9</v>
          </cell>
          <cell r="W177">
            <v>-25434.9</v>
          </cell>
          <cell r="X177">
            <v>2662.9</v>
          </cell>
          <cell r="Y177">
            <v>2662.9</v>
          </cell>
          <cell r="Z177">
            <v>2680.6</v>
          </cell>
          <cell r="AA177">
            <v>2680.6</v>
          </cell>
          <cell r="AB177">
            <v>447.4</v>
          </cell>
          <cell r="AC177">
            <v>453.9</v>
          </cell>
          <cell r="AD177" t="str">
            <v>-</v>
          </cell>
          <cell r="AE177" t="str">
            <v>-</v>
          </cell>
          <cell r="AF177">
            <v>-3673.5</v>
          </cell>
          <cell r="AG177">
            <v>-3673.5</v>
          </cell>
          <cell r="AH177">
            <v>-26721.9</v>
          </cell>
          <cell r="AI177">
            <v>-31263.599999999999</v>
          </cell>
        </row>
        <row r="178">
          <cell r="A178" t="str">
            <v>37591-JSIMS</v>
          </cell>
          <cell r="B178">
            <v>37591</v>
          </cell>
          <cell r="C178" t="str">
            <v>JSIMS</v>
          </cell>
          <cell r="D178" t="str">
            <v>JSIMS</v>
          </cell>
          <cell r="E178">
            <v>2001</v>
          </cell>
          <cell r="F178" t="str">
            <v>-</v>
          </cell>
          <cell r="G178" t="str">
            <v>-</v>
          </cell>
          <cell r="H178" t="str">
            <v>-</v>
          </cell>
          <cell r="I178" t="str">
            <v>-</v>
          </cell>
          <cell r="J178" t="str">
            <v>-</v>
          </cell>
          <cell r="K178" t="str">
            <v>-</v>
          </cell>
          <cell r="L178">
            <v>-329.4</v>
          </cell>
          <cell r="M178">
            <v>-351.1</v>
          </cell>
          <cell r="N178" t="str">
            <v>-</v>
          </cell>
          <cell r="O178" t="str">
            <v>-</v>
          </cell>
          <cell r="P178" t="str">
            <v>-</v>
          </cell>
          <cell r="Q178" t="str">
            <v>-</v>
          </cell>
          <cell r="R178">
            <v>-329.4</v>
          </cell>
          <cell r="S178">
            <v>-351.1</v>
          </cell>
          <cell r="T178">
            <v>0.5</v>
          </cell>
          <cell r="U178">
            <v>-0.4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-</v>
          </cell>
          <cell r="AB178">
            <v>-362.6</v>
          </cell>
          <cell r="AC178">
            <v>-385.1</v>
          </cell>
          <cell r="AD178" t="str">
            <v>-</v>
          </cell>
          <cell r="AE178" t="str">
            <v>-</v>
          </cell>
          <cell r="AF178" t="str">
            <v>-</v>
          </cell>
          <cell r="AG178" t="str">
            <v>-</v>
          </cell>
          <cell r="AH178">
            <v>-362.1</v>
          </cell>
          <cell r="AI178">
            <v>-385.5</v>
          </cell>
        </row>
        <row r="179">
          <cell r="A179" t="str">
            <v>37591-JTRS NED</v>
          </cell>
          <cell r="B179">
            <v>37591</v>
          </cell>
          <cell r="C179" t="str">
            <v>JTRS WAVEFORM</v>
          </cell>
          <cell r="D179" t="str">
            <v>JTRS NED</v>
          </cell>
          <cell r="E179">
            <v>2002</v>
          </cell>
          <cell r="F179" t="str">
            <v>-</v>
          </cell>
          <cell r="G179" t="str">
            <v>-</v>
          </cell>
          <cell r="H179" t="str">
            <v>-</v>
          </cell>
          <cell r="I179" t="str">
            <v>-</v>
          </cell>
          <cell r="J179">
            <v>34.1</v>
          </cell>
          <cell r="K179">
            <v>34.1</v>
          </cell>
          <cell r="L179">
            <v>-50.7</v>
          </cell>
          <cell r="M179">
            <v>-50.7</v>
          </cell>
          <cell r="N179" t="str">
            <v>-</v>
          </cell>
          <cell r="O179" t="str">
            <v>-</v>
          </cell>
          <cell r="P179" t="str">
            <v>-</v>
          </cell>
          <cell r="Q179" t="str">
            <v>-</v>
          </cell>
          <cell r="R179">
            <v>-16.600000000000001</v>
          </cell>
          <cell r="S179">
            <v>-16.600000000000001</v>
          </cell>
          <cell r="T179">
            <v>64.400000000000006</v>
          </cell>
          <cell r="U179">
            <v>64.400000000000006</v>
          </cell>
          <cell r="V179" t="str">
            <v>-</v>
          </cell>
          <cell r="W179" t="str">
            <v>-</v>
          </cell>
          <cell r="X179" t="str">
            <v>-</v>
          </cell>
          <cell r="Y179" t="str">
            <v>-</v>
          </cell>
          <cell r="Z179">
            <v>37</v>
          </cell>
          <cell r="AA179">
            <v>37</v>
          </cell>
          <cell r="AB179">
            <v>-71.099999999999994</v>
          </cell>
          <cell r="AC179">
            <v>-71.099999999999994</v>
          </cell>
          <cell r="AD179" t="str">
            <v>-</v>
          </cell>
          <cell r="AE179" t="str">
            <v>-</v>
          </cell>
          <cell r="AF179" t="str">
            <v>-</v>
          </cell>
          <cell r="AG179" t="str">
            <v>-</v>
          </cell>
          <cell r="AH179">
            <v>30.3</v>
          </cell>
          <cell r="AI179">
            <v>30.3</v>
          </cell>
        </row>
        <row r="180">
          <cell r="A180" t="str">
            <v>37591-DoD Subtotal</v>
          </cell>
          <cell r="B180">
            <v>37591</v>
          </cell>
          <cell r="C180" t="str">
            <v>DoD Subtotal</v>
          </cell>
          <cell r="D180" t="str">
            <v>DoD Subtotal</v>
          </cell>
          <cell r="F180">
            <v>-16249.1</v>
          </cell>
          <cell r="G180">
            <v>-16249.1</v>
          </cell>
          <cell r="H180" t="str">
            <v>-</v>
          </cell>
          <cell r="I180">
            <v>3114.9</v>
          </cell>
          <cell r="J180">
            <v>17512.900000000001</v>
          </cell>
          <cell r="K180">
            <v>17512.900000000001</v>
          </cell>
          <cell r="L180">
            <v>-221</v>
          </cell>
          <cell r="M180">
            <v>5389.1</v>
          </cell>
          <cell r="N180" t="str">
            <v>-</v>
          </cell>
          <cell r="O180">
            <v>7.6</v>
          </cell>
          <cell r="P180">
            <v>-2595.1</v>
          </cell>
          <cell r="Q180">
            <v>-2595.1</v>
          </cell>
          <cell r="R180">
            <v>-1552.3</v>
          </cell>
          <cell r="S180">
            <v>7180.3</v>
          </cell>
          <cell r="T180">
            <v>-3933.9</v>
          </cell>
          <cell r="U180">
            <v>-8823</v>
          </cell>
          <cell r="V180">
            <v>-25434.9</v>
          </cell>
          <cell r="W180">
            <v>-25434.9</v>
          </cell>
          <cell r="X180">
            <v>2662.9</v>
          </cell>
          <cell r="Y180">
            <v>6538.5</v>
          </cell>
          <cell r="Z180">
            <v>19539.5</v>
          </cell>
          <cell r="AA180">
            <v>19539.5</v>
          </cell>
          <cell r="AB180">
            <v>-415.8</v>
          </cell>
          <cell r="AC180">
            <v>4415.6000000000004</v>
          </cell>
          <cell r="AD180" t="str">
            <v>-</v>
          </cell>
          <cell r="AE180">
            <v>8.6999999999999993</v>
          </cell>
          <cell r="AF180">
            <v>-3673.5</v>
          </cell>
          <cell r="AG180">
            <v>-3673.5</v>
          </cell>
          <cell r="AH180">
            <v>-11255.7</v>
          </cell>
          <cell r="AI180">
            <v>-7429.1</v>
          </cell>
        </row>
        <row r="181">
          <cell r="A181" t="str">
            <v>37591-Grand Total</v>
          </cell>
          <cell r="B181">
            <v>37591</v>
          </cell>
          <cell r="C181" t="str">
            <v>Grand Total</v>
          </cell>
          <cell r="D181" t="str">
            <v>Grand Total</v>
          </cell>
          <cell r="F181">
            <v>-30913.4</v>
          </cell>
          <cell r="G181">
            <v>-12960.4</v>
          </cell>
          <cell r="H181">
            <v>973.6</v>
          </cell>
          <cell r="I181">
            <v>8117.4</v>
          </cell>
          <cell r="J181">
            <v>26186.400000000001</v>
          </cell>
          <cell r="K181">
            <v>47290</v>
          </cell>
          <cell r="L181">
            <v>18109.8</v>
          </cell>
          <cell r="M181">
            <v>102207.7</v>
          </cell>
          <cell r="N181">
            <v>12</v>
          </cell>
          <cell r="O181">
            <v>905.5</v>
          </cell>
          <cell r="P181">
            <v>246.2</v>
          </cell>
          <cell r="Q181">
            <v>6388.6</v>
          </cell>
          <cell r="R181">
            <v>14614.6</v>
          </cell>
          <cell r="S181">
            <v>151948.79999999999</v>
          </cell>
          <cell r="T181">
            <v>-13488.9</v>
          </cell>
          <cell r="U181">
            <v>-67751.8</v>
          </cell>
          <cell r="V181">
            <v>-48835.5</v>
          </cell>
          <cell r="W181">
            <v>-23993.5</v>
          </cell>
          <cell r="X181">
            <v>7384.1</v>
          </cell>
          <cell r="Y181">
            <v>27682.2</v>
          </cell>
          <cell r="Z181">
            <v>30662</v>
          </cell>
          <cell r="AA181">
            <v>56740.9</v>
          </cell>
          <cell r="AB181">
            <v>23163</v>
          </cell>
          <cell r="AC181">
            <v>123534.2</v>
          </cell>
          <cell r="AD181">
            <v>13.2</v>
          </cell>
          <cell r="AE181">
            <v>1000.7</v>
          </cell>
          <cell r="AF181">
            <v>267.39999999999998</v>
          </cell>
          <cell r="AG181">
            <v>8238</v>
          </cell>
          <cell r="AH181">
            <v>-834.7</v>
          </cell>
          <cell r="AI181">
            <v>125450.7</v>
          </cell>
        </row>
        <row r="821">
          <cell r="D821" t="str">
            <v>AB3 APACHE Block III</v>
          </cell>
          <cell r="E821">
            <v>2006</v>
          </cell>
          <cell r="F821">
            <v>1687.3</v>
          </cell>
          <cell r="G821">
            <v>1956.5</v>
          </cell>
          <cell r="H821">
            <v>11.6</v>
          </cell>
          <cell r="I821">
            <v>11.6</v>
          </cell>
          <cell r="J821" t="str">
            <v>-</v>
          </cell>
          <cell r="K821" t="str">
            <v>-</v>
          </cell>
          <cell r="L821">
            <v>-124.5</v>
          </cell>
          <cell r="M821">
            <v>182.9</v>
          </cell>
          <cell r="N821" t="str">
            <v>-</v>
          </cell>
          <cell r="O821" t="str">
            <v>-</v>
          </cell>
          <cell r="P821">
            <v>981.3</v>
          </cell>
          <cell r="Q821">
            <v>1010.1</v>
          </cell>
          <cell r="R821">
            <v>2555.6999999999998</v>
          </cell>
          <cell r="S821">
            <v>3161.1</v>
          </cell>
          <cell r="T821">
            <v>-330.8</v>
          </cell>
          <cell r="U821">
            <v>-405.8</v>
          </cell>
          <cell r="V821">
            <v>2058.1999999999998</v>
          </cell>
          <cell r="W821">
            <v>2453.6999999999998</v>
          </cell>
          <cell r="X821">
            <v>-2</v>
          </cell>
          <cell r="Y821">
            <v>143.6</v>
          </cell>
          <cell r="Z821" t="str">
            <v>-</v>
          </cell>
          <cell r="AA821" t="str">
            <v>-</v>
          </cell>
          <cell r="AB821">
            <v>-243.4</v>
          </cell>
          <cell r="AC821">
            <v>150.80000000000001</v>
          </cell>
          <cell r="AD821" t="str">
            <v>-</v>
          </cell>
          <cell r="AE821" t="str">
            <v>-</v>
          </cell>
          <cell r="AF821">
            <v>1207.5999999999999</v>
          </cell>
          <cell r="AG821">
            <v>1249.8</v>
          </cell>
          <cell r="AH821">
            <v>2689.6</v>
          </cell>
          <cell r="AI821">
            <v>3592.1</v>
          </cell>
        </row>
        <row r="822">
          <cell r="D822" t="str">
            <v>ATIRCM/CMWS SPLIT</v>
          </cell>
          <cell r="E822">
            <v>2003</v>
          </cell>
          <cell r="F822">
            <v>-763.6</v>
          </cell>
          <cell r="G822">
            <v>180.9</v>
          </cell>
          <cell r="H822">
            <v>-520.70000000000005</v>
          </cell>
          <cell r="I822">
            <v>-593.70000000000005</v>
          </cell>
          <cell r="J822">
            <v>302.8</v>
          </cell>
          <cell r="K822">
            <v>138.9</v>
          </cell>
          <cell r="L822">
            <v>-18.100000000000001</v>
          </cell>
          <cell r="M822">
            <v>312.39999999999998</v>
          </cell>
          <cell r="N822" t="str">
            <v>-</v>
          </cell>
          <cell r="O822" t="str">
            <v>-</v>
          </cell>
          <cell r="P822">
            <v>-157.5</v>
          </cell>
          <cell r="Q822">
            <v>-9.6</v>
          </cell>
          <cell r="R822">
            <v>-1157.0999999999999</v>
          </cell>
          <cell r="S822">
            <v>28.9</v>
          </cell>
          <cell r="T822">
            <v>-48.8</v>
          </cell>
          <cell r="U822">
            <v>25.4</v>
          </cell>
          <cell r="V822">
            <v>-937.7</v>
          </cell>
          <cell r="W822">
            <v>303.3</v>
          </cell>
          <cell r="X822">
            <v>-638.9</v>
          </cell>
          <cell r="Y822">
            <v>-866.9</v>
          </cell>
          <cell r="Z822">
            <v>351.4</v>
          </cell>
          <cell r="AA822">
            <v>179.7</v>
          </cell>
          <cell r="AB822">
            <v>-21.8</v>
          </cell>
          <cell r="AC822">
            <v>331.5</v>
          </cell>
          <cell r="AD822">
            <v>0</v>
          </cell>
          <cell r="AE822">
            <v>0</v>
          </cell>
          <cell r="AF822">
            <v>-185.7</v>
          </cell>
          <cell r="AG822">
            <v>6.6</v>
          </cell>
          <cell r="AH822">
            <v>-1481.5</v>
          </cell>
          <cell r="AI822">
            <v>-20.399999999999999</v>
          </cell>
        </row>
        <row r="823">
          <cell r="D823" t="str">
            <v>ATIRCM/CMWS SPLIT</v>
          </cell>
          <cell r="E823">
            <v>2003</v>
          </cell>
          <cell r="F823">
            <v>21.8</v>
          </cell>
          <cell r="G823">
            <v>376.7</v>
          </cell>
          <cell r="H823" t="str">
            <v>-</v>
          </cell>
          <cell r="I823">
            <v>-99.2</v>
          </cell>
          <cell r="J823">
            <v>829.5</v>
          </cell>
          <cell r="K823">
            <v>635</v>
          </cell>
          <cell r="L823">
            <v>-6.5</v>
          </cell>
          <cell r="M823">
            <v>204.8</v>
          </cell>
          <cell r="N823" t="str">
            <v>-</v>
          </cell>
          <cell r="O823" t="str">
            <v>-</v>
          </cell>
          <cell r="P823">
            <v>136</v>
          </cell>
          <cell r="Q823">
            <v>51.6</v>
          </cell>
          <cell r="R823">
            <v>980.8</v>
          </cell>
          <cell r="S823">
            <v>1168.9000000000001</v>
          </cell>
          <cell r="T823">
            <v>-10.6</v>
          </cell>
          <cell r="U823">
            <v>124.6</v>
          </cell>
          <cell r="V823">
            <v>27.2</v>
          </cell>
          <cell r="W823">
            <v>587.1</v>
          </cell>
          <cell r="X823">
            <v>1.7</v>
          </cell>
          <cell r="Y823">
            <v>-424.3</v>
          </cell>
          <cell r="Z823">
            <v>1015.5</v>
          </cell>
          <cell r="AA823">
            <v>704</v>
          </cell>
          <cell r="AB823">
            <v>-7.8</v>
          </cell>
          <cell r="AC823">
            <v>258.5</v>
          </cell>
          <cell r="AD823">
            <v>0</v>
          </cell>
          <cell r="AE823">
            <v>0</v>
          </cell>
          <cell r="AF823">
            <v>152.4</v>
          </cell>
          <cell r="AG823">
            <v>42.7</v>
          </cell>
          <cell r="AH823">
            <v>1178.4000000000001</v>
          </cell>
          <cell r="AI823">
            <v>1292.5999999999999</v>
          </cell>
        </row>
        <row r="824">
          <cell r="D824" t="str">
            <v>UH-60M Black Hawk Upgrade</v>
          </cell>
          <cell r="E824">
            <v>2005</v>
          </cell>
          <cell r="F824" t="str">
            <v>-</v>
          </cell>
          <cell r="G824" t="str">
            <v>-</v>
          </cell>
          <cell r="H824">
            <v>24.1</v>
          </cell>
          <cell r="I824">
            <v>136.19999999999999</v>
          </cell>
          <cell r="J824">
            <v>-280.8</v>
          </cell>
          <cell r="K824">
            <v>613</v>
          </cell>
          <cell r="L824">
            <v>607.9</v>
          </cell>
          <cell r="M824">
            <v>1619.4</v>
          </cell>
          <cell r="N824" t="str">
            <v>-</v>
          </cell>
          <cell r="O824" t="str">
            <v>-</v>
          </cell>
          <cell r="P824">
            <v>254</v>
          </cell>
          <cell r="Q824">
            <v>370.1</v>
          </cell>
          <cell r="R824">
            <v>605.20000000000005</v>
          </cell>
          <cell r="S824">
            <v>2738.7</v>
          </cell>
          <cell r="T824">
            <v>-798.1</v>
          </cell>
          <cell r="U824">
            <v>-713.1</v>
          </cell>
          <cell r="V824" t="str">
            <v>-</v>
          </cell>
          <cell r="W824" t="str">
            <v>-</v>
          </cell>
          <cell r="X824">
            <v>-252.5</v>
          </cell>
          <cell r="Y824">
            <v>333.1</v>
          </cell>
          <cell r="Z824">
            <v>-373.3</v>
          </cell>
          <cell r="AA824">
            <v>738.8</v>
          </cell>
          <cell r="AB824">
            <v>747.9</v>
          </cell>
          <cell r="AC824">
            <v>2006.6</v>
          </cell>
          <cell r="AD824" t="str">
            <v>-</v>
          </cell>
          <cell r="AE824" t="str">
            <v>-</v>
          </cell>
          <cell r="AF824">
            <v>315</v>
          </cell>
          <cell r="AG824">
            <v>469.2</v>
          </cell>
          <cell r="AH824">
            <v>-361</v>
          </cell>
          <cell r="AI824">
            <v>2834.6</v>
          </cell>
        </row>
        <row r="825">
          <cell r="D825" t="str">
            <v>BRADLEY UPGRADE</v>
          </cell>
          <cell r="E825">
            <v>2001</v>
          </cell>
          <cell r="F825">
            <v>158.19999999999999</v>
          </cell>
          <cell r="G825">
            <v>4577.1000000000004</v>
          </cell>
          <cell r="H825">
            <v>22.7</v>
          </cell>
          <cell r="I825">
            <v>85.1</v>
          </cell>
          <cell r="J825">
            <v>-30.5</v>
          </cell>
          <cell r="K825">
            <v>595</v>
          </cell>
          <cell r="L825">
            <v>-366.2</v>
          </cell>
          <cell r="M825">
            <v>-1107.3</v>
          </cell>
          <cell r="N825" t="str">
            <v>-</v>
          </cell>
          <cell r="O825" t="str">
            <v>-</v>
          </cell>
          <cell r="P825">
            <v>-285</v>
          </cell>
          <cell r="Q825">
            <v>194.9</v>
          </cell>
          <cell r="R825">
            <v>-500.8</v>
          </cell>
          <cell r="S825">
            <v>4344.8</v>
          </cell>
          <cell r="T825">
            <v>-51</v>
          </cell>
          <cell r="U825">
            <v>-46.8</v>
          </cell>
          <cell r="V825">
            <v>188.7</v>
          </cell>
          <cell r="W825">
            <v>5786</v>
          </cell>
          <cell r="X825">
            <v>-83.6</v>
          </cell>
          <cell r="Y825">
            <v>-377.2</v>
          </cell>
          <cell r="Z825">
            <v>-36.4</v>
          </cell>
          <cell r="AA825">
            <v>714.7</v>
          </cell>
          <cell r="AB825">
            <v>-444.7</v>
          </cell>
          <cell r="AC825">
            <v>-1329</v>
          </cell>
          <cell r="AD825" t="str">
            <v>-</v>
          </cell>
          <cell r="AE825" t="str">
            <v>-</v>
          </cell>
          <cell r="AF825">
            <v>-365</v>
          </cell>
          <cell r="AG825">
            <v>295.7</v>
          </cell>
          <cell r="AH825">
            <v>-792</v>
          </cell>
          <cell r="AI825">
            <v>5043.3999999999996</v>
          </cell>
        </row>
        <row r="826">
          <cell r="D826" t="str">
            <v>CH-47F</v>
          </cell>
          <cell r="E826">
            <v>2005</v>
          </cell>
          <cell r="F826">
            <v>278.7</v>
          </cell>
          <cell r="G826">
            <v>296</v>
          </cell>
          <cell r="H826">
            <v>-4.0999999999999996</v>
          </cell>
          <cell r="I826">
            <v>-4.2</v>
          </cell>
          <cell r="J826" t="str">
            <v>-</v>
          </cell>
          <cell r="K826">
            <v>0.5</v>
          </cell>
          <cell r="L826">
            <v>202.9</v>
          </cell>
          <cell r="M826">
            <v>1123.4000000000001</v>
          </cell>
          <cell r="N826" t="str">
            <v>-</v>
          </cell>
          <cell r="O826" t="str">
            <v>-</v>
          </cell>
          <cell r="P826">
            <v>59.2</v>
          </cell>
          <cell r="Q826">
            <v>21.8</v>
          </cell>
          <cell r="R826">
            <v>536.70000000000005</v>
          </cell>
          <cell r="S826">
            <v>1437.5</v>
          </cell>
          <cell r="T826">
            <v>-252.8</v>
          </cell>
          <cell r="U826">
            <v>-148.9</v>
          </cell>
          <cell r="V826">
            <v>325.10000000000002</v>
          </cell>
          <cell r="W826">
            <v>348.5</v>
          </cell>
          <cell r="X826">
            <v>-115.1</v>
          </cell>
          <cell r="Y826">
            <v>-267.10000000000002</v>
          </cell>
          <cell r="Z826" t="str">
            <v>-</v>
          </cell>
          <cell r="AA826">
            <v>0.5</v>
          </cell>
          <cell r="AB826">
            <v>264.2</v>
          </cell>
          <cell r="AC826">
            <v>1543.6</v>
          </cell>
          <cell r="AD826" t="str">
            <v>-</v>
          </cell>
          <cell r="AE826" t="str">
            <v>-</v>
          </cell>
          <cell r="AF826">
            <v>64.5</v>
          </cell>
          <cell r="AG826">
            <v>12.2</v>
          </cell>
          <cell r="AH826">
            <v>285.89999999999998</v>
          </cell>
          <cell r="AI826">
            <v>1488.8</v>
          </cell>
        </row>
        <row r="827">
          <cell r="D827" t="str">
            <v>EXCALIBUR</v>
          </cell>
          <cell r="E827">
            <v>2007</v>
          </cell>
          <cell r="F827">
            <v>36.6</v>
          </cell>
          <cell r="G827">
            <v>36.6</v>
          </cell>
          <cell r="H827">
            <v>40.4</v>
          </cell>
          <cell r="I827">
            <v>40.4</v>
          </cell>
          <cell r="J827" t="str">
            <v>-</v>
          </cell>
          <cell r="K827" t="str">
            <v>-</v>
          </cell>
          <cell r="L827">
            <v>-10.5</v>
          </cell>
          <cell r="M827">
            <v>-43.1</v>
          </cell>
          <cell r="N827" t="str">
            <v>-</v>
          </cell>
          <cell r="O827" t="str">
            <v>-</v>
          </cell>
          <cell r="P827">
            <v>-0.6</v>
          </cell>
          <cell r="Q827">
            <v>-0.1</v>
          </cell>
          <cell r="R827">
            <v>65.900000000000006</v>
          </cell>
          <cell r="S827">
            <v>33.799999999999997</v>
          </cell>
          <cell r="T827">
            <v>-52.1</v>
          </cell>
          <cell r="U827">
            <v>-79.400000000000006</v>
          </cell>
          <cell r="V827">
            <v>39.700000000000003</v>
          </cell>
          <cell r="W827">
            <v>39.700000000000003</v>
          </cell>
          <cell r="X827">
            <v>37.4</v>
          </cell>
          <cell r="Y827">
            <v>37.5</v>
          </cell>
          <cell r="Z827" t="str">
            <v>-</v>
          </cell>
          <cell r="AA827" t="str">
            <v>-</v>
          </cell>
          <cell r="AB827">
            <v>-19.899999999999999</v>
          </cell>
          <cell r="AC827">
            <v>-46.9</v>
          </cell>
          <cell r="AD827" t="str">
            <v>-</v>
          </cell>
          <cell r="AE827" t="str">
            <v>-</v>
          </cell>
          <cell r="AF827">
            <v>-0.6</v>
          </cell>
          <cell r="AG827" t="str">
            <v>-</v>
          </cell>
          <cell r="AH827">
            <v>4.5</v>
          </cell>
          <cell r="AI827">
            <v>-49.1</v>
          </cell>
        </row>
        <row r="828">
          <cell r="D828" t="str">
            <v>FBCB2</v>
          </cell>
          <cell r="E828">
            <v>2005</v>
          </cell>
          <cell r="F828">
            <v>192.1</v>
          </cell>
          <cell r="G828">
            <v>1431.3</v>
          </cell>
          <cell r="H828">
            <v>-22.5</v>
          </cell>
          <cell r="I828">
            <v>-44.7</v>
          </cell>
          <cell r="J828">
            <v>32.700000000000003</v>
          </cell>
          <cell r="K828">
            <v>185.4</v>
          </cell>
          <cell r="L828">
            <v>42.6</v>
          </cell>
          <cell r="M828">
            <v>197.2</v>
          </cell>
          <cell r="N828" t="str">
            <v>-</v>
          </cell>
          <cell r="O828" t="str">
            <v>-</v>
          </cell>
          <cell r="P828">
            <v>-125.4</v>
          </cell>
          <cell r="Q828">
            <v>315.39999999999998</v>
          </cell>
          <cell r="R828">
            <v>119.5</v>
          </cell>
          <cell r="S828">
            <v>2084.6</v>
          </cell>
          <cell r="T828">
            <v>-14.4</v>
          </cell>
          <cell r="U828">
            <v>15</v>
          </cell>
          <cell r="V828">
            <v>217.4</v>
          </cell>
          <cell r="W828">
            <v>1600.7</v>
          </cell>
          <cell r="X828">
            <v>-31.7</v>
          </cell>
          <cell r="Y828">
            <v>-120.2</v>
          </cell>
          <cell r="Z828">
            <v>37.1</v>
          </cell>
          <cell r="AA828">
            <v>198.4</v>
          </cell>
          <cell r="AB828">
            <v>56</v>
          </cell>
          <cell r="AC828">
            <v>238.8</v>
          </cell>
          <cell r="AD828" t="str">
            <v>-</v>
          </cell>
          <cell r="AE828" t="str">
            <v>-</v>
          </cell>
          <cell r="AF828">
            <v>-146.30000000000001</v>
          </cell>
          <cell r="AG828">
            <v>357.6</v>
          </cell>
          <cell r="AH828">
            <v>118.1</v>
          </cell>
          <cell r="AI828">
            <v>2290.3000000000002</v>
          </cell>
        </row>
        <row r="829">
          <cell r="D829" t="str">
            <v>FMTV</v>
          </cell>
          <cell r="E829">
            <v>1996</v>
          </cell>
          <cell r="F829" t="str">
            <v>-</v>
          </cell>
          <cell r="G829">
            <v>-97.2</v>
          </cell>
          <cell r="H829" t="str">
            <v>-</v>
          </cell>
          <cell r="I829">
            <v>42.8</v>
          </cell>
          <cell r="J829">
            <v>12.9</v>
          </cell>
          <cell r="K829">
            <v>2229.1999999999998</v>
          </cell>
          <cell r="L829">
            <v>401.8</v>
          </cell>
          <cell r="M829">
            <v>2960.4</v>
          </cell>
          <cell r="N829" t="str">
            <v>-</v>
          </cell>
          <cell r="O829" t="str">
            <v>-</v>
          </cell>
          <cell r="P829">
            <v>-284.5</v>
          </cell>
          <cell r="Q829">
            <v>-82.6</v>
          </cell>
          <cell r="R829">
            <v>130.19999999999999</v>
          </cell>
          <cell r="S829">
            <v>5052.6000000000004</v>
          </cell>
          <cell r="T829">
            <v>-258.39999999999998</v>
          </cell>
          <cell r="U829">
            <v>-2783.9</v>
          </cell>
          <cell r="V829" t="str">
            <v>-</v>
          </cell>
          <cell r="W829">
            <v>-597.79999999999995</v>
          </cell>
          <cell r="X829">
            <v>44.1</v>
          </cell>
          <cell r="Y829">
            <v>-1685.8</v>
          </cell>
          <cell r="Z829">
            <v>17.3</v>
          </cell>
          <cell r="AA829">
            <v>3047.6</v>
          </cell>
          <cell r="AB829">
            <v>504.3</v>
          </cell>
          <cell r="AC829">
            <v>3955.5</v>
          </cell>
          <cell r="AD829" t="str">
            <v>-</v>
          </cell>
          <cell r="AE829" t="str">
            <v>-</v>
          </cell>
          <cell r="AF829">
            <v>-357.1</v>
          </cell>
          <cell r="AG829">
            <v>-230.3</v>
          </cell>
          <cell r="AH829">
            <v>-49.8</v>
          </cell>
          <cell r="AI829">
            <v>1705.3</v>
          </cell>
        </row>
        <row r="830">
          <cell r="D830" t="str">
            <v>GMLRS</v>
          </cell>
          <cell r="E830">
            <v>2003</v>
          </cell>
          <cell r="F830">
            <v>154.4</v>
          </cell>
          <cell r="G830">
            <v>-5775.3</v>
          </cell>
          <cell r="H830" t="str">
            <v>-</v>
          </cell>
          <cell r="I830">
            <v>224.1</v>
          </cell>
          <cell r="J830">
            <v>8.5</v>
          </cell>
          <cell r="K830">
            <v>8.5</v>
          </cell>
          <cell r="L830">
            <v>21.2</v>
          </cell>
          <cell r="M830">
            <v>654.20000000000005</v>
          </cell>
          <cell r="N830" t="str">
            <v>-</v>
          </cell>
          <cell r="O830" t="str">
            <v>-</v>
          </cell>
          <cell r="P830">
            <v>-2.9</v>
          </cell>
          <cell r="Q830">
            <v>7.2</v>
          </cell>
          <cell r="R830">
            <v>181.2</v>
          </cell>
          <cell r="S830">
            <v>-4881.3</v>
          </cell>
          <cell r="T830">
            <v>-166.6</v>
          </cell>
          <cell r="U830">
            <v>502.8</v>
          </cell>
          <cell r="V830">
            <v>190.1</v>
          </cell>
          <cell r="W830">
            <v>-8732.6</v>
          </cell>
          <cell r="X830">
            <v>-12.3</v>
          </cell>
          <cell r="Y830">
            <v>1279.0999999999999</v>
          </cell>
          <cell r="Z830">
            <v>10.8</v>
          </cell>
          <cell r="AA830">
            <v>10.8</v>
          </cell>
          <cell r="AB830">
            <v>31.5</v>
          </cell>
          <cell r="AC830">
            <v>1141.8</v>
          </cell>
          <cell r="AD830" t="str">
            <v>-</v>
          </cell>
          <cell r="AE830" t="str">
            <v>-</v>
          </cell>
          <cell r="AF830">
            <v>-2.9</v>
          </cell>
          <cell r="AG830">
            <v>8.1</v>
          </cell>
          <cell r="AH830">
            <v>50.6</v>
          </cell>
          <cell r="AI830">
            <v>-5790</v>
          </cell>
        </row>
        <row r="831">
          <cell r="D831" t="str">
            <v>HIMARS</v>
          </cell>
          <cell r="E831">
            <v>2003</v>
          </cell>
          <cell r="F831" t="str">
            <v>-</v>
          </cell>
          <cell r="G831">
            <v>-1689.8</v>
          </cell>
          <cell r="H831" t="str">
            <v>-</v>
          </cell>
          <cell r="I831">
            <v>-16.600000000000001</v>
          </cell>
          <cell r="J831" t="str">
            <v>-</v>
          </cell>
          <cell r="K831">
            <v>35.5</v>
          </cell>
          <cell r="L831">
            <v>13.5</v>
          </cell>
          <cell r="M831">
            <v>-143.80000000000001</v>
          </cell>
          <cell r="N831" t="str">
            <v>-</v>
          </cell>
          <cell r="O831" t="str">
            <v>-</v>
          </cell>
          <cell r="P831">
            <v>-4.5999999999999996</v>
          </cell>
          <cell r="Q831">
            <v>-90.8</v>
          </cell>
          <cell r="R831">
            <v>8.9</v>
          </cell>
          <cell r="S831">
            <v>-1905.5</v>
          </cell>
          <cell r="T831">
            <v>-17.399999999999999</v>
          </cell>
          <cell r="U831">
            <v>229.9</v>
          </cell>
          <cell r="V831" t="str">
            <v>-</v>
          </cell>
          <cell r="W831">
            <v>-2332.3000000000002</v>
          </cell>
          <cell r="X831" t="str">
            <v>-</v>
          </cell>
          <cell r="Y831">
            <v>-17.3</v>
          </cell>
          <cell r="Z831" t="str">
            <v>-</v>
          </cell>
          <cell r="AA831">
            <v>39.6</v>
          </cell>
          <cell r="AB831">
            <v>17.8</v>
          </cell>
          <cell r="AC831">
            <v>-118.5</v>
          </cell>
          <cell r="AD831" t="str">
            <v>-</v>
          </cell>
          <cell r="AE831" t="str">
            <v>-</v>
          </cell>
          <cell r="AF831">
            <v>-5.6</v>
          </cell>
          <cell r="AG831">
            <v>-146</v>
          </cell>
          <cell r="AH831">
            <v>-5.2</v>
          </cell>
          <cell r="AI831">
            <v>-2344.6</v>
          </cell>
        </row>
        <row r="832">
          <cell r="D832" t="str">
            <v>JLENS</v>
          </cell>
          <cell r="E832">
            <v>2005</v>
          </cell>
          <cell r="F832" t="str">
            <v>-</v>
          </cell>
          <cell r="G832" t="str">
            <v>-</v>
          </cell>
          <cell r="H832">
            <v>187.5</v>
          </cell>
          <cell r="I832">
            <v>187.5</v>
          </cell>
          <cell r="J832" t="str">
            <v>-</v>
          </cell>
          <cell r="K832" t="str">
            <v>-</v>
          </cell>
          <cell r="L832">
            <v>231.6</v>
          </cell>
          <cell r="M832">
            <v>420.6</v>
          </cell>
          <cell r="N832" t="str">
            <v>-</v>
          </cell>
          <cell r="O832" t="str">
            <v>-</v>
          </cell>
          <cell r="P832">
            <v>64.8</v>
          </cell>
          <cell r="Q832">
            <v>114.4</v>
          </cell>
          <cell r="R832">
            <v>483.9</v>
          </cell>
          <cell r="S832">
            <v>722.5</v>
          </cell>
          <cell r="T832">
            <v>-209.2</v>
          </cell>
          <cell r="U832">
            <v>-127.4</v>
          </cell>
          <cell r="V832" t="str">
            <v>-</v>
          </cell>
          <cell r="W832" t="str">
            <v>-</v>
          </cell>
          <cell r="X832">
            <v>365.1</v>
          </cell>
          <cell r="Y832">
            <v>322.10000000000002</v>
          </cell>
          <cell r="Z832" t="str">
            <v>-</v>
          </cell>
          <cell r="AA832" t="str">
            <v>-</v>
          </cell>
          <cell r="AB832">
            <v>305.5</v>
          </cell>
          <cell r="AC832">
            <v>543</v>
          </cell>
          <cell r="AD832" t="str">
            <v>-</v>
          </cell>
          <cell r="AE832" t="str">
            <v>-</v>
          </cell>
          <cell r="AF832">
            <v>102.1</v>
          </cell>
          <cell r="AG832">
            <v>175.1</v>
          </cell>
          <cell r="AH832">
            <v>563.5</v>
          </cell>
          <cell r="AI832">
            <v>912.8</v>
          </cell>
        </row>
        <row r="833">
          <cell r="D833" t="e">
            <v>#N/A</v>
          </cell>
          <cell r="E833">
            <v>1996</v>
          </cell>
          <cell r="F833">
            <v>423.3</v>
          </cell>
          <cell r="G833">
            <v>601.79999999999995</v>
          </cell>
          <cell r="H833">
            <v>5.5</v>
          </cell>
          <cell r="I833">
            <v>5.5</v>
          </cell>
          <cell r="J833">
            <v>823.2</v>
          </cell>
          <cell r="K833">
            <v>2907</v>
          </cell>
          <cell r="L833">
            <v>258.60000000000002</v>
          </cell>
          <cell r="M833">
            <v>1680.9</v>
          </cell>
          <cell r="N833" t="str">
            <v>-</v>
          </cell>
          <cell r="O833" t="str">
            <v>-</v>
          </cell>
          <cell r="P833">
            <v>2.2000000000000002</v>
          </cell>
          <cell r="Q833">
            <v>453</v>
          </cell>
          <cell r="R833">
            <v>1512.8</v>
          </cell>
          <cell r="S833">
            <v>5648.2</v>
          </cell>
          <cell r="T833">
            <v>-17.600000000000001</v>
          </cell>
          <cell r="U833">
            <v>-268.7</v>
          </cell>
          <cell r="V833">
            <v>542.70000000000005</v>
          </cell>
          <cell r="W833">
            <v>715</v>
          </cell>
          <cell r="X833">
            <v>2.1</v>
          </cell>
          <cell r="Y833">
            <v>24.4</v>
          </cell>
          <cell r="Z833">
            <v>1060.2</v>
          </cell>
          <cell r="AA833">
            <v>3590.3</v>
          </cell>
          <cell r="AB833">
            <v>331.6</v>
          </cell>
          <cell r="AC833">
            <v>1529.1</v>
          </cell>
          <cell r="AD833" t="str">
            <v>-</v>
          </cell>
          <cell r="AE833" t="str">
            <v>-</v>
          </cell>
          <cell r="AF833">
            <v>2.5</v>
          </cell>
          <cell r="AG833">
            <v>486.6</v>
          </cell>
          <cell r="AH833">
            <v>1921.5</v>
          </cell>
          <cell r="AI833">
            <v>6076.7</v>
          </cell>
        </row>
        <row r="834">
          <cell r="D834" t="str">
            <v>LUH</v>
          </cell>
          <cell r="E834">
            <v>2006</v>
          </cell>
          <cell r="F834" t="str">
            <v>-</v>
          </cell>
          <cell r="G834">
            <v>110.5</v>
          </cell>
          <cell r="H834">
            <v>23.1</v>
          </cell>
          <cell r="I834">
            <v>30</v>
          </cell>
          <cell r="J834" t="str">
            <v>-</v>
          </cell>
          <cell r="K834">
            <v>74.400000000000006</v>
          </cell>
          <cell r="L834">
            <v>-66.8</v>
          </cell>
          <cell r="M834">
            <v>-76.400000000000006</v>
          </cell>
          <cell r="N834" t="str">
            <v>-</v>
          </cell>
          <cell r="O834" t="str">
            <v>-</v>
          </cell>
          <cell r="P834">
            <v>32.200000000000003</v>
          </cell>
          <cell r="Q834">
            <v>31.5</v>
          </cell>
          <cell r="R834">
            <v>-11.5</v>
          </cell>
          <cell r="S834">
            <v>170</v>
          </cell>
          <cell r="T834">
            <v>-44.9</v>
          </cell>
          <cell r="U834">
            <v>-50.2</v>
          </cell>
          <cell r="V834" t="str">
            <v>-</v>
          </cell>
          <cell r="W834">
            <v>139.30000000000001</v>
          </cell>
          <cell r="X834">
            <v>-4.5</v>
          </cell>
          <cell r="Y834">
            <v>-6.6</v>
          </cell>
          <cell r="Z834" t="str">
            <v>-</v>
          </cell>
          <cell r="AA834">
            <v>84.9</v>
          </cell>
          <cell r="AB834">
            <v>-72.7</v>
          </cell>
          <cell r="AC834">
            <v>-80.7</v>
          </cell>
          <cell r="AD834" t="str">
            <v>-</v>
          </cell>
          <cell r="AE834" t="str">
            <v>-</v>
          </cell>
          <cell r="AF834">
            <v>35.5</v>
          </cell>
          <cell r="AG834">
            <v>33.9</v>
          </cell>
          <cell r="AH834">
            <v>-86.6</v>
          </cell>
          <cell r="AI834">
            <v>120.6</v>
          </cell>
        </row>
        <row r="835">
          <cell r="D835" t="str">
            <v>PATRIOT PAC-3</v>
          </cell>
          <cell r="E835">
            <v>2002</v>
          </cell>
          <cell r="F835">
            <v>466.8</v>
          </cell>
          <cell r="G835">
            <v>3.3</v>
          </cell>
          <cell r="H835" t="str">
            <v>-</v>
          </cell>
          <cell r="I835">
            <v>46.8</v>
          </cell>
          <cell r="J835" t="str">
            <v>-</v>
          </cell>
          <cell r="K835" t="str">
            <v>-</v>
          </cell>
          <cell r="L835">
            <v>203.3</v>
          </cell>
          <cell r="M835">
            <v>-77.3</v>
          </cell>
          <cell r="N835" t="str">
            <v>-</v>
          </cell>
          <cell r="O835" t="str">
            <v>-</v>
          </cell>
          <cell r="P835" t="str">
            <v>-</v>
          </cell>
          <cell r="Q835" t="str">
            <v>-</v>
          </cell>
          <cell r="R835">
            <v>670.1</v>
          </cell>
          <cell r="S835">
            <v>-27.2</v>
          </cell>
          <cell r="T835">
            <v>-11</v>
          </cell>
          <cell r="U835">
            <v>159.80000000000001</v>
          </cell>
          <cell r="V835">
            <v>565.79999999999995</v>
          </cell>
          <cell r="W835">
            <v>6.9</v>
          </cell>
          <cell r="X835" t="str">
            <v>-</v>
          </cell>
          <cell r="Y835">
            <v>43.4</v>
          </cell>
          <cell r="Z835" t="str">
            <v>-</v>
          </cell>
          <cell r="AA835" t="str">
            <v>-</v>
          </cell>
          <cell r="AB835">
            <v>246.4</v>
          </cell>
          <cell r="AC835">
            <v>-89.8</v>
          </cell>
          <cell r="AD835" t="str">
            <v>-</v>
          </cell>
          <cell r="AE835" t="str">
            <v>-</v>
          </cell>
          <cell r="AF835" t="str">
            <v>-</v>
          </cell>
          <cell r="AG835" t="str">
            <v>-</v>
          </cell>
          <cell r="AH835">
            <v>801.2</v>
          </cell>
          <cell r="AI835">
            <v>120.3</v>
          </cell>
        </row>
        <row r="836">
          <cell r="D836" t="str">
            <v>PATRIOT/MEADS CAP SPLIT</v>
          </cell>
          <cell r="E836">
            <v>2004</v>
          </cell>
          <cell r="F836" t="str">
            <v>-</v>
          </cell>
          <cell r="G836" t="str">
            <v>-</v>
          </cell>
          <cell r="H836" t="str">
            <v>-</v>
          </cell>
          <cell r="I836" t="str">
            <v>-</v>
          </cell>
          <cell r="J836" t="str">
            <v>-</v>
          </cell>
          <cell r="K836" t="str">
            <v>-</v>
          </cell>
          <cell r="L836">
            <v>-16.5</v>
          </cell>
          <cell r="M836">
            <v>-651.70000000000005</v>
          </cell>
          <cell r="N836" t="str">
            <v>-</v>
          </cell>
          <cell r="O836" t="str">
            <v>-</v>
          </cell>
          <cell r="P836">
            <v>250.1</v>
          </cell>
          <cell r="Q836">
            <v>163</v>
          </cell>
          <cell r="R836">
            <v>233.6</v>
          </cell>
          <cell r="S836">
            <v>-488.7</v>
          </cell>
          <cell r="T836">
            <v>-928.8</v>
          </cell>
          <cell r="U836">
            <v>-53.2</v>
          </cell>
          <cell r="V836" t="str">
            <v>-</v>
          </cell>
          <cell r="W836" t="str">
            <v>-</v>
          </cell>
          <cell r="X836">
            <v>404.8</v>
          </cell>
          <cell r="Y836">
            <v>404.8</v>
          </cell>
          <cell r="Z836" t="str">
            <v>-</v>
          </cell>
          <cell r="AA836" t="str">
            <v>-</v>
          </cell>
          <cell r="AB836">
            <v>279.7</v>
          </cell>
          <cell r="AC836">
            <v>-533.5</v>
          </cell>
          <cell r="AD836" t="str">
            <v>-</v>
          </cell>
          <cell r="AE836" t="str">
            <v>-</v>
          </cell>
          <cell r="AF836">
            <v>429.9</v>
          </cell>
          <cell r="AG836">
            <v>307.8</v>
          </cell>
          <cell r="AH836">
            <v>185.6</v>
          </cell>
          <cell r="AI836">
            <v>125.9</v>
          </cell>
        </row>
        <row r="837">
          <cell r="D837" t="str">
            <v>PATRIOT/MEADS CAP SPLIT</v>
          </cell>
          <cell r="E837">
            <v>2004</v>
          </cell>
          <cell r="F837" t="str">
            <v>-</v>
          </cell>
          <cell r="G837" t="str">
            <v>-</v>
          </cell>
          <cell r="H837" t="str">
            <v>-</v>
          </cell>
          <cell r="I837" t="str">
            <v>-</v>
          </cell>
          <cell r="J837" t="str">
            <v>-</v>
          </cell>
          <cell r="K837" t="str">
            <v>-</v>
          </cell>
          <cell r="L837">
            <v>620.5</v>
          </cell>
          <cell r="M837">
            <v>424.7</v>
          </cell>
          <cell r="N837" t="str">
            <v>-</v>
          </cell>
          <cell r="O837" t="str">
            <v>-</v>
          </cell>
          <cell r="P837">
            <v>4</v>
          </cell>
          <cell r="Q837">
            <v>6.2</v>
          </cell>
          <cell r="R837">
            <v>624.5</v>
          </cell>
          <cell r="S837">
            <v>430.9</v>
          </cell>
          <cell r="T837">
            <v>-320.2</v>
          </cell>
          <cell r="U837">
            <v>-5.4</v>
          </cell>
          <cell r="V837" t="str">
            <v>-</v>
          </cell>
          <cell r="W837" t="str">
            <v>-</v>
          </cell>
          <cell r="X837">
            <v>254.4</v>
          </cell>
          <cell r="Y837">
            <v>267.39999999999998</v>
          </cell>
          <cell r="Z837" t="str">
            <v>-</v>
          </cell>
          <cell r="AA837" t="str">
            <v>-</v>
          </cell>
          <cell r="AB837">
            <v>781.3</v>
          </cell>
          <cell r="AC837">
            <v>512.9</v>
          </cell>
          <cell r="AD837" t="str">
            <v>-</v>
          </cell>
          <cell r="AE837" t="str">
            <v>-</v>
          </cell>
          <cell r="AF837">
            <v>31</v>
          </cell>
          <cell r="AG837">
            <v>31.1</v>
          </cell>
          <cell r="AH837">
            <v>746.5</v>
          </cell>
          <cell r="AI837">
            <v>806</v>
          </cell>
        </row>
        <row r="838">
          <cell r="D838" t="str">
            <v>STRYKER</v>
          </cell>
          <cell r="E838">
            <v>2004</v>
          </cell>
          <cell r="F838">
            <v>1142.0999999999999</v>
          </cell>
          <cell r="G838">
            <v>4895.5</v>
          </cell>
          <cell r="H838">
            <v>-15.2</v>
          </cell>
          <cell r="I838">
            <v>-65.400000000000006</v>
          </cell>
          <cell r="J838">
            <v>687.2</v>
          </cell>
          <cell r="K838">
            <v>2281.3000000000002</v>
          </cell>
          <cell r="L838">
            <v>-2031.2</v>
          </cell>
          <cell r="M838">
            <v>-2503.6999999999998</v>
          </cell>
          <cell r="N838" t="str">
            <v>-</v>
          </cell>
          <cell r="O838" t="str">
            <v>-</v>
          </cell>
          <cell r="P838">
            <v>-40.6</v>
          </cell>
          <cell r="Q838">
            <v>1112.2</v>
          </cell>
          <cell r="R838">
            <v>-257.7</v>
          </cell>
          <cell r="S838">
            <v>5719.9</v>
          </cell>
          <cell r="T838">
            <v>-44.6</v>
          </cell>
          <cell r="U838">
            <v>127</v>
          </cell>
          <cell r="V838">
            <v>1324.4</v>
          </cell>
          <cell r="W838">
            <v>5706.1</v>
          </cell>
          <cell r="X838">
            <v>-103.2</v>
          </cell>
          <cell r="Y838">
            <v>-279.60000000000002</v>
          </cell>
          <cell r="Z838">
            <v>786.2</v>
          </cell>
          <cell r="AA838">
            <v>2648.8</v>
          </cell>
          <cell r="AB838">
            <v>-2361.8000000000002</v>
          </cell>
          <cell r="AC838">
            <v>-2614.9</v>
          </cell>
          <cell r="AD838" t="str">
            <v>-</v>
          </cell>
          <cell r="AE838" t="str">
            <v>-</v>
          </cell>
          <cell r="AF838">
            <v>-96.1</v>
          </cell>
          <cell r="AG838">
            <v>1073.9000000000001</v>
          </cell>
          <cell r="AH838">
            <v>-495.1</v>
          </cell>
          <cell r="AI838">
            <v>6661.3</v>
          </cell>
        </row>
        <row r="839">
          <cell r="D839" t="str">
            <v>WIN-T Increment 1</v>
          </cell>
          <cell r="E839">
            <v>2007</v>
          </cell>
          <cell r="F839">
            <v>113.5</v>
          </cell>
          <cell r="G839">
            <v>113.5</v>
          </cell>
          <cell r="H839" t="str">
            <v>-</v>
          </cell>
          <cell r="I839" t="str">
            <v>-</v>
          </cell>
          <cell r="J839" t="str">
            <v>-</v>
          </cell>
          <cell r="K839" t="str">
            <v>-</v>
          </cell>
          <cell r="L839">
            <v>-57.6</v>
          </cell>
          <cell r="M839">
            <v>-60.7</v>
          </cell>
          <cell r="N839" t="str">
            <v>-</v>
          </cell>
          <cell r="O839" t="str">
            <v>-</v>
          </cell>
          <cell r="P839">
            <v>-75.400000000000006</v>
          </cell>
          <cell r="Q839">
            <v>-72.3</v>
          </cell>
          <cell r="R839">
            <v>-19.5</v>
          </cell>
          <cell r="S839">
            <v>-19.5</v>
          </cell>
          <cell r="T839">
            <v>-6.1</v>
          </cell>
          <cell r="U839">
            <v>-25.9</v>
          </cell>
          <cell r="V839">
            <v>118.5</v>
          </cell>
          <cell r="W839">
            <v>118.5</v>
          </cell>
          <cell r="X839">
            <v>0.1</v>
          </cell>
          <cell r="Y839">
            <v>-0.5</v>
          </cell>
          <cell r="Z839" t="str">
            <v>-</v>
          </cell>
          <cell r="AA839" t="str">
            <v>-</v>
          </cell>
          <cell r="AB839">
            <v>-60.1</v>
          </cell>
          <cell r="AC839">
            <v>-63.1</v>
          </cell>
          <cell r="AD839" t="str">
            <v>-</v>
          </cell>
          <cell r="AE839" t="str">
            <v>-</v>
          </cell>
          <cell r="AF839">
            <v>-77.099999999999994</v>
          </cell>
          <cell r="AG839">
            <v>-73.7</v>
          </cell>
          <cell r="AH839">
            <v>-24.7</v>
          </cell>
          <cell r="AI839">
            <v>-44.7</v>
          </cell>
        </row>
        <row r="840">
          <cell r="D840" t="str">
            <v>WIN-T Increment 2</v>
          </cell>
          <cell r="E840">
            <v>2010</v>
          </cell>
          <cell r="F840">
            <v>477.1</v>
          </cell>
          <cell r="G840">
            <v>477.1</v>
          </cell>
          <cell r="H840" t="str">
            <v>-</v>
          </cell>
          <cell r="I840" t="str">
            <v>-</v>
          </cell>
          <cell r="J840" t="str">
            <v>-</v>
          </cell>
          <cell r="K840" t="str">
            <v>-</v>
          </cell>
          <cell r="L840">
            <v>114.1</v>
          </cell>
          <cell r="M840">
            <v>192.6</v>
          </cell>
          <cell r="N840" t="str">
            <v>-</v>
          </cell>
          <cell r="O840" t="str">
            <v>-</v>
          </cell>
          <cell r="P840">
            <v>478.4</v>
          </cell>
          <cell r="Q840">
            <v>399.9</v>
          </cell>
          <cell r="R840">
            <v>1069.5999999999999</v>
          </cell>
          <cell r="S840">
            <v>1069.5999999999999</v>
          </cell>
          <cell r="T840">
            <v>-85.2</v>
          </cell>
          <cell r="U840">
            <v>-121</v>
          </cell>
          <cell r="V840">
            <v>527.4</v>
          </cell>
          <cell r="W840">
            <v>527.4</v>
          </cell>
          <cell r="X840">
            <v>36.1</v>
          </cell>
          <cell r="Y840">
            <v>36.1</v>
          </cell>
          <cell r="Z840" t="str">
            <v>-</v>
          </cell>
          <cell r="AA840" t="str">
            <v>-</v>
          </cell>
          <cell r="AB840">
            <v>119.9</v>
          </cell>
          <cell r="AC840">
            <v>205.9</v>
          </cell>
          <cell r="AD840" t="str">
            <v>-</v>
          </cell>
          <cell r="AE840" t="str">
            <v>-</v>
          </cell>
          <cell r="AF840">
            <v>528.70000000000005</v>
          </cell>
          <cell r="AG840">
            <v>442.3</v>
          </cell>
          <cell r="AH840">
            <v>1126.9000000000001</v>
          </cell>
          <cell r="AI840">
            <v>1090.7</v>
          </cell>
        </row>
        <row r="841">
          <cell r="D841" t="str">
            <v>Army Subtotal</v>
          </cell>
          <cell r="F841">
            <v>4388.3</v>
          </cell>
          <cell r="G841">
            <v>7494.5</v>
          </cell>
          <cell r="H841">
            <v>-247.6</v>
          </cell>
          <cell r="I841">
            <v>-13.8</v>
          </cell>
          <cell r="J841">
            <v>2385.5</v>
          </cell>
          <cell r="K841">
            <v>9703.7000000000007</v>
          </cell>
          <cell r="L841">
            <v>20.100000000000001</v>
          </cell>
          <cell r="M841">
            <v>5309.5</v>
          </cell>
          <cell r="N841" t="str">
            <v>-</v>
          </cell>
          <cell r="O841" t="str">
            <v>-</v>
          </cell>
          <cell r="P841">
            <v>1285.7</v>
          </cell>
          <cell r="Q841">
            <v>3995.9</v>
          </cell>
          <cell r="R841">
            <v>7832</v>
          </cell>
          <cell r="S841">
            <v>26489.8</v>
          </cell>
          <cell r="T841">
            <v>-3668.6</v>
          </cell>
          <cell r="U841">
            <v>-3645.2</v>
          </cell>
          <cell r="V841">
            <v>5187.5</v>
          </cell>
          <cell r="W841">
            <v>6669.5</v>
          </cell>
          <cell r="X841">
            <v>-98</v>
          </cell>
          <cell r="Y841">
            <v>-1154</v>
          </cell>
          <cell r="Z841">
            <v>2868.8</v>
          </cell>
          <cell r="AA841">
            <v>11958.1</v>
          </cell>
          <cell r="AB841">
            <v>453.9</v>
          </cell>
          <cell r="AC841">
            <v>7541.6</v>
          </cell>
          <cell r="AD841">
            <v>0</v>
          </cell>
          <cell r="AE841">
            <v>0</v>
          </cell>
          <cell r="AF841">
            <v>1632.8</v>
          </cell>
          <cell r="AG841">
            <v>4542.6000000000004</v>
          </cell>
          <cell r="AH841">
            <v>6376.4</v>
          </cell>
          <cell r="AI841">
            <v>25912.6</v>
          </cell>
        </row>
        <row r="844">
          <cell r="D844" t="str">
            <v>AGM-88E</v>
          </cell>
          <cell r="E844">
            <v>2003</v>
          </cell>
          <cell r="F844">
            <v>2.6</v>
          </cell>
          <cell r="G844">
            <v>44</v>
          </cell>
          <cell r="H844">
            <v>3.2</v>
          </cell>
          <cell r="I844">
            <v>3.8</v>
          </cell>
          <cell r="J844">
            <v>16.5</v>
          </cell>
          <cell r="K844">
            <v>17.2</v>
          </cell>
          <cell r="L844">
            <v>59.8</v>
          </cell>
          <cell r="M844">
            <v>128.5</v>
          </cell>
          <cell r="N844" t="str">
            <v>-</v>
          </cell>
          <cell r="O844" t="str">
            <v>-</v>
          </cell>
          <cell r="P844">
            <v>42.2</v>
          </cell>
          <cell r="Q844">
            <v>16.8</v>
          </cell>
          <cell r="R844">
            <v>124.3</v>
          </cell>
          <cell r="S844">
            <v>210.3</v>
          </cell>
          <cell r="T844">
            <v>-35</v>
          </cell>
          <cell r="U844">
            <v>34.4</v>
          </cell>
          <cell r="V844">
            <v>3.6</v>
          </cell>
          <cell r="W844">
            <v>59.5</v>
          </cell>
          <cell r="X844">
            <v>26.8</v>
          </cell>
          <cell r="Y844">
            <v>52.8</v>
          </cell>
          <cell r="Z844">
            <v>19</v>
          </cell>
          <cell r="AA844">
            <v>19.8</v>
          </cell>
          <cell r="AB844">
            <v>72.2</v>
          </cell>
          <cell r="AC844">
            <v>152.69999999999999</v>
          </cell>
          <cell r="AD844" t="str">
            <v>-</v>
          </cell>
          <cell r="AE844" t="str">
            <v>-</v>
          </cell>
          <cell r="AF844">
            <v>55</v>
          </cell>
          <cell r="AG844">
            <v>21.6</v>
          </cell>
          <cell r="AH844">
            <v>141.6</v>
          </cell>
          <cell r="AI844">
            <v>340.8</v>
          </cell>
        </row>
        <row r="845">
          <cell r="D845" t="str">
            <v>AIM-9X</v>
          </cell>
          <cell r="E845">
            <v>1997</v>
          </cell>
          <cell r="F845" t="str">
            <v>-</v>
          </cell>
          <cell r="G845">
            <v>12.9</v>
          </cell>
          <cell r="H845" t="str">
            <v>-</v>
          </cell>
          <cell r="I845">
            <v>64.3</v>
          </cell>
          <cell r="J845">
            <v>12.4</v>
          </cell>
          <cell r="K845">
            <v>212.6</v>
          </cell>
          <cell r="L845">
            <v>158.4</v>
          </cell>
          <cell r="M845">
            <v>308.7</v>
          </cell>
          <cell r="N845" t="str">
            <v>-</v>
          </cell>
          <cell r="O845" t="str">
            <v>-</v>
          </cell>
          <cell r="P845">
            <v>21.3</v>
          </cell>
          <cell r="Q845">
            <v>-206.3</v>
          </cell>
          <cell r="R845">
            <v>192.1</v>
          </cell>
          <cell r="S845">
            <v>392.2</v>
          </cell>
          <cell r="T845">
            <v>-71.099999999999994</v>
          </cell>
          <cell r="U845">
            <v>-280.60000000000002</v>
          </cell>
          <cell r="V845" t="str">
            <v>-</v>
          </cell>
          <cell r="W845">
            <v>19.5</v>
          </cell>
          <cell r="X845">
            <v>90.2</v>
          </cell>
          <cell r="Y845">
            <v>307</v>
          </cell>
          <cell r="Z845">
            <v>16.7</v>
          </cell>
          <cell r="AA845">
            <v>266.60000000000002</v>
          </cell>
          <cell r="AB845">
            <v>205.6</v>
          </cell>
          <cell r="AC845">
            <v>407.6</v>
          </cell>
          <cell r="AD845" t="str">
            <v>-</v>
          </cell>
          <cell r="AE845" t="str">
            <v>-</v>
          </cell>
          <cell r="AF845">
            <v>29.9</v>
          </cell>
          <cell r="AG845">
            <v>-286.2</v>
          </cell>
          <cell r="AH845">
            <v>271.3</v>
          </cell>
          <cell r="AI845">
            <v>433.9</v>
          </cell>
        </row>
        <row r="846">
          <cell r="D846" t="str">
            <v>CEC</v>
          </cell>
          <cell r="E846">
            <v>2002</v>
          </cell>
          <cell r="F846">
            <v>-130.80000000000001</v>
          </cell>
          <cell r="G846">
            <v>-109.8</v>
          </cell>
          <cell r="H846">
            <v>-47.2</v>
          </cell>
          <cell r="I846">
            <v>-33.799999999999997</v>
          </cell>
          <cell r="J846">
            <v>31.9</v>
          </cell>
          <cell r="K846">
            <v>244.6</v>
          </cell>
          <cell r="L846">
            <v>205.5</v>
          </cell>
          <cell r="M846">
            <v>98.5</v>
          </cell>
          <cell r="N846" t="str">
            <v>-</v>
          </cell>
          <cell r="O846" t="str">
            <v>-</v>
          </cell>
          <cell r="P846">
            <v>-7.7</v>
          </cell>
          <cell r="Q846">
            <v>-64.099999999999994</v>
          </cell>
          <cell r="R846">
            <v>51.7</v>
          </cell>
          <cell r="S846">
            <v>135.4</v>
          </cell>
          <cell r="T846">
            <v>-16.600000000000001</v>
          </cell>
          <cell r="U846">
            <v>53.4</v>
          </cell>
          <cell r="V846">
            <v>-177.4</v>
          </cell>
          <cell r="W846">
            <v>-157.1</v>
          </cell>
          <cell r="X846">
            <v>-74.7</v>
          </cell>
          <cell r="Y846">
            <v>34.9</v>
          </cell>
          <cell r="Z846">
            <v>41.5</v>
          </cell>
          <cell r="AA846">
            <v>254.5</v>
          </cell>
          <cell r="AB846">
            <v>255.3</v>
          </cell>
          <cell r="AC846">
            <v>-0.5</v>
          </cell>
          <cell r="AD846" t="str">
            <v>-</v>
          </cell>
          <cell r="AE846" t="str">
            <v>-</v>
          </cell>
          <cell r="AF846">
            <v>-13.5</v>
          </cell>
          <cell r="AG846">
            <v>49.2</v>
          </cell>
          <cell r="AH846">
            <v>14.6</v>
          </cell>
          <cell r="AI846">
            <v>234.4</v>
          </cell>
        </row>
        <row r="847">
          <cell r="D847" t="str">
            <v>CH-53K</v>
          </cell>
          <cell r="E847">
            <v>2006</v>
          </cell>
          <cell r="F847">
            <v>2326.4</v>
          </cell>
          <cell r="G847">
            <v>2326.4</v>
          </cell>
          <cell r="H847">
            <v>799.2</v>
          </cell>
          <cell r="I847">
            <v>799.2</v>
          </cell>
          <cell r="J847" t="str">
            <v>-</v>
          </cell>
          <cell r="K847" t="str">
            <v>-</v>
          </cell>
          <cell r="L847">
            <v>1194.7</v>
          </cell>
          <cell r="M847">
            <v>1216.0999999999999</v>
          </cell>
          <cell r="N847" t="str">
            <v>-</v>
          </cell>
          <cell r="O847" t="str">
            <v>-</v>
          </cell>
          <cell r="P847">
            <v>770.5</v>
          </cell>
          <cell r="Q847">
            <v>793.1</v>
          </cell>
          <cell r="R847">
            <v>5090.8</v>
          </cell>
          <cell r="S847">
            <v>5134.8</v>
          </cell>
          <cell r="T847">
            <v>-640.70000000000005</v>
          </cell>
          <cell r="U847">
            <v>-699.9</v>
          </cell>
          <cell r="V847">
            <v>3108.9</v>
          </cell>
          <cell r="W847">
            <v>3108.9</v>
          </cell>
          <cell r="X847">
            <v>1818</v>
          </cell>
          <cell r="Y847">
            <v>1818</v>
          </cell>
          <cell r="Z847" t="str">
            <v>-</v>
          </cell>
          <cell r="AA847" t="str">
            <v>-</v>
          </cell>
          <cell r="AB847">
            <v>1325.7</v>
          </cell>
          <cell r="AC847">
            <v>1300.2</v>
          </cell>
          <cell r="AD847" t="str">
            <v>-</v>
          </cell>
          <cell r="AE847" t="str">
            <v>-</v>
          </cell>
          <cell r="AF847">
            <v>1205.9000000000001</v>
          </cell>
          <cell r="AG847">
            <v>1232.5999999999999</v>
          </cell>
          <cell r="AH847">
            <v>6817.8</v>
          </cell>
          <cell r="AI847">
            <v>6759.8</v>
          </cell>
        </row>
        <row r="848">
          <cell r="D848" t="str">
            <v>COBRA JUDY REPLACEMENT</v>
          </cell>
          <cell r="E848">
            <v>2003</v>
          </cell>
          <cell r="F848" t="str">
            <v>-</v>
          </cell>
          <cell r="G848" t="str">
            <v>-</v>
          </cell>
          <cell r="H848">
            <v>30</v>
          </cell>
          <cell r="I848">
            <v>30</v>
          </cell>
          <cell r="J848" t="str">
            <v>-</v>
          </cell>
          <cell r="K848" t="str">
            <v>-</v>
          </cell>
          <cell r="L848">
            <v>43</v>
          </cell>
          <cell r="M848">
            <v>131.30000000000001</v>
          </cell>
          <cell r="N848" t="str">
            <v>-</v>
          </cell>
          <cell r="O848" t="str">
            <v>-</v>
          </cell>
          <cell r="P848" t="str">
            <v>-</v>
          </cell>
          <cell r="Q848" t="str">
            <v>-</v>
          </cell>
          <cell r="R848">
            <v>73</v>
          </cell>
          <cell r="S848">
            <v>161.30000000000001</v>
          </cell>
          <cell r="T848">
            <v>-5.3</v>
          </cell>
          <cell r="U848">
            <v>51.4</v>
          </cell>
          <cell r="V848" t="str">
            <v>-</v>
          </cell>
          <cell r="W848" t="str">
            <v>-</v>
          </cell>
          <cell r="X848">
            <v>36.299999999999997</v>
          </cell>
          <cell r="Y848">
            <v>36.299999999999997</v>
          </cell>
          <cell r="Z848" t="str">
            <v>-</v>
          </cell>
          <cell r="AA848" t="str">
            <v>-</v>
          </cell>
          <cell r="AB848">
            <v>52.2</v>
          </cell>
          <cell r="AC848">
            <v>161</v>
          </cell>
          <cell r="AD848" t="str">
            <v>-</v>
          </cell>
          <cell r="AE848" t="str">
            <v>-</v>
          </cell>
          <cell r="AF848" t="str">
            <v>-</v>
          </cell>
          <cell r="AG848" t="str">
            <v>-</v>
          </cell>
          <cell r="AH848">
            <v>83.2</v>
          </cell>
          <cell r="AI848">
            <v>248.7</v>
          </cell>
        </row>
        <row r="849">
          <cell r="D849" t="str">
            <v>CVN 68</v>
          </cell>
          <cell r="E849">
            <v>1995</v>
          </cell>
          <cell r="F849" t="str">
            <v>-</v>
          </cell>
          <cell r="G849" t="str">
            <v>-</v>
          </cell>
          <cell r="H849" t="str">
            <v>-</v>
          </cell>
          <cell r="I849">
            <v>-72.8</v>
          </cell>
          <cell r="J849" t="str">
            <v>-</v>
          </cell>
          <cell r="K849">
            <v>-5.3</v>
          </cell>
          <cell r="L849">
            <v>-12</v>
          </cell>
          <cell r="M849">
            <v>673.1</v>
          </cell>
          <cell r="N849" t="str">
            <v>-</v>
          </cell>
          <cell r="O849">
            <v>114.7</v>
          </cell>
          <cell r="P849" t="str">
            <v>-</v>
          </cell>
          <cell r="Q849" t="str">
            <v>-</v>
          </cell>
          <cell r="R849">
            <v>-12</v>
          </cell>
          <cell r="S849">
            <v>709.7</v>
          </cell>
          <cell r="T849">
            <v>24.2</v>
          </cell>
          <cell r="U849">
            <v>-152.19999999999999</v>
          </cell>
          <cell r="V849" t="str">
            <v>-</v>
          </cell>
          <cell r="W849" t="str">
            <v>-</v>
          </cell>
          <cell r="X849" t="str">
            <v>-</v>
          </cell>
          <cell r="Y849">
            <v>-54.5</v>
          </cell>
          <cell r="Z849" t="str">
            <v>-</v>
          </cell>
          <cell r="AA849">
            <v>-65.7</v>
          </cell>
          <cell r="AB849">
            <v>-17.2</v>
          </cell>
          <cell r="AC849">
            <v>870.4</v>
          </cell>
          <cell r="AD849" t="str">
            <v>-</v>
          </cell>
          <cell r="AE849">
            <v>127</v>
          </cell>
          <cell r="AF849" t="str">
            <v>-</v>
          </cell>
          <cell r="AG849" t="str">
            <v>-</v>
          </cell>
          <cell r="AH849">
            <v>7</v>
          </cell>
          <cell r="AI849">
            <v>725</v>
          </cell>
        </row>
        <row r="850">
          <cell r="D850" t="str">
            <v>CVN 78</v>
          </cell>
          <cell r="E850">
            <v>2000</v>
          </cell>
          <cell r="F850" t="str">
            <v>-</v>
          </cell>
          <cell r="G850" t="str">
            <v>-</v>
          </cell>
          <cell r="H850">
            <v>32.200000000000003</v>
          </cell>
          <cell r="I850">
            <v>120.2</v>
          </cell>
          <cell r="J850" t="str">
            <v>-</v>
          </cell>
          <cell r="K850">
            <v>-688.9</v>
          </cell>
          <cell r="L850">
            <v>2975.4</v>
          </cell>
          <cell r="M850">
            <v>-137.80000000000001</v>
          </cell>
          <cell r="N850" t="str">
            <v>-</v>
          </cell>
          <cell r="O850" t="str">
            <v>-</v>
          </cell>
          <cell r="P850" t="str">
            <v>-</v>
          </cell>
          <cell r="Q850" t="str">
            <v>-</v>
          </cell>
          <cell r="R850">
            <v>3007.6</v>
          </cell>
          <cell r="S850">
            <v>-706.5</v>
          </cell>
          <cell r="T850">
            <v>301.8</v>
          </cell>
          <cell r="U850">
            <v>4183.2</v>
          </cell>
          <cell r="V850" t="str">
            <v>-</v>
          </cell>
          <cell r="W850" t="str">
            <v>-</v>
          </cell>
          <cell r="X850">
            <v>573.70000000000005</v>
          </cell>
          <cell r="Y850">
            <v>839.5</v>
          </cell>
          <cell r="Z850" t="str">
            <v>-</v>
          </cell>
          <cell r="AA850">
            <v>-963.6</v>
          </cell>
          <cell r="AB850">
            <v>4550.8999999999996</v>
          </cell>
          <cell r="AC850">
            <v>404.3</v>
          </cell>
          <cell r="AD850" t="str">
            <v>-</v>
          </cell>
          <cell r="AE850" t="str">
            <v>-</v>
          </cell>
          <cell r="AF850" t="str">
            <v>-</v>
          </cell>
          <cell r="AG850" t="str">
            <v>-</v>
          </cell>
          <cell r="AH850">
            <v>5426.4</v>
          </cell>
          <cell r="AI850">
            <v>4463.3999999999996</v>
          </cell>
        </row>
        <row r="851">
          <cell r="D851" t="str">
            <v>DDG 1000</v>
          </cell>
          <cell r="E851">
            <v>2005</v>
          </cell>
          <cell r="F851">
            <v>-8326.7999999999993</v>
          </cell>
          <cell r="G851">
            <v>-14646</v>
          </cell>
          <cell r="H851">
            <v>-22.1</v>
          </cell>
          <cell r="I851">
            <v>63.8</v>
          </cell>
          <cell r="J851">
            <v>249.4</v>
          </cell>
          <cell r="K851">
            <v>15.9</v>
          </cell>
          <cell r="L851">
            <v>656.6</v>
          </cell>
          <cell r="M851">
            <v>665.9</v>
          </cell>
          <cell r="N851" t="str">
            <v>-</v>
          </cell>
          <cell r="O851" t="str">
            <v>-</v>
          </cell>
          <cell r="P851" t="str">
            <v>-</v>
          </cell>
          <cell r="Q851" t="str">
            <v>-</v>
          </cell>
          <cell r="R851">
            <v>-7442.9</v>
          </cell>
          <cell r="S851">
            <v>-13900.4</v>
          </cell>
          <cell r="T851">
            <v>346.1</v>
          </cell>
          <cell r="U851">
            <v>1368.1</v>
          </cell>
          <cell r="V851">
            <v>-10597.9</v>
          </cell>
          <cell r="W851">
            <v>-19092.900000000001</v>
          </cell>
          <cell r="X851">
            <v>-28.1</v>
          </cell>
          <cell r="Y851">
            <v>57.7</v>
          </cell>
          <cell r="Z851">
            <v>315.89999999999998</v>
          </cell>
          <cell r="AA851">
            <v>66.2</v>
          </cell>
          <cell r="AB851">
            <v>848.7</v>
          </cell>
          <cell r="AC851">
            <v>1076</v>
          </cell>
          <cell r="AD851" t="str">
            <v>-</v>
          </cell>
          <cell r="AE851" t="str">
            <v>-</v>
          </cell>
          <cell r="AF851" t="str">
            <v>-</v>
          </cell>
          <cell r="AG851" t="str">
            <v>-</v>
          </cell>
          <cell r="AH851">
            <v>-9115.2999999999993</v>
          </cell>
          <cell r="AI851">
            <v>-16524.900000000001</v>
          </cell>
        </row>
        <row r="852">
          <cell r="D852" t="str">
            <v>DDG 51</v>
          </cell>
          <cell r="E852">
            <v>1987</v>
          </cell>
          <cell r="F852">
            <v>4690.2</v>
          </cell>
          <cell r="G852">
            <v>29384.9</v>
          </cell>
          <cell r="H852">
            <v>188.3</v>
          </cell>
          <cell r="I852">
            <v>277.39999999999998</v>
          </cell>
          <cell r="J852">
            <v>536.29999999999995</v>
          </cell>
          <cell r="K852">
            <v>2016.4</v>
          </cell>
          <cell r="L852">
            <v>4758.8</v>
          </cell>
          <cell r="M852">
            <v>7959.3</v>
          </cell>
          <cell r="N852" t="str">
            <v>-</v>
          </cell>
          <cell r="O852" t="str">
            <v>-</v>
          </cell>
          <cell r="P852" t="str">
            <v>-</v>
          </cell>
          <cell r="Q852" t="str">
            <v>-</v>
          </cell>
          <cell r="R852">
            <v>10173.6</v>
          </cell>
          <cell r="S852">
            <v>39638</v>
          </cell>
          <cell r="T852">
            <v>-1353.7</v>
          </cell>
          <cell r="U852">
            <v>-5187</v>
          </cell>
          <cell r="V852">
            <v>9209.6</v>
          </cell>
          <cell r="W852">
            <v>46139.5</v>
          </cell>
          <cell r="X852">
            <v>370</v>
          </cell>
          <cell r="Y852">
            <v>1355.1</v>
          </cell>
          <cell r="Z852">
            <v>1033.5</v>
          </cell>
          <cell r="AA852">
            <v>3284.2</v>
          </cell>
          <cell r="AB852">
            <v>8392</v>
          </cell>
          <cell r="AC852">
            <v>14698.4</v>
          </cell>
          <cell r="AD852" t="str">
            <v>-</v>
          </cell>
          <cell r="AE852" t="str">
            <v>-</v>
          </cell>
          <cell r="AF852" t="str">
            <v>-</v>
          </cell>
          <cell r="AG852" t="str">
            <v>-</v>
          </cell>
          <cell r="AH852">
            <v>17651.400000000001</v>
          </cell>
          <cell r="AI852">
            <v>60290.2</v>
          </cell>
        </row>
        <row r="853">
          <cell r="D853" t="str">
            <v>E-2D AHE</v>
          </cell>
          <cell r="E853">
            <v>2009</v>
          </cell>
          <cell r="F853" t="str">
            <v>-</v>
          </cell>
          <cell r="G853" t="str">
            <v>-</v>
          </cell>
          <cell r="H853" t="str">
            <v>-</v>
          </cell>
          <cell r="I853" t="str">
            <v>-</v>
          </cell>
          <cell r="J853">
            <v>30</v>
          </cell>
          <cell r="K853">
            <v>30</v>
          </cell>
          <cell r="L853">
            <v>-23.5</v>
          </cell>
          <cell r="M853">
            <v>-23.5</v>
          </cell>
          <cell r="N853" t="str">
            <v>-</v>
          </cell>
          <cell r="O853" t="str">
            <v>-</v>
          </cell>
          <cell r="P853">
            <v>4.8</v>
          </cell>
          <cell r="Q853">
            <v>4.8</v>
          </cell>
          <cell r="R853">
            <v>11.3</v>
          </cell>
          <cell r="S853">
            <v>11.3</v>
          </cell>
          <cell r="T853">
            <v>-141</v>
          </cell>
          <cell r="U853">
            <v>-141</v>
          </cell>
          <cell r="V853" t="str">
            <v>-</v>
          </cell>
          <cell r="W853" t="str">
            <v>-</v>
          </cell>
          <cell r="X853">
            <v>-5.9</v>
          </cell>
          <cell r="Y853">
            <v>-5.9</v>
          </cell>
          <cell r="Z853">
            <v>31.3</v>
          </cell>
          <cell r="AA853">
            <v>31.3</v>
          </cell>
          <cell r="AB853">
            <v>-21.3</v>
          </cell>
          <cell r="AC853">
            <v>-21.3</v>
          </cell>
          <cell r="AD853" t="str">
            <v>-</v>
          </cell>
          <cell r="AE853" t="str">
            <v>-</v>
          </cell>
          <cell r="AF853">
            <v>9.8000000000000007</v>
          </cell>
          <cell r="AG853">
            <v>9.8000000000000007</v>
          </cell>
          <cell r="AH853">
            <v>-127.1</v>
          </cell>
          <cell r="AI853">
            <v>-127.1</v>
          </cell>
        </row>
        <row r="854">
          <cell r="D854" t="str">
            <v>EA-18G</v>
          </cell>
          <cell r="E854">
            <v>2004</v>
          </cell>
          <cell r="F854">
            <v>1715.3</v>
          </cell>
          <cell r="G854">
            <v>1774.7</v>
          </cell>
          <cell r="H854">
            <v>-1</v>
          </cell>
          <cell r="I854">
            <v>-1</v>
          </cell>
          <cell r="J854" t="str">
            <v>-</v>
          </cell>
          <cell r="K854" t="str">
            <v>-</v>
          </cell>
          <cell r="L854">
            <v>257.3</v>
          </cell>
          <cell r="M854">
            <v>265.5</v>
          </cell>
          <cell r="N854" t="str">
            <v>-</v>
          </cell>
          <cell r="O854" t="str">
            <v>-</v>
          </cell>
          <cell r="P854">
            <v>502</v>
          </cell>
          <cell r="Q854">
            <v>481.9</v>
          </cell>
          <cell r="R854">
            <v>2473.6</v>
          </cell>
          <cell r="S854">
            <v>2521.1</v>
          </cell>
          <cell r="T854">
            <v>-69.900000000000006</v>
          </cell>
          <cell r="U854">
            <v>-101.1</v>
          </cell>
          <cell r="V854">
            <v>2058.1</v>
          </cell>
          <cell r="W854">
            <v>2130.5</v>
          </cell>
          <cell r="X854">
            <v>-8</v>
          </cell>
          <cell r="Y854">
            <v>-17.7</v>
          </cell>
          <cell r="Z854" t="str">
            <v>-</v>
          </cell>
          <cell r="AA854" t="str">
            <v>-</v>
          </cell>
          <cell r="AB854">
            <v>314.60000000000002</v>
          </cell>
          <cell r="AC854">
            <v>319.5</v>
          </cell>
          <cell r="AD854" t="str">
            <v>-</v>
          </cell>
          <cell r="AE854" t="str">
            <v>-</v>
          </cell>
          <cell r="AF854">
            <v>606.20000000000005</v>
          </cell>
          <cell r="AG854">
            <v>582.5</v>
          </cell>
          <cell r="AH854">
            <v>2901</v>
          </cell>
          <cell r="AI854">
            <v>2913.7</v>
          </cell>
        </row>
        <row r="855">
          <cell r="D855" t="str">
            <v>EA-6B ICAP III</v>
          </cell>
          <cell r="E855">
            <v>2008</v>
          </cell>
          <cell r="F855" t="str">
            <v>-</v>
          </cell>
          <cell r="G855">
            <v>-20</v>
          </cell>
          <cell r="H855" t="str">
            <v>-</v>
          </cell>
          <cell r="I855" t="str">
            <v>-</v>
          </cell>
          <cell r="J855">
            <v>37.9</v>
          </cell>
          <cell r="K855">
            <v>37.9</v>
          </cell>
          <cell r="L855">
            <v>7.4</v>
          </cell>
          <cell r="M855">
            <v>27.4</v>
          </cell>
          <cell r="N855" t="str">
            <v>-</v>
          </cell>
          <cell r="O855" t="str">
            <v>-</v>
          </cell>
          <cell r="P855">
            <v>-29.3</v>
          </cell>
          <cell r="Q855">
            <v>-29.3</v>
          </cell>
          <cell r="R855">
            <v>16</v>
          </cell>
          <cell r="S855">
            <v>16</v>
          </cell>
          <cell r="T855">
            <v>-4.7</v>
          </cell>
          <cell r="U855">
            <v>-4.7</v>
          </cell>
          <cell r="V855" t="str">
            <v>-</v>
          </cell>
          <cell r="W855">
            <v>-20.5</v>
          </cell>
          <cell r="X855" t="str">
            <v>-</v>
          </cell>
          <cell r="Y855" t="str">
            <v>-</v>
          </cell>
          <cell r="Z855">
            <v>39.799999999999997</v>
          </cell>
          <cell r="AA855">
            <v>39.799999999999997</v>
          </cell>
          <cell r="AB855">
            <v>7.2</v>
          </cell>
          <cell r="AC855">
            <v>27.7</v>
          </cell>
          <cell r="AD855" t="str">
            <v>-</v>
          </cell>
          <cell r="AE855" t="str">
            <v>-</v>
          </cell>
          <cell r="AF855">
            <v>-30.1</v>
          </cell>
          <cell r="AG855">
            <v>-30.1</v>
          </cell>
          <cell r="AH855">
            <v>12.2</v>
          </cell>
          <cell r="AI855">
            <v>12.2</v>
          </cell>
        </row>
        <row r="856">
          <cell r="D856" t="str">
            <v>EFV</v>
          </cell>
          <cell r="E856">
            <v>2007</v>
          </cell>
          <cell r="F856" t="str">
            <v>-</v>
          </cell>
          <cell r="G856">
            <v>-2365.8000000000002</v>
          </cell>
          <cell r="H856">
            <v>94.9</v>
          </cell>
          <cell r="I856">
            <v>459.6</v>
          </cell>
          <cell r="J856" t="str">
            <v>-</v>
          </cell>
          <cell r="K856">
            <v>363.9</v>
          </cell>
          <cell r="L856">
            <v>-258.39999999999998</v>
          </cell>
          <cell r="M856">
            <v>5626.4</v>
          </cell>
          <cell r="N856" t="str">
            <v>-</v>
          </cell>
          <cell r="O856" t="str">
            <v>-</v>
          </cell>
          <cell r="P856">
            <v>245.6</v>
          </cell>
          <cell r="Q856">
            <v>669.1</v>
          </cell>
          <cell r="R856">
            <v>82.1</v>
          </cell>
          <cell r="S856">
            <v>4753.2</v>
          </cell>
          <cell r="T856">
            <v>-580</v>
          </cell>
          <cell r="U856">
            <v>-331.1</v>
          </cell>
          <cell r="V856" t="str">
            <v>-</v>
          </cell>
          <cell r="W856">
            <v>-2950.4</v>
          </cell>
          <cell r="X856">
            <v>291.3</v>
          </cell>
          <cell r="Y856">
            <v>1991.7</v>
          </cell>
          <cell r="Z856" t="str">
            <v>-</v>
          </cell>
          <cell r="AA856">
            <v>414.6</v>
          </cell>
          <cell r="AB856">
            <v>-346.4</v>
          </cell>
          <cell r="AC856">
            <v>6813.4</v>
          </cell>
          <cell r="AD856" t="str">
            <v>-</v>
          </cell>
          <cell r="AE856" t="str">
            <v>-</v>
          </cell>
          <cell r="AF856">
            <v>327.9</v>
          </cell>
          <cell r="AG856">
            <v>889.6</v>
          </cell>
          <cell r="AH856">
            <v>-307.2</v>
          </cell>
          <cell r="AI856">
            <v>6827.8</v>
          </cell>
        </row>
        <row r="857">
          <cell r="D857" t="str">
            <v>F/A-18E/F</v>
          </cell>
          <cell r="E857">
            <v>2000</v>
          </cell>
          <cell r="F857">
            <v>1080.5999999999999</v>
          </cell>
          <cell r="G857">
            <v>2583.1</v>
          </cell>
          <cell r="H857" t="str">
            <v>-</v>
          </cell>
          <cell r="I857">
            <v>868.8</v>
          </cell>
          <cell r="J857" t="str">
            <v>-</v>
          </cell>
          <cell r="K857">
            <v>200.1</v>
          </cell>
          <cell r="L857">
            <v>52.7</v>
          </cell>
          <cell r="M857">
            <v>187.4</v>
          </cell>
          <cell r="N857" t="str">
            <v>-</v>
          </cell>
          <cell r="O857" t="str">
            <v>-</v>
          </cell>
          <cell r="P857">
            <v>341.2</v>
          </cell>
          <cell r="Q857">
            <v>2008</v>
          </cell>
          <cell r="R857">
            <v>1474.5</v>
          </cell>
          <cell r="S857">
            <v>5847.4</v>
          </cell>
          <cell r="T857">
            <v>-131.9</v>
          </cell>
          <cell r="U857">
            <v>-378.2</v>
          </cell>
          <cell r="V857">
            <v>1397.9</v>
          </cell>
          <cell r="W857">
            <v>3261.9</v>
          </cell>
          <cell r="X857">
            <v>-64.7</v>
          </cell>
          <cell r="Y857">
            <v>997.2</v>
          </cell>
          <cell r="Z857" t="str">
            <v>-</v>
          </cell>
          <cell r="AA857">
            <v>223.1</v>
          </cell>
          <cell r="AB857">
            <v>105.4</v>
          </cell>
          <cell r="AC857">
            <v>110.5</v>
          </cell>
          <cell r="AD857" t="str">
            <v>-</v>
          </cell>
          <cell r="AE857" t="str">
            <v>-</v>
          </cell>
          <cell r="AF857">
            <v>439.9</v>
          </cell>
          <cell r="AG857">
            <v>2239.6</v>
          </cell>
          <cell r="AH857">
            <v>1746.6</v>
          </cell>
          <cell r="AI857">
            <v>6454.1</v>
          </cell>
        </row>
        <row r="858">
          <cell r="D858" t="str">
            <v>H-1 Upgrades</v>
          </cell>
          <cell r="E858">
            <v>2008</v>
          </cell>
          <cell r="F858" t="str">
            <v>-</v>
          </cell>
          <cell r="G858" t="str">
            <v>-</v>
          </cell>
          <cell r="H858" t="str">
            <v>-</v>
          </cell>
          <cell r="I858" t="str">
            <v>-</v>
          </cell>
          <cell r="J858" t="str">
            <v>-</v>
          </cell>
          <cell r="K858" t="str">
            <v>-</v>
          </cell>
          <cell r="L858">
            <v>351</v>
          </cell>
          <cell r="M858">
            <v>428.2</v>
          </cell>
          <cell r="N858" t="str">
            <v>-</v>
          </cell>
          <cell r="O858" t="str">
            <v>-</v>
          </cell>
          <cell r="P858">
            <v>-132.1</v>
          </cell>
          <cell r="Q858">
            <v>-170.6</v>
          </cell>
          <cell r="R858">
            <v>218.9</v>
          </cell>
          <cell r="S858">
            <v>257.60000000000002</v>
          </cell>
          <cell r="T858">
            <v>-71.5</v>
          </cell>
          <cell r="U858">
            <v>-311.5</v>
          </cell>
          <cell r="V858" t="str">
            <v>-</v>
          </cell>
          <cell r="W858" t="str">
            <v>-</v>
          </cell>
          <cell r="X858">
            <v>-24.9</v>
          </cell>
          <cell r="Y858">
            <v>-49.1</v>
          </cell>
          <cell r="Z858" t="str">
            <v>-</v>
          </cell>
          <cell r="AA858" t="str">
            <v>-</v>
          </cell>
          <cell r="AB858">
            <v>382.3</v>
          </cell>
          <cell r="AC858">
            <v>493.6</v>
          </cell>
          <cell r="AD858" t="str">
            <v>-</v>
          </cell>
          <cell r="AE858" t="str">
            <v>-</v>
          </cell>
          <cell r="AF858">
            <v>-152.69999999999999</v>
          </cell>
          <cell r="AG858">
            <v>-199.7</v>
          </cell>
          <cell r="AH858">
            <v>133.19999999999999</v>
          </cell>
          <cell r="AI858">
            <v>-66.7</v>
          </cell>
        </row>
        <row r="859">
          <cell r="D859" t="str">
            <v>IDECM Split</v>
          </cell>
          <cell r="E859">
            <v>2008</v>
          </cell>
          <cell r="F859">
            <v>-10.5</v>
          </cell>
          <cell r="G859">
            <v>-10.5</v>
          </cell>
          <cell r="H859">
            <v>80.2</v>
          </cell>
          <cell r="I859">
            <v>80.2</v>
          </cell>
          <cell r="J859" t="str">
            <v>-</v>
          </cell>
          <cell r="K859" t="str">
            <v>-</v>
          </cell>
          <cell r="L859">
            <v>-29.7</v>
          </cell>
          <cell r="M859">
            <v>-29.7</v>
          </cell>
          <cell r="N859" t="str">
            <v>-</v>
          </cell>
          <cell r="O859" t="str">
            <v>-</v>
          </cell>
          <cell r="P859">
            <v>28.1</v>
          </cell>
          <cell r="Q859">
            <v>28.1</v>
          </cell>
          <cell r="R859">
            <v>68.099999999999994</v>
          </cell>
          <cell r="S859">
            <v>68.099999999999994</v>
          </cell>
          <cell r="T859">
            <v>-23.4</v>
          </cell>
          <cell r="U859">
            <v>-23.4</v>
          </cell>
          <cell r="V859">
            <v>18.600000000000001</v>
          </cell>
          <cell r="W859">
            <v>18.600000000000001</v>
          </cell>
          <cell r="X859">
            <v>-4.5</v>
          </cell>
          <cell r="Y859">
            <v>-4.5</v>
          </cell>
          <cell r="Z859" t="str">
            <v>-</v>
          </cell>
          <cell r="AA859" t="str">
            <v>-</v>
          </cell>
          <cell r="AB859">
            <v>-29.7</v>
          </cell>
          <cell r="AC859">
            <v>-29.7</v>
          </cell>
          <cell r="AD859" t="str">
            <v>-</v>
          </cell>
          <cell r="AE859" t="str">
            <v>-</v>
          </cell>
          <cell r="AF859">
            <v>29.4</v>
          </cell>
          <cell r="AG859">
            <v>29.4</v>
          </cell>
          <cell r="AH859">
            <v>-9.6</v>
          </cell>
          <cell r="AI859">
            <v>-9.6</v>
          </cell>
        </row>
        <row r="860">
          <cell r="D860" t="str">
            <v>IDECM Split</v>
          </cell>
          <cell r="E860">
            <v>2008</v>
          </cell>
          <cell r="F860">
            <v>15.8</v>
          </cell>
          <cell r="G860">
            <v>15.8</v>
          </cell>
          <cell r="H860">
            <v>-5.6</v>
          </cell>
          <cell r="I860">
            <v>-5.6</v>
          </cell>
          <cell r="J860" t="str">
            <v>-</v>
          </cell>
          <cell r="K860" t="str">
            <v>-</v>
          </cell>
          <cell r="L860">
            <v>-27.7</v>
          </cell>
          <cell r="M860">
            <v>-27.7</v>
          </cell>
          <cell r="N860" t="str">
            <v>-</v>
          </cell>
          <cell r="O860" t="str">
            <v>-</v>
          </cell>
          <cell r="P860">
            <v>25.5</v>
          </cell>
          <cell r="Q860">
            <v>25.5</v>
          </cell>
          <cell r="R860">
            <v>8</v>
          </cell>
          <cell r="S860">
            <v>8</v>
          </cell>
          <cell r="T860">
            <v>-46.4</v>
          </cell>
          <cell r="U860">
            <v>-46.4</v>
          </cell>
          <cell r="V860">
            <v>-11.2</v>
          </cell>
          <cell r="W860">
            <v>-11.2</v>
          </cell>
          <cell r="X860">
            <v>184.6</v>
          </cell>
          <cell r="Y860">
            <v>184.6</v>
          </cell>
          <cell r="Z860" t="str">
            <v>-</v>
          </cell>
          <cell r="AA860" t="str">
            <v>-</v>
          </cell>
          <cell r="AB860">
            <v>-52.1</v>
          </cell>
          <cell r="AC860">
            <v>-52.1</v>
          </cell>
          <cell r="AD860" t="str">
            <v>-</v>
          </cell>
          <cell r="AE860" t="str">
            <v>-</v>
          </cell>
          <cell r="AF860">
            <v>33</v>
          </cell>
          <cell r="AG860">
            <v>33</v>
          </cell>
          <cell r="AH860">
            <v>107.9</v>
          </cell>
          <cell r="AI860">
            <v>107.9</v>
          </cell>
        </row>
        <row r="861">
          <cell r="D861" t="str">
            <v>Joint MRAP</v>
          </cell>
          <cell r="E861">
            <v>2008</v>
          </cell>
          <cell r="F861">
            <v>7195.7</v>
          </cell>
          <cell r="G861">
            <v>7195.7</v>
          </cell>
          <cell r="H861" t="str">
            <v>-</v>
          </cell>
          <cell r="I861" t="str">
            <v>-</v>
          </cell>
          <cell r="J861" t="str">
            <v>-</v>
          </cell>
          <cell r="K861" t="str">
            <v>-</v>
          </cell>
          <cell r="L861">
            <v>-552.29999999999995</v>
          </cell>
          <cell r="M861">
            <v>-552.29999999999995</v>
          </cell>
          <cell r="N861" t="str">
            <v>-</v>
          </cell>
          <cell r="O861" t="str">
            <v>-</v>
          </cell>
          <cell r="P861">
            <v>6474.4</v>
          </cell>
          <cell r="Q861">
            <v>6474.4</v>
          </cell>
          <cell r="R861">
            <v>13117.8</v>
          </cell>
          <cell r="S861">
            <v>13117.8</v>
          </cell>
          <cell r="T861">
            <v>-143.69999999999999</v>
          </cell>
          <cell r="U861">
            <v>-143.69999999999999</v>
          </cell>
          <cell r="V861">
            <v>7415.1</v>
          </cell>
          <cell r="W861">
            <v>7415.1</v>
          </cell>
          <cell r="X861" t="str">
            <v>-</v>
          </cell>
          <cell r="Y861" t="str">
            <v>-</v>
          </cell>
          <cell r="Z861" t="str">
            <v>-</v>
          </cell>
          <cell r="AA861" t="str">
            <v>-</v>
          </cell>
          <cell r="AB861">
            <v>-547</v>
          </cell>
          <cell r="AC861">
            <v>-547</v>
          </cell>
          <cell r="AD861" t="str">
            <v>-</v>
          </cell>
          <cell r="AE861" t="str">
            <v>-</v>
          </cell>
          <cell r="AF861">
            <v>7152.2</v>
          </cell>
          <cell r="AG861">
            <v>7152.2</v>
          </cell>
          <cell r="AH861">
            <v>13876.6</v>
          </cell>
          <cell r="AI861">
            <v>13876.6</v>
          </cell>
        </row>
        <row r="862">
          <cell r="D862" t="str">
            <v>JSOW Split</v>
          </cell>
          <cell r="E862">
            <v>1990</v>
          </cell>
          <cell r="F862" t="str">
            <v>-</v>
          </cell>
          <cell r="G862">
            <v>-2059.3000000000002</v>
          </cell>
          <cell r="H862">
            <v>3.5</v>
          </cell>
          <cell r="I862">
            <v>5.9</v>
          </cell>
          <cell r="J862" t="str">
            <v>-</v>
          </cell>
          <cell r="K862">
            <v>76.599999999999994</v>
          </cell>
          <cell r="L862">
            <v>-0.4</v>
          </cell>
          <cell r="M862">
            <v>-97.7</v>
          </cell>
          <cell r="N862" t="str">
            <v>-</v>
          </cell>
          <cell r="O862" t="str">
            <v>-</v>
          </cell>
          <cell r="P862">
            <v>-0.5</v>
          </cell>
          <cell r="Q862">
            <v>-13.3</v>
          </cell>
          <cell r="R862">
            <v>2.6</v>
          </cell>
          <cell r="S862">
            <v>-2087.8000000000002</v>
          </cell>
          <cell r="T862">
            <v>-8.4</v>
          </cell>
          <cell r="U862">
            <v>-38.9</v>
          </cell>
          <cell r="V862" t="str">
            <v>-</v>
          </cell>
          <cell r="W862">
            <v>-3204.5</v>
          </cell>
          <cell r="X862">
            <v>11.2</v>
          </cell>
          <cell r="Y862">
            <v>391</v>
          </cell>
          <cell r="Z862" t="str">
            <v>-</v>
          </cell>
          <cell r="AA862">
            <v>104</v>
          </cell>
          <cell r="AB862">
            <v>-0.6</v>
          </cell>
          <cell r="AC862">
            <v>-266.3</v>
          </cell>
          <cell r="AD862" t="str">
            <v>-</v>
          </cell>
          <cell r="AE862" t="str">
            <v>-</v>
          </cell>
          <cell r="AF862">
            <v>-1.1000000000000001</v>
          </cell>
          <cell r="AG862">
            <v>-21.3</v>
          </cell>
          <cell r="AH862">
            <v>1.1000000000000001</v>
          </cell>
          <cell r="AI862">
            <v>-3036</v>
          </cell>
        </row>
        <row r="863">
          <cell r="D863" t="str">
            <v>JSOW Split</v>
          </cell>
          <cell r="E863">
            <v>1990</v>
          </cell>
          <cell r="F863" t="str">
            <v>-</v>
          </cell>
          <cell r="G863" t="str">
            <v>-</v>
          </cell>
          <cell r="H863" t="str">
            <v>-</v>
          </cell>
          <cell r="I863">
            <v>5.9</v>
          </cell>
          <cell r="J863">
            <v>347.7</v>
          </cell>
          <cell r="K863">
            <v>396.9</v>
          </cell>
          <cell r="L863">
            <v>-29.1</v>
          </cell>
          <cell r="M863">
            <v>-276.10000000000002</v>
          </cell>
          <cell r="N863" t="str">
            <v>-</v>
          </cell>
          <cell r="O863" t="str">
            <v>-</v>
          </cell>
          <cell r="P863">
            <v>-1</v>
          </cell>
          <cell r="Q863">
            <v>-9.8000000000000007</v>
          </cell>
          <cell r="R863">
            <v>317.60000000000002</v>
          </cell>
          <cell r="S863">
            <v>116.9</v>
          </cell>
          <cell r="T863">
            <v>-56.2</v>
          </cell>
          <cell r="U863">
            <v>77.3</v>
          </cell>
          <cell r="V863" t="str">
            <v>-</v>
          </cell>
          <cell r="W863" t="str">
            <v>-</v>
          </cell>
          <cell r="X863">
            <v>32.799999999999997</v>
          </cell>
          <cell r="Y863">
            <v>33.200000000000003</v>
          </cell>
          <cell r="Z863">
            <v>564.29999999999995</v>
          </cell>
          <cell r="AA863">
            <v>642.9</v>
          </cell>
          <cell r="AB863">
            <v>-50.1</v>
          </cell>
          <cell r="AC863">
            <v>-499.6</v>
          </cell>
          <cell r="AD863" t="str">
            <v>-</v>
          </cell>
          <cell r="AE863" t="str">
            <v>-</v>
          </cell>
          <cell r="AF863">
            <v>-1.9</v>
          </cell>
          <cell r="AG863">
            <v>-14.6</v>
          </cell>
          <cell r="AH863">
            <v>488.9</v>
          </cell>
          <cell r="AI863">
            <v>239.2</v>
          </cell>
        </row>
        <row r="864">
          <cell r="D864" t="str">
            <v>LCS</v>
          </cell>
          <cell r="E864">
            <v>2004</v>
          </cell>
          <cell r="F864" t="str">
            <v>-</v>
          </cell>
          <cell r="G864" t="str">
            <v>-</v>
          </cell>
          <cell r="H864">
            <v>37.799999999999997</v>
          </cell>
          <cell r="I864">
            <v>165.3</v>
          </cell>
          <cell r="J864">
            <v>66.3</v>
          </cell>
          <cell r="K864">
            <v>169.1</v>
          </cell>
          <cell r="L864">
            <v>650.1</v>
          </cell>
          <cell r="M864">
            <v>1842.3</v>
          </cell>
          <cell r="N864" t="str">
            <v>-</v>
          </cell>
          <cell r="O864" t="str">
            <v>-</v>
          </cell>
          <cell r="P864" t="str">
            <v>-</v>
          </cell>
          <cell r="Q864" t="str">
            <v>-</v>
          </cell>
          <cell r="R864">
            <v>754.2</v>
          </cell>
          <cell r="S864">
            <v>2176.6999999999998</v>
          </cell>
          <cell r="T864">
            <v>-5.9</v>
          </cell>
          <cell r="U864">
            <v>34</v>
          </cell>
          <cell r="V864" t="str">
            <v>-</v>
          </cell>
          <cell r="W864" t="str">
            <v>-</v>
          </cell>
          <cell r="X864">
            <v>44.8</v>
          </cell>
          <cell r="Y864">
            <v>192.2</v>
          </cell>
          <cell r="Z864">
            <v>77.8</v>
          </cell>
          <cell r="AA864">
            <v>194.5</v>
          </cell>
          <cell r="AB864">
            <v>767.2</v>
          </cell>
          <cell r="AC864">
            <v>2100.1</v>
          </cell>
          <cell r="AD864" t="str">
            <v>-</v>
          </cell>
          <cell r="AE864" t="str">
            <v>-</v>
          </cell>
          <cell r="AF864" t="str">
            <v>-</v>
          </cell>
          <cell r="AG864" t="str">
            <v>-</v>
          </cell>
          <cell r="AH864">
            <v>883.9</v>
          </cell>
          <cell r="AI864">
            <v>2520.8000000000002</v>
          </cell>
        </row>
        <row r="865">
          <cell r="D865" t="str">
            <v>LHA Replacement</v>
          </cell>
          <cell r="E865">
            <v>2006</v>
          </cell>
          <cell r="F865">
            <v>2816.6</v>
          </cell>
          <cell r="G865">
            <v>2816.6</v>
          </cell>
          <cell r="H865" t="str">
            <v>-</v>
          </cell>
          <cell r="I865" t="str">
            <v>-</v>
          </cell>
          <cell r="J865" t="str">
            <v>-</v>
          </cell>
          <cell r="K865" t="str">
            <v>-</v>
          </cell>
          <cell r="L865">
            <v>-29.4</v>
          </cell>
          <cell r="M865">
            <v>-77.599999999999994</v>
          </cell>
          <cell r="N865" t="str">
            <v>-</v>
          </cell>
          <cell r="O865">
            <v>249.7</v>
          </cell>
          <cell r="P865" t="str">
            <v>-</v>
          </cell>
          <cell r="Q865" t="str">
            <v>-</v>
          </cell>
          <cell r="R865">
            <v>2787.2</v>
          </cell>
          <cell r="S865">
            <v>2988.7</v>
          </cell>
          <cell r="T865">
            <v>79.8</v>
          </cell>
          <cell r="U865">
            <v>135.6</v>
          </cell>
          <cell r="V865">
            <v>3413.5</v>
          </cell>
          <cell r="W865">
            <v>3413.5</v>
          </cell>
          <cell r="X865" t="str">
            <v>-</v>
          </cell>
          <cell r="Y865" t="str">
            <v>-</v>
          </cell>
          <cell r="Z865" t="str">
            <v>-</v>
          </cell>
          <cell r="AA865" t="str">
            <v>-</v>
          </cell>
          <cell r="AB865">
            <v>-34.4</v>
          </cell>
          <cell r="AC865">
            <v>-87.8</v>
          </cell>
          <cell r="AD865" t="str">
            <v>-</v>
          </cell>
          <cell r="AE865">
            <v>272</v>
          </cell>
          <cell r="AF865" t="str">
            <v>-</v>
          </cell>
          <cell r="AG865" t="str">
            <v>-</v>
          </cell>
          <cell r="AH865">
            <v>3458.9</v>
          </cell>
          <cell r="AI865">
            <v>3733.3</v>
          </cell>
        </row>
        <row r="866">
          <cell r="D866" t="str">
            <v>LPD 17</v>
          </cell>
          <cell r="E866">
            <v>1996</v>
          </cell>
          <cell r="F866">
            <v>1699.5</v>
          </cell>
          <cell r="G866">
            <v>-1325.1</v>
          </cell>
          <cell r="H866">
            <v>94.4</v>
          </cell>
          <cell r="I866">
            <v>414.9</v>
          </cell>
          <cell r="J866" t="str">
            <v>-</v>
          </cell>
          <cell r="K866" t="str">
            <v>-</v>
          </cell>
          <cell r="L866">
            <v>711.2</v>
          </cell>
          <cell r="M866">
            <v>4704.2</v>
          </cell>
          <cell r="N866">
            <v>336.6</v>
          </cell>
          <cell r="O866">
            <v>1537.6</v>
          </cell>
          <cell r="P866" t="str">
            <v>-</v>
          </cell>
          <cell r="Q866" t="str">
            <v>-</v>
          </cell>
          <cell r="R866">
            <v>2841.7</v>
          </cell>
          <cell r="S866">
            <v>5331.6</v>
          </cell>
          <cell r="T866">
            <v>150.6</v>
          </cell>
          <cell r="U866">
            <v>611.20000000000005</v>
          </cell>
          <cell r="V866">
            <v>2559.6999999999998</v>
          </cell>
          <cell r="W866">
            <v>-1478.1</v>
          </cell>
          <cell r="X866">
            <v>141.5</v>
          </cell>
          <cell r="Y866">
            <v>915.7</v>
          </cell>
          <cell r="Z866" t="str">
            <v>-</v>
          </cell>
          <cell r="AA866" t="str">
            <v>-</v>
          </cell>
          <cell r="AB866">
            <v>1080.9000000000001</v>
          </cell>
          <cell r="AC866">
            <v>5777.3</v>
          </cell>
          <cell r="AD866">
            <v>484.8</v>
          </cell>
          <cell r="AE866">
            <v>2071.3000000000002</v>
          </cell>
          <cell r="AF866" t="str">
            <v>-</v>
          </cell>
          <cell r="AG866" t="str">
            <v>-</v>
          </cell>
          <cell r="AH866">
            <v>4417.5</v>
          </cell>
          <cell r="AI866">
            <v>7897.4</v>
          </cell>
        </row>
        <row r="867">
          <cell r="D867" t="str">
            <v>MH-60R</v>
          </cell>
          <cell r="E867">
            <v>2006</v>
          </cell>
          <cell r="F867">
            <v>1152.2</v>
          </cell>
          <cell r="G867">
            <v>1152.2</v>
          </cell>
          <cell r="H867">
            <v>12.8</v>
          </cell>
          <cell r="I867">
            <v>47.8</v>
          </cell>
          <cell r="J867">
            <v>25.1</v>
          </cell>
          <cell r="K867">
            <v>212.4</v>
          </cell>
          <cell r="L867">
            <v>478</v>
          </cell>
          <cell r="M867">
            <v>1213.7</v>
          </cell>
          <cell r="N867" t="str">
            <v>-</v>
          </cell>
          <cell r="O867" t="str">
            <v>-</v>
          </cell>
          <cell r="P867">
            <v>222.7</v>
          </cell>
          <cell r="Q867">
            <v>-83</v>
          </cell>
          <cell r="R867">
            <v>1890.8</v>
          </cell>
          <cell r="S867">
            <v>2543.1</v>
          </cell>
          <cell r="T867">
            <v>-153.5</v>
          </cell>
          <cell r="U867">
            <v>-174.1</v>
          </cell>
          <cell r="V867">
            <v>1385.4</v>
          </cell>
          <cell r="W867">
            <v>1385.4</v>
          </cell>
          <cell r="X867">
            <v>32.200000000000003</v>
          </cell>
          <cell r="Y867">
            <v>100.7</v>
          </cell>
          <cell r="Z867">
            <v>28.3</v>
          </cell>
          <cell r="AA867">
            <v>235.6</v>
          </cell>
          <cell r="AB867">
            <v>549</v>
          </cell>
          <cell r="AC867">
            <v>1352.1</v>
          </cell>
          <cell r="AD867" t="str">
            <v>-</v>
          </cell>
          <cell r="AE867" t="str">
            <v>-</v>
          </cell>
          <cell r="AF867">
            <v>260.2</v>
          </cell>
          <cell r="AG867">
            <v>-83.4</v>
          </cell>
          <cell r="AH867">
            <v>2101.6</v>
          </cell>
          <cell r="AI867">
            <v>2816.3</v>
          </cell>
        </row>
        <row r="868">
          <cell r="D868" t="str">
            <v>MH-60S</v>
          </cell>
          <cell r="E868">
            <v>1998</v>
          </cell>
          <cell r="F868">
            <v>58.5</v>
          </cell>
          <cell r="G868">
            <v>572.5</v>
          </cell>
          <cell r="H868">
            <v>-6.4</v>
          </cell>
          <cell r="I868">
            <v>121.8</v>
          </cell>
          <cell r="J868">
            <v>8.6</v>
          </cell>
          <cell r="K868">
            <v>-28</v>
          </cell>
          <cell r="L868">
            <v>142.9</v>
          </cell>
          <cell r="M868">
            <v>528.29999999999995</v>
          </cell>
          <cell r="N868" t="str">
            <v>-</v>
          </cell>
          <cell r="O868" t="str">
            <v>-</v>
          </cell>
          <cell r="P868">
            <v>-42.3</v>
          </cell>
          <cell r="Q868">
            <v>200.8</v>
          </cell>
          <cell r="R868">
            <v>161.30000000000001</v>
          </cell>
          <cell r="S868">
            <v>1395.4</v>
          </cell>
          <cell r="T868">
            <v>-75.3</v>
          </cell>
          <cell r="U868">
            <v>140.1</v>
          </cell>
          <cell r="V868">
            <v>80.099999999999994</v>
          </cell>
          <cell r="W868">
            <v>770.4</v>
          </cell>
          <cell r="X868">
            <v>-15.6</v>
          </cell>
          <cell r="Y868">
            <v>227</v>
          </cell>
          <cell r="Z868">
            <v>10.6</v>
          </cell>
          <cell r="AA868">
            <v>-35.4</v>
          </cell>
          <cell r="AB868">
            <v>190.6</v>
          </cell>
          <cell r="AC868">
            <v>494.4</v>
          </cell>
          <cell r="AD868" t="str">
            <v>-</v>
          </cell>
          <cell r="AE868" t="str">
            <v>-</v>
          </cell>
          <cell r="AF868">
            <v>-57.7</v>
          </cell>
          <cell r="AG868">
            <v>285.39999999999998</v>
          </cell>
          <cell r="AH868">
            <v>132.69999999999999</v>
          </cell>
          <cell r="AI868">
            <v>1881.9</v>
          </cell>
        </row>
        <row r="869">
          <cell r="D869" t="str">
            <v>MUOS</v>
          </cell>
          <cell r="E869">
            <v>2004</v>
          </cell>
          <cell r="F869" t="str">
            <v>-</v>
          </cell>
          <cell r="G869" t="str">
            <v>-</v>
          </cell>
          <cell r="H869">
            <v>5</v>
          </cell>
          <cell r="I869">
            <v>5</v>
          </cell>
          <cell r="J869" t="str">
            <v>-</v>
          </cell>
          <cell r="K869" t="str">
            <v>-</v>
          </cell>
          <cell r="L869">
            <v>246.4</v>
          </cell>
          <cell r="M869">
            <v>175.4</v>
          </cell>
          <cell r="N869" t="str">
            <v>-</v>
          </cell>
          <cell r="O869" t="str">
            <v>-</v>
          </cell>
          <cell r="P869" t="str">
            <v>-</v>
          </cell>
          <cell r="Q869" t="str">
            <v>-</v>
          </cell>
          <cell r="R869">
            <v>251.4</v>
          </cell>
          <cell r="S869">
            <v>180.4</v>
          </cell>
          <cell r="T869">
            <v>-104.5</v>
          </cell>
          <cell r="U869">
            <v>159.69999999999999</v>
          </cell>
          <cell r="V869" t="str">
            <v>-</v>
          </cell>
          <cell r="W869" t="str">
            <v>-</v>
          </cell>
          <cell r="X869">
            <v>16.5</v>
          </cell>
          <cell r="Y869">
            <v>16.5</v>
          </cell>
          <cell r="Z869" t="str">
            <v>-</v>
          </cell>
          <cell r="AA869" t="str">
            <v>-</v>
          </cell>
          <cell r="AB869">
            <v>294.8</v>
          </cell>
          <cell r="AC869">
            <v>231.2</v>
          </cell>
          <cell r="AD869" t="str">
            <v>-</v>
          </cell>
          <cell r="AE869" t="str">
            <v>-</v>
          </cell>
          <cell r="AF869" t="str">
            <v>-</v>
          </cell>
          <cell r="AG869" t="str">
            <v>-</v>
          </cell>
          <cell r="AH869">
            <v>206.8</v>
          </cell>
          <cell r="AI869">
            <v>407.4</v>
          </cell>
        </row>
        <row r="870">
          <cell r="D870" t="str">
            <v>NMT</v>
          </cell>
          <cell r="E870">
            <v>2002</v>
          </cell>
          <cell r="F870">
            <v>-2.9</v>
          </cell>
          <cell r="G870">
            <v>-2.2999999999999998</v>
          </cell>
          <cell r="H870" t="str">
            <v>-</v>
          </cell>
          <cell r="I870" t="str">
            <v>-</v>
          </cell>
          <cell r="J870" t="str">
            <v>-</v>
          </cell>
          <cell r="K870" t="str">
            <v>-</v>
          </cell>
          <cell r="L870">
            <v>47.5</v>
          </cell>
          <cell r="M870">
            <v>-134.30000000000001</v>
          </cell>
          <cell r="N870" t="str">
            <v>-</v>
          </cell>
          <cell r="O870" t="str">
            <v>-</v>
          </cell>
          <cell r="P870">
            <v>-35.6</v>
          </cell>
          <cell r="Q870">
            <v>-101</v>
          </cell>
          <cell r="R870">
            <v>9</v>
          </cell>
          <cell r="S870">
            <v>-237.6</v>
          </cell>
          <cell r="T870">
            <v>-49.4</v>
          </cell>
          <cell r="U870">
            <v>25.6</v>
          </cell>
          <cell r="V870">
            <v>-3.8</v>
          </cell>
          <cell r="W870">
            <v>-8.3000000000000007</v>
          </cell>
          <cell r="X870">
            <v>5.0999999999999996</v>
          </cell>
          <cell r="Y870">
            <v>10.4</v>
          </cell>
          <cell r="Z870" t="str">
            <v>-</v>
          </cell>
          <cell r="AA870" t="str">
            <v>-</v>
          </cell>
          <cell r="AB870">
            <v>61.2</v>
          </cell>
          <cell r="AC870">
            <v>-151.30000000000001</v>
          </cell>
          <cell r="AD870" t="str">
            <v>-</v>
          </cell>
          <cell r="AE870" t="str">
            <v>-</v>
          </cell>
          <cell r="AF870">
            <v>-46</v>
          </cell>
          <cell r="AG870">
            <v>-127.1</v>
          </cell>
          <cell r="AH870">
            <v>-32.9</v>
          </cell>
          <cell r="AI870">
            <v>-250.7</v>
          </cell>
        </row>
        <row r="871">
          <cell r="D871" t="str">
            <v>P-8A</v>
          </cell>
          <cell r="E871">
            <v>2004</v>
          </cell>
          <cell r="F871">
            <v>1240.5</v>
          </cell>
          <cell r="G871">
            <v>1065.0999999999999</v>
          </cell>
          <cell r="H871">
            <v>58.6</v>
          </cell>
          <cell r="I871">
            <v>329.1</v>
          </cell>
          <cell r="J871">
            <v>23</v>
          </cell>
          <cell r="K871">
            <v>160.80000000000001</v>
          </cell>
          <cell r="L871">
            <v>628.5</v>
          </cell>
          <cell r="M871">
            <v>75.400000000000006</v>
          </cell>
          <cell r="N871" t="str">
            <v>-</v>
          </cell>
          <cell r="O871" t="str">
            <v>-</v>
          </cell>
          <cell r="P871">
            <v>-92.5</v>
          </cell>
          <cell r="Q871">
            <v>-83.5</v>
          </cell>
          <cell r="R871">
            <v>1858.1</v>
          </cell>
          <cell r="S871">
            <v>1546.9</v>
          </cell>
          <cell r="T871">
            <v>-866.3</v>
          </cell>
          <cell r="U871">
            <v>416</v>
          </cell>
          <cell r="V871">
            <v>1620.6</v>
          </cell>
          <cell r="W871">
            <v>1419.6</v>
          </cell>
          <cell r="X871">
            <v>-122</v>
          </cell>
          <cell r="Y871">
            <v>709.5</v>
          </cell>
          <cell r="Z871">
            <v>27.9</v>
          </cell>
          <cell r="AA871">
            <v>193.3</v>
          </cell>
          <cell r="AB871">
            <v>769.5</v>
          </cell>
          <cell r="AC871">
            <v>96.9</v>
          </cell>
          <cell r="AD871" t="str">
            <v>-</v>
          </cell>
          <cell r="AE871" t="str">
            <v>-</v>
          </cell>
          <cell r="AF871">
            <v>-141.69999999999999</v>
          </cell>
          <cell r="AG871">
            <v>-123</v>
          </cell>
          <cell r="AH871">
            <v>1288</v>
          </cell>
          <cell r="AI871">
            <v>2712.3</v>
          </cell>
        </row>
        <row r="872">
          <cell r="D872" t="str">
            <v>RMS</v>
          </cell>
          <cell r="E872">
            <v>2006</v>
          </cell>
          <cell r="F872">
            <v>-430.8</v>
          </cell>
          <cell r="G872">
            <v>-434.5</v>
          </cell>
          <cell r="H872">
            <v>-39.4</v>
          </cell>
          <cell r="I872">
            <v>49.1</v>
          </cell>
          <cell r="J872">
            <v>-10.8</v>
          </cell>
          <cell r="K872">
            <v>-10.8</v>
          </cell>
          <cell r="L872">
            <v>206.7</v>
          </cell>
          <cell r="M872">
            <v>207.7</v>
          </cell>
          <cell r="N872" t="str">
            <v>-</v>
          </cell>
          <cell r="O872" t="str">
            <v>-</v>
          </cell>
          <cell r="P872">
            <v>66</v>
          </cell>
          <cell r="Q872">
            <v>55.1</v>
          </cell>
          <cell r="R872">
            <v>-208.3</v>
          </cell>
          <cell r="S872">
            <v>-133.4</v>
          </cell>
          <cell r="T872">
            <v>-36.1</v>
          </cell>
          <cell r="U872">
            <v>-39</v>
          </cell>
          <cell r="V872">
            <v>-534.9</v>
          </cell>
          <cell r="W872">
            <v>-523.6</v>
          </cell>
          <cell r="X872">
            <v>12.7</v>
          </cell>
          <cell r="Y872">
            <v>161.30000000000001</v>
          </cell>
          <cell r="Z872">
            <v>-11</v>
          </cell>
          <cell r="AA872">
            <v>-11</v>
          </cell>
          <cell r="AB872">
            <v>230.2</v>
          </cell>
          <cell r="AC872">
            <v>235.8</v>
          </cell>
          <cell r="AD872" t="str">
            <v>-</v>
          </cell>
          <cell r="AE872" t="str">
            <v>-</v>
          </cell>
          <cell r="AF872">
            <v>95.9</v>
          </cell>
          <cell r="AG872">
            <v>83.6</v>
          </cell>
          <cell r="AH872">
            <v>-243.2</v>
          </cell>
          <cell r="AI872">
            <v>-92.9</v>
          </cell>
        </row>
        <row r="873">
          <cell r="D873" t="str">
            <v>SM-6</v>
          </cell>
          <cell r="E873">
            <v>2004</v>
          </cell>
          <cell r="F873" t="str">
            <v>-</v>
          </cell>
          <cell r="G873" t="str">
            <v>-</v>
          </cell>
          <cell r="H873" t="str">
            <v>-</v>
          </cell>
          <cell r="I873" t="str">
            <v>-</v>
          </cell>
          <cell r="J873" t="str">
            <v>-</v>
          </cell>
          <cell r="K873" t="str">
            <v>-</v>
          </cell>
          <cell r="L873">
            <v>443.4</v>
          </cell>
          <cell r="M873">
            <v>369.9</v>
          </cell>
          <cell r="N873" t="str">
            <v>-</v>
          </cell>
          <cell r="O873" t="str">
            <v>-</v>
          </cell>
          <cell r="P873">
            <v>178.2</v>
          </cell>
          <cell r="Q873">
            <v>77.900000000000006</v>
          </cell>
          <cell r="R873">
            <v>621.6</v>
          </cell>
          <cell r="S873">
            <v>447.8</v>
          </cell>
          <cell r="T873">
            <v>-174.4</v>
          </cell>
          <cell r="U873">
            <v>84</v>
          </cell>
          <cell r="V873" t="str">
            <v>-</v>
          </cell>
          <cell r="W873" t="str">
            <v>-</v>
          </cell>
          <cell r="X873">
            <v>30.6</v>
          </cell>
          <cell r="Y873">
            <v>-45.1</v>
          </cell>
          <cell r="Z873" t="str">
            <v>-</v>
          </cell>
          <cell r="AA873" t="str">
            <v>-</v>
          </cell>
          <cell r="AB873">
            <v>563.9</v>
          </cell>
          <cell r="AC873">
            <v>487.3</v>
          </cell>
          <cell r="AD873" t="str">
            <v>-</v>
          </cell>
          <cell r="AE873" t="str">
            <v>-</v>
          </cell>
          <cell r="AF873">
            <v>225.5</v>
          </cell>
          <cell r="AG873">
            <v>90.5</v>
          </cell>
          <cell r="AH873">
            <v>645.6</v>
          </cell>
          <cell r="AI873">
            <v>616.70000000000005</v>
          </cell>
        </row>
        <row r="874">
          <cell r="D874" t="str">
            <v>SSN 774</v>
          </cell>
          <cell r="E874">
            <v>1995</v>
          </cell>
          <cell r="F874" t="str">
            <v>-</v>
          </cell>
          <cell r="G874" t="str">
            <v>-</v>
          </cell>
          <cell r="H874" t="str">
            <v>-</v>
          </cell>
          <cell r="I874">
            <v>1708</v>
          </cell>
          <cell r="J874" t="str">
            <v>-</v>
          </cell>
          <cell r="K874">
            <v>956</v>
          </cell>
          <cell r="L874">
            <v>-816.7</v>
          </cell>
          <cell r="M874">
            <v>13920.7</v>
          </cell>
          <cell r="N874" t="str">
            <v>-</v>
          </cell>
          <cell r="O874">
            <v>216.3</v>
          </cell>
          <cell r="P874">
            <v>49.3</v>
          </cell>
          <cell r="Q874">
            <v>550.29999999999995</v>
          </cell>
          <cell r="R874">
            <v>-767.4</v>
          </cell>
          <cell r="S874">
            <v>17351.3</v>
          </cell>
          <cell r="T874">
            <v>558.29999999999995</v>
          </cell>
          <cell r="U874">
            <v>-4505.5</v>
          </cell>
          <cell r="V874" t="str">
            <v>-</v>
          </cell>
          <cell r="W874" t="str">
            <v>-</v>
          </cell>
          <cell r="X874" t="str">
            <v>-</v>
          </cell>
          <cell r="Y874">
            <v>7689.6</v>
          </cell>
          <cell r="Z874" t="str">
            <v>-</v>
          </cell>
          <cell r="AA874">
            <v>1272.3</v>
          </cell>
          <cell r="AB874">
            <v>-1210.7</v>
          </cell>
          <cell r="AC874">
            <v>14740.3</v>
          </cell>
          <cell r="AD874" t="str">
            <v>-</v>
          </cell>
          <cell r="AE874">
            <v>280</v>
          </cell>
          <cell r="AF874">
            <v>81.099999999999994</v>
          </cell>
          <cell r="AG874">
            <v>836.4</v>
          </cell>
          <cell r="AH874">
            <v>-571.29999999999995</v>
          </cell>
          <cell r="AI874">
            <v>20313.099999999999</v>
          </cell>
        </row>
        <row r="875">
          <cell r="D875" t="str">
            <v>TACTICAL TOMAHAWK</v>
          </cell>
          <cell r="E875">
            <v>1999</v>
          </cell>
          <cell r="F875">
            <v>977.2</v>
          </cell>
          <cell r="G875">
            <v>1212.5999999999999</v>
          </cell>
          <cell r="H875">
            <v>103.3</v>
          </cell>
          <cell r="I875">
            <v>254.6</v>
          </cell>
          <cell r="J875">
            <v>10.9</v>
          </cell>
          <cell r="K875">
            <v>30.6</v>
          </cell>
          <cell r="L875">
            <v>718.6</v>
          </cell>
          <cell r="M875">
            <v>994.1</v>
          </cell>
          <cell r="N875" t="str">
            <v>-</v>
          </cell>
          <cell r="O875" t="str">
            <v>-</v>
          </cell>
          <cell r="P875">
            <v>12.1</v>
          </cell>
          <cell r="Q875">
            <v>58.5</v>
          </cell>
          <cell r="R875">
            <v>1822.1</v>
          </cell>
          <cell r="S875">
            <v>2550.4</v>
          </cell>
          <cell r="T875">
            <v>-37.4</v>
          </cell>
          <cell r="U875">
            <v>50.7</v>
          </cell>
          <cell r="V875">
            <v>1373.2</v>
          </cell>
          <cell r="W875">
            <v>1703.4</v>
          </cell>
          <cell r="X875">
            <v>139.19999999999999</v>
          </cell>
          <cell r="Y875">
            <v>372.2</v>
          </cell>
          <cell r="Z875">
            <v>15.3</v>
          </cell>
          <cell r="AA875">
            <v>40</v>
          </cell>
          <cell r="AB875">
            <v>1000.7</v>
          </cell>
          <cell r="AC875">
            <v>1353.7</v>
          </cell>
          <cell r="AD875" t="str">
            <v>-</v>
          </cell>
          <cell r="AE875" t="str">
            <v>-</v>
          </cell>
          <cell r="AF875">
            <v>19.100000000000001</v>
          </cell>
          <cell r="AG875">
            <v>75.099999999999994</v>
          </cell>
          <cell r="AH875">
            <v>2510.1</v>
          </cell>
          <cell r="AI875">
            <v>3595.1</v>
          </cell>
        </row>
        <row r="876">
          <cell r="D876" t="str">
            <v>T-AKE</v>
          </cell>
          <cell r="E876">
            <v>2000</v>
          </cell>
          <cell r="F876">
            <v>652.4</v>
          </cell>
          <cell r="G876">
            <v>669.2</v>
          </cell>
          <cell r="H876">
            <v>13.3</v>
          </cell>
          <cell r="I876">
            <v>13.3</v>
          </cell>
          <cell r="J876" t="str">
            <v>-</v>
          </cell>
          <cell r="K876" t="str">
            <v>-</v>
          </cell>
          <cell r="L876">
            <v>109</v>
          </cell>
          <cell r="M876">
            <v>447.8</v>
          </cell>
          <cell r="N876" t="str">
            <v>-</v>
          </cell>
          <cell r="O876" t="str">
            <v>-</v>
          </cell>
          <cell r="P876" t="str">
            <v>-</v>
          </cell>
          <cell r="Q876" t="str">
            <v>-</v>
          </cell>
          <cell r="R876">
            <v>774.7</v>
          </cell>
          <cell r="S876">
            <v>1130.3</v>
          </cell>
          <cell r="T876">
            <v>80.599999999999994</v>
          </cell>
          <cell r="U876">
            <v>345.8</v>
          </cell>
          <cell r="V876">
            <v>930.4</v>
          </cell>
          <cell r="W876">
            <v>1002.6</v>
          </cell>
          <cell r="X876">
            <v>19</v>
          </cell>
          <cell r="Y876">
            <v>52.5</v>
          </cell>
          <cell r="Z876" t="str">
            <v>-</v>
          </cell>
          <cell r="AA876" t="str">
            <v>-</v>
          </cell>
          <cell r="AB876">
            <v>144</v>
          </cell>
          <cell r="AC876">
            <v>598.1</v>
          </cell>
          <cell r="AD876" t="str">
            <v>-</v>
          </cell>
          <cell r="AE876" t="str">
            <v>-</v>
          </cell>
          <cell r="AF876" t="str">
            <v>-</v>
          </cell>
          <cell r="AG876" t="str">
            <v>-</v>
          </cell>
          <cell r="AH876">
            <v>1174</v>
          </cell>
          <cell r="AI876">
            <v>1999</v>
          </cell>
        </row>
        <row r="877">
          <cell r="D877" t="str">
            <v>TRIDENT II</v>
          </cell>
          <cell r="E877">
            <v>1983</v>
          </cell>
          <cell r="F877" t="str">
            <v>-</v>
          </cell>
          <cell r="G877">
            <v>-3970.8</v>
          </cell>
          <cell r="H877">
            <v>-1.7</v>
          </cell>
          <cell r="I877">
            <v>-1.7</v>
          </cell>
          <cell r="J877">
            <v>4.2</v>
          </cell>
          <cell r="K877">
            <v>55.9</v>
          </cell>
          <cell r="L877">
            <v>454.9</v>
          </cell>
          <cell r="M877">
            <v>3084.5</v>
          </cell>
          <cell r="N877" t="str">
            <v>-</v>
          </cell>
          <cell r="O877" t="str">
            <v>-</v>
          </cell>
          <cell r="P877">
            <v>-44</v>
          </cell>
          <cell r="Q877">
            <v>1071</v>
          </cell>
          <cell r="R877">
            <v>413.4</v>
          </cell>
          <cell r="S877">
            <v>238.9</v>
          </cell>
          <cell r="T877">
            <v>-242.7</v>
          </cell>
          <cell r="U877">
            <v>-479.1</v>
          </cell>
          <cell r="V877" t="str">
            <v>-</v>
          </cell>
          <cell r="W877">
            <v>-6719.1</v>
          </cell>
          <cell r="X877">
            <v>-3.3</v>
          </cell>
          <cell r="Y877">
            <v>1813.2</v>
          </cell>
          <cell r="Z877">
            <v>8.5</v>
          </cell>
          <cell r="AA877">
            <v>100.8</v>
          </cell>
          <cell r="AB877">
            <v>1070.5</v>
          </cell>
          <cell r="AC877">
            <v>6780.9</v>
          </cell>
          <cell r="AD877" t="str">
            <v>-</v>
          </cell>
          <cell r="AE877" t="str">
            <v>-</v>
          </cell>
          <cell r="AF877">
            <v>-104.4</v>
          </cell>
          <cell r="AG877">
            <v>2530.8000000000002</v>
          </cell>
          <cell r="AH877">
            <v>728.6</v>
          </cell>
          <cell r="AI877">
            <v>4027.5</v>
          </cell>
        </row>
        <row r="878">
          <cell r="D878" t="str">
            <v>V-22</v>
          </cell>
          <cell r="E878">
            <v>2005</v>
          </cell>
          <cell r="F878" t="str">
            <v>-</v>
          </cell>
          <cell r="G878" t="str">
            <v>-</v>
          </cell>
          <cell r="H878">
            <v>26.3</v>
          </cell>
          <cell r="I878">
            <v>425.2</v>
          </cell>
          <cell r="J878" t="str">
            <v>-</v>
          </cell>
          <cell r="K878">
            <v>157.1</v>
          </cell>
          <cell r="L878">
            <v>-860.4</v>
          </cell>
          <cell r="M878">
            <v>-1125.3</v>
          </cell>
          <cell r="N878" t="str">
            <v>-</v>
          </cell>
          <cell r="O878" t="str">
            <v>-</v>
          </cell>
          <cell r="P878">
            <v>301.8</v>
          </cell>
          <cell r="Q878">
            <v>233.1</v>
          </cell>
          <cell r="R878">
            <v>-532.29999999999995</v>
          </cell>
          <cell r="S878">
            <v>-309.89999999999998</v>
          </cell>
          <cell r="T878">
            <v>-761.7</v>
          </cell>
          <cell r="U878">
            <v>-695.4</v>
          </cell>
          <cell r="V878" t="str">
            <v>-</v>
          </cell>
          <cell r="W878" t="str">
            <v>-</v>
          </cell>
          <cell r="X878">
            <v>50.4</v>
          </cell>
          <cell r="Y878">
            <v>796.4</v>
          </cell>
          <cell r="Z878" t="str">
            <v>-</v>
          </cell>
          <cell r="AA878">
            <v>213.2</v>
          </cell>
          <cell r="AB878">
            <v>-966.6</v>
          </cell>
          <cell r="AC878">
            <v>-930.4</v>
          </cell>
          <cell r="AD878" t="str">
            <v>-</v>
          </cell>
          <cell r="AE878" t="str">
            <v>-</v>
          </cell>
          <cell r="AF878">
            <v>350</v>
          </cell>
          <cell r="AG878">
            <v>261.8</v>
          </cell>
          <cell r="AH878">
            <v>-1327.9</v>
          </cell>
          <cell r="AI878">
            <v>-354.4</v>
          </cell>
        </row>
        <row r="879">
          <cell r="D879" t="str">
            <v>VTUAV</v>
          </cell>
          <cell r="E879">
            <v>2006</v>
          </cell>
          <cell r="F879">
            <v>-11.5</v>
          </cell>
          <cell r="G879">
            <v>-11.5</v>
          </cell>
          <cell r="H879">
            <v>103.5</v>
          </cell>
          <cell r="I879">
            <v>103.5</v>
          </cell>
          <cell r="J879">
            <v>46</v>
          </cell>
          <cell r="K879">
            <v>81.7</v>
          </cell>
          <cell r="L879">
            <v>235.9</v>
          </cell>
          <cell r="M879">
            <v>-282.7</v>
          </cell>
          <cell r="N879" t="str">
            <v>-</v>
          </cell>
          <cell r="O879" t="str">
            <v>-</v>
          </cell>
          <cell r="P879">
            <v>18.7</v>
          </cell>
          <cell r="Q879">
            <v>10</v>
          </cell>
          <cell r="R879">
            <v>392.6</v>
          </cell>
          <cell r="S879">
            <v>-99</v>
          </cell>
          <cell r="T879">
            <v>-49.9</v>
          </cell>
          <cell r="U879">
            <v>-9</v>
          </cell>
          <cell r="V879">
            <v>-12</v>
          </cell>
          <cell r="W879">
            <v>-12</v>
          </cell>
          <cell r="X879">
            <v>164.9</v>
          </cell>
          <cell r="Y879">
            <v>167.4</v>
          </cell>
          <cell r="Z879">
            <v>49.3</v>
          </cell>
          <cell r="AA879">
            <v>89.5</v>
          </cell>
          <cell r="AB879">
            <v>287.89999999999998</v>
          </cell>
          <cell r="AC879">
            <v>-413.8</v>
          </cell>
          <cell r="AD879" t="str">
            <v>-</v>
          </cell>
          <cell r="AE879" t="str">
            <v>-</v>
          </cell>
          <cell r="AF879">
            <v>26.3</v>
          </cell>
          <cell r="AG879">
            <v>15.6</v>
          </cell>
          <cell r="AH879">
            <v>466.5</v>
          </cell>
          <cell r="AI879">
            <v>-162.30000000000001</v>
          </cell>
        </row>
        <row r="880">
          <cell r="D880" t="str">
            <v>Navy Subtotal</v>
          </cell>
          <cell r="F880">
            <v>16710.2</v>
          </cell>
          <cell r="G880">
            <v>25870.1</v>
          </cell>
          <cell r="H880">
            <v>1563.1</v>
          </cell>
          <cell r="I880">
            <v>6301.8</v>
          </cell>
          <cell r="J880">
            <v>1435.4</v>
          </cell>
          <cell r="K880">
            <v>4702.7</v>
          </cell>
          <cell r="L880">
            <v>13154.1</v>
          </cell>
          <cell r="M880">
            <v>42515.6</v>
          </cell>
          <cell r="N880">
            <v>336.6</v>
          </cell>
          <cell r="O880">
            <v>2118.3000000000002</v>
          </cell>
          <cell r="P880">
            <v>8919.4</v>
          </cell>
          <cell r="Q880">
            <v>11997.5</v>
          </cell>
          <cell r="R880">
            <v>42118.8</v>
          </cell>
          <cell r="S880">
            <v>93506</v>
          </cell>
          <cell r="T880">
            <v>-4415.2</v>
          </cell>
          <cell r="U880">
            <v>-5971.3</v>
          </cell>
          <cell r="V880">
            <v>23237.5</v>
          </cell>
          <cell r="W880">
            <v>37670.699999999997</v>
          </cell>
          <cell r="X880">
            <v>3740.1</v>
          </cell>
          <cell r="Y880">
            <v>21146.799999999999</v>
          </cell>
          <cell r="Z880">
            <v>2268.6999999999998</v>
          </cell>
          <cell r="AA880">
            <v>6610.5</v>
          </cell>
          <cell r="AB880">
            <v>20246.400000000001</v>
          </cell>
          <cell r="AC880">
            <v>58083.6</v>
          </cell>
          <cell r="AD880">
            <v>484.8</v>
          </cell>
          <cell r="AE880">
            <v>2750.3</v>
          </cell>
          <cell r="AF880">
            <v>10398.200000000001</v>
          </cell>
          <cell r="AG880">
            <v>15533.3</v>
          </cell>
          <cell r="AH880">
            <v>55960.5</v>
          </cell>
          <cell r="AI880">
            <v>135823.9</v>
          </cell>
        </row>
        <row r="883">
          <cell r="D883" t="str">
            <v>AEHF</v>
          </cell>
          <cell r="E883">
            <v>2002</v>
          </cell>
          <cell r="F883">
            <v>2074.3000000000002</v>
          </cell>
          <cell r="G883">
            <v>2859.2</v>
          </cell>
          <cell r="H883" t="str">
            <v>-</v>
          </cell>
          <cell r="I883">
            <v>879</v>
          </cell>
          <cell r="J883">
            <v>29.8</v>
          </cell>
          <cell r="K883">
            <v>88.7</v>
          </cell>
          <cell r="L883">
            <v>-78</v>
          </cell>
          <cell r="M883">
            <v>1247.5999999999999</v>
          </cell>
          <cell r="N883" t="str">
            <v>-</v>
          </cell>
          <cell r="O883" t="str">
            <v>-</v>
          </cell>
          <cell r="P883" t="str">
            <v>-</v>
          </cell>
          <cell r="Q883">
            <v>-8.5</v>
          </cell>
          <cell r="R883">
            <v>2026.1</v>
          </cell>
          <cell r="S883">
            <v>5066</v>
          </cell>
          <cell r="T883">
            <v>-53.9</v>
          </cell>
          <cell r="U883">
            <v>101.5</v>
          </cell>
          <cell r="V883">
            <v>2623.7</v>
          </cell>
          <cell r="W883">
            <v>3569.7</v>
          </cell>
          <cell r="X883" t="str">
            <v>-</v>
          </cell>
          <cell r="Y883">
            <v>1064.5</v>
          </cell>
          <cell r="Z883">
            <v>35</v>
          </cell>
          <cell r="AA883">
            <v>103.9</v>
          </cell>
          <cell r="AB883">
            <v>-94.5</v>
          </cell>
          <cell r="AC883">
            <v>1534.8</v>
          </cell>
          <cell r="AD883" t="str">
            <v>-</v>
          </cell>
          <cell r="AE883" t="str">
            <v>-</v>
          </cell>
          <cell r="AF883" t="str">
            <v>-</v>
          </cell>
          <cell r="AG883">
            <v>-11.2</v>
          </cell>
          <cell r="AH883">
            <v>2510.3000000000002</v>
          </cell>
          <cell r="AI883">
            <v>6363.2</v>
          </cell>
        </row>
        <row r="884">
          <cell r="D884" t="str">
            <v>AMRAAM</v>
          </cell>
          <cell r="E884">
            <v>1992</v>
          </cell>
          <cell r="F884">
            <v>2304.5</v>
          </cell>
          <cell r="G884">
            <v>1239</v>
          </cell>
          <cell r="H884">
            <v>787.8</v>
          </cell>
          <cell r="I884">
            <v>1563</v>
          </cell>
          <cell r="J884">
            <v>49.3</v>
          </cell>
          <cell r="K884">
            <v>917.2</v>
          </cell>
          <cell r="L884">
            <v>633.1</v>
          </cell>
          <cell r="M884">
            <v>840.8</v>
          </cell>
          <cell r="N884" t="str">
            <v>-</v>
          </cell>
          <cell r="O884" t="str">
            <v>-</v>
          </cell>
          <cell r="P884">
            <v>278.60000000000002</v>
          </cell>
          <cell r="Q884">
            <v>371.4</v>
          </cell>
          <cell r="R884">
            <v>4053.3</v>
          </cell>
          <cell r="S884">
            <v>4931.3999999999996</v>
          </cell>
          <cell r="T884">
            <v>-143</v>
          </cell>
          <cell r="U884">
            <v>-454.2</v>
          </cell>
          <cell r="V884">
            <v>3775.7</v>
          </cell>
          <cell r="W884">
            <v>2029.6</v>
          </cell>
          <cell r="X884">
            <v>1249.0999999999999</v>
          </cell>
          <cell r="Y884">
            <v>1954.1</v>
          </cell>
          <cell r="Z884">
            <v>80.400000000000006</v>
          </cell>
          <cell r="AA884">
            <v>1248.5</v>
          </cell>
          <cell r="AB884">
            <v>988.2</v>
          </cell>
          <cell r="AC884">
            <v>1669.8</v>
          </cell>
          <cell r="AD884" t="str">
            <v>-</v>
          </cell>
          <cell r="AE884" t="str">
            <v>-</v>
          </cell>
          <cell r="AF884">
            <v>452.3</v>
          </cell>
          <cell r="AG884">
            <v>640.70000000000005</v>
          </cell>
          <cell r="AH884">
            <v>6402.7</v>
          </cell>
          <cell r="AI884">
            <v>8170.9</v>
          </cell>
        </row>
        <row r="885">
          <cell r="D885" t="str">
            <v>B-2 EHF Increment I</v>
          </cell>
          <cell r="E885">
            <v>2007</v>
          </cell>
          <cell r="F885">
            <v>-5.3</v>
          </cell>
          <cell r="G885">
            <v>-5.3</v>
          </cell>
          <cell r="H885">
            <v>5.3</v>
          </cell>
          <cell r="I885">
            <v>5.3</v>
          </cell>
          <cell r="J885" t="str">
            <v>-</v>
          </cell>
          <cell r="K885" t="str">
            <v>-</v>
          </cell>
          <cell r="L885">
            <v>-45.2</v>
          </cell>
          <cell r="M885">
            <v>-63.9</v>
          </cell>
          <cell r="N885" t="str">
            <v>-</v>
          </cell>
          <cell r="O885" t="str">
            <v>-</v>
          </cell>
          <cell r="P885">
            <v>-7.7</v>
          </cell>
          <cell r="Q885">
            <v>-12.3</v>
          </cell>
          <cell r="R885">
            <v>-52.9</v>
          </cell>
          <cell r="S885">
            <v>-76.2</v>
          </cell>
          <cell r="T885">
            <v>-8.1999999999999993</v>
          </cell>
          <cell r="U885">
            <v>-10.199999999999999</v>
          </cell>
          <cell r="V885">
            <v>-6</v>
          </cell>
          <cell r="W885">
            <v>-6</v>
          </cell>
          <cell r="X885">
            <v>7.4</v>
          </cell>
          <cell r="Y885">
            <v>8.1</v>
          </cell>
          <cell r="Z885" t="str">
            <v>-</v>
          </cell>
          <cell r="AA885" t="str">
            <v>-</v>
          </cell>
          <cell r="AB885">
            <v>-46.8</v>
          </cell>
          <cell r="AC885">
            <v>-65.900000000000006</v>
          </cell>
          <cell r="AD885" t="str">
            <v>-</v>
          </cell>
          <cell r="AE885" t="str">
            <v>-</v>
          </cell>
          <cell r="AF885">
            <v>-8.8000000000000007</v>
          </cell>
          <cell r="AG885">
            <v>-13.5</v>
          </cell>
          <cell r="AH885">
            <v>-62.4</v>
          </cell>
          <cell r="AI885">
            <v>-87.5</v>
          </cell>
        </row>
        <row r="886">
          <cell r="D886" t="str">
            <v>B-2 RMP</v>
          </cell>
          <cell r="E886">
            <v>2008</v>
          </cell>
          <cell r="F886">
            <v>-35.5</v>
          </cell>
          <cell r="G886">
            <v>-35.5</v>
          </cell>
          <cell r="H886" t="str">
            <v>-</v>
          </cell>
          <cell r="I886">
            <v>96.1</v>
          </cell>
          <cell r="J886">
            <v>41.2</v>
          </cell>
          <cell r="K886">
            <v>41.2</v>
          </cell>
          <cell r="L886">
            <v>25.6</v>
          </cell>
          <cell r="M886">
            <v>-112.7</v>
          </cell>
          <cell r="N886" t="str">
            <v>-</v>
          </cell>
          <cell r="O886" t="str">
            <v>-</v>
          </cell>
          <cell r="P886">
            <v>15.7</v>
          </cell>
          <cell r="Q886">
            <v>-2.8</v>
          </cell>
          <cell r="R886">
            <v>47</v>
          </cell>
          <cell r="S886">
            <v>-13.7</v>
          </cell>
          <cell r="T886">
            <v>-12.2</v>
          </cell>
          <cell r="U886">
            <v>35.9</v>
          </cell>
          <cell r="V886">
            <v>-37.299999999999997</v>
          </cell>
          <cell r="W886">
            <v>-37.299999999999997</v>
          </cell>
          <cell r="X886" t="str">
            <v>-</v>
          </cell>
          <cell r="Y886">
            <v>116.9</v>
          </cell>
          <cell r="Z886">
            <v>42.2</v>
          </cell>
          <cell r="AA886">
            <v>42.2</v>
          </cell>
          <cell r="AB886">
            <v>30.6</v>
          </cell>
          <cell r="AC886">
            <v>-110.3</v>
          </cell>
          <cell r="AD886" t="str">
            <v>-</v>
          </cell>
          <cell r="AE886" t="str">
            <v>-</v>
          </cell>
          <cell r="AF886">
            <v>17.100000000000001</v>
          </cell>
          <cell r="AG886">
            <v>-1.6</v>
          </cell>
          <cell r="AH886">
            <v>40.4</v>
          </cell>
          <cell r="AI886">
            <v>45.8</v>
          </cell>
        </row>
        <row r="887">
          <cell r="D887" t="str">
            <v>C-130AMP</v>
          </cell>
          <cell r="E887">
            <v>2000</v>
          </cell>
          <cell r="F887">
            <v>-3.8</v>
          </cell>
          <cell r="G887">
            <v>-781.4</v>
          </cell>
          <cell r="H887">
            <v>-0.6</v>
          </cell>
          <cell r="I887">
            <v>62.4</v>
          </cell>
          <cell r="J887" t="str">
            <v>-</v>
          </cell>
          <cell r="K887">
            <v>69.2</v>
          </cell>
          <cell r="L887">
            <v>492.8</v>
          </cell>
          <cell r="M887">
            <v>2021.4</v>
          </cell>
          <cell r="N887" t="str">
            <v>-</v>
          </cell>
          <cell r="O887" t="str">
            <v>-</v>
          </cell>
          <cell r="P887">
            <v>-53</v>
          </cell>
          <cell r="Q887">
            <v>250.9</v>
          </cell>
          <cell r="R887">
            <v>435.4</v>
          </cell>
          <cell r="S887">
            <v>1622.5</v>
          </cell>
          <cell r="T887">
            <v>-115.8</v>
          </cell>
          <cell r="U887">
            <v>-306.7</v>
          </cell>
          <cell r="V887">
            <v>-5.3</v>
          </cell>
          <cell r="W887">
            <v>-1110.9000000000001</v>
          </cell>
          <cell r="X887">
            <v>65.7</v>
          </cell>
          <cell r="Y887">
            <v>306</v>
          </cell>
          <cell r="Z887" t="str">
            <v>-</v>
          </cell>
          <cell r="AA887">
            <v>77.599999999999994</v>
          </cell>
          <cell r="AB887">
            <v>663.8</v>
          </cell>
          <cell r="AC887">
            <v>3061.5</v>
          </cell>
          <cell r="AD887" t="str">
            <v>-</v>
          </cell>
          <cell r="AE887" t="str">
            <v>-</v>
          </cell>
          <cell r="AF887">
            <v>-55.7</v>
          </cell>
          <cell r="AG887">
            <v>360</v>
          </cell>
          <cell r="AH887">
            <v>552.70000000000005</v>
          </cell>
          <cell r="AI887">
            <v>2387.5</v>
          </cell>
        </row>
        <row r="888">
          <cell r="D888" t="str">
            <v>C-130J</v>
          </cell>
          <cell r="E888">
            <v>1996</v>
          </cell>
          <cell r="F888">
            <v>1859.5</v>
          </cell>
          <cell r="G888">
            <v>8590</v>
          </cell>
          <cell r="H888">
            <v>-3.3</v>
          </cell>
          <cell r="I888">
            <v>-267.39999999999998</v>
          </cell>
          <cell r="J888" t="str">
            <v>-</v>
          </cell>
          <cell r="K888">
            <v>126.2</v>
          </cell>
          <cell r="L888">
            <v>-641.79999999999995</v>
          </cell>
          <cell r="M888">
            <v>-382</v>
          </cell>
          <cell r="N888" t="str">
            <v>-</v>
          </cell>
          <cell r="O888" t="str">
            <v>-</v>
          </cell>
          <cell r="P888">
            <v>959.5</v>
          </cell>
          <cell r="Q888">
            <v>3181.1</v>
          </cell>
          <cell r="R888">
            <v>2173.9</v>
          </cell>
          <cell r="S888">
            <v>11247.9</v>
          </cell>
          <cell r="T888">
            <v>-106.6</v>
          </cell>
          <cell r="U888">
            <v>16.2</v>
          </cell>
          <cell r="V888">
            <v>2749.3</v>
          </cell>
          <cell r="W888">
            <v>11139.4</v>
          </cell>
          <cell r="X888">
            <v>-99.4</v>
          </cell>
          <cell r="Y888">
            <v>-498</v>
          </cell>
          <cell r="Z888" t="str">
            <v>-</v>
          </cell>
          <cell r="AA888">
            <v>169.1</v>
          </cell>
          <cell r="AB888">
            <v>-767.2</v>
          </cell>
          <cell r="AC888">
            <v>-637.29999999999995</v>
          </cell>
          <cell r="AD888" t="str">
            <v>-</v>
          </cell>
          <cell r="AE888" t="str">
            <v>-</v>
          </cell>
          <cell r="AF888">
            <v>1372.7</v>
          </cell>
          <cell r="AG888">
            <v>4149</v>
          </cell>
          <cell r="AH888">
            <v>3148.8</v>
          </cell>
          <cell r="AI888">
            <v>14338.4</v>
          </cell>
        </row>
        <row r="889">
          <cell r="D889" t="str">
            <v>C-17A</v>
          </cell>
          <cell r="E889">
            <v>1996</v>
          </cell>
          <cell r="F889">
            <v>3375</v>
          </cell>
          <cell r="G889">
            <v>2550.3000000000002</v>
          </cell>
          <cell r="H889">
            <v>628.70000000000005</v>
          </cell>
          <cell r="I889">
            <v>2047.1</v>
          </cell>
          <cell r="J889">
            <v>30.5</v>
          </cell>
          <cell r="K889">
            <v>402.4</v>
          </cell>
          <cell r="L889">
            <v>1307.9000000000001</v>
          </cell>
          <cell r="M889">
            <v>14947.9</v>
          </cell>
          <cell r="N889">
            <v>34.5</v>
          </cell>
          <cell r="O889">
            <v>445.5</v>
          </cell>
          <cell r="P889">
            <v>328.5</v>
          </cell>
          <cell r="Q889">
            <v>2725.8</v>
          </cell>
          <cell r="R889">
            <v>5705.1</v>
          </cell>
          <cell r="S889">
            <v>23119</v>
          </cell>
          <cell r="T889">
            <v>-45.2</v>
          </cell>
          <cell r="U889">
            <v>-864.5</v>
          </cell>
          <cell r="V889">
            <v>4314</v>
          </cell>
          <cell r="W889">
            <v>2682.2</v>
          </cell>
          <cell r="X889">
            <v>803.7</v>
          </cell>
          <cell r="Y889">
            <v>5631.8</v>
          </cell>
          <cell r="Z889">
            <v>39</v>
          </cell>
          <cell r="AA889">
            <v>421.5</v>
          </cell>
          <cell r="AB889">
            <v>1670.8</v>
          </cell>
          <cell r="AC889">
            <v>15567.9</v>
          </cell>
          <cell r="AD889">
            <v>44.1</v>
          </cell>
          <cell r="AE889">
            <v>456.1</v>
          </cell>
          <cell r="AF889">
            <v>437.7</v>
          </cell>
          <cell r="AG889">
            <v>3863.9</v>
          </cell>
          <cell r="AH889">
            <v>7264.1</v>
          </cell>
          <cell r="AI889">
            <v>27758.9</v>
          </cell>
        </row>
        <row r="890">
          <cell r="D890" t="str">
            <v>C-5 AMP</v>
          </cell>
          <cell r="E890">
            <v>2006</v>
          </cell>
          <cell r="F890">
            <v>-99</v>
          </cell>
          <cell r="G890">
            <v>158.9</v>
          </cell>
          <cell r="H890" t="str">
            <v>-</v>
          </cell>
          <cell r="I890">
            <v>3</v>
          </cell>
          <cell r="J890" t="str">
            <v>-</v>
          </cell>
          <cell r="K890">
            <v>13.9</v>
          </cell>
          <cell r="L890">
            <v>-4.7</v>
          </cell>
          <cell r="M890">
            <v>-14.5</v>
          </cell>
          <cell r="N890" t="str">
            <v>-</v>
          </cell>
          <cell r="O890" t="str">
            <v>-</v>
          </cell>
          <cell r="P890">
            <v>-60.8</v>
          </cell>
          <cell r="Q890">
            <v>162.80000000000001</v>
          </cell>
          <cell r="R890">
            <v>-164.5</v>
          </cell>
          <cell r="S890">
            <v>324.10000000000002</v>
          </cell>
          <cell r="T890">
            <v>-8.9</v>
          </cell>
          <cell r="U890">
            <v>-12.2</v>
          </cell>
          <cell r="V890">
            <v>-112.9</v>
          </cell>
          <cell r="W890">
            <v>178.5</v>
          </cell>
          <cell r="X890" t="str">
            <v>-</v>
          </cell>
          <cell r="Y890">
            <v>2.9</v>
          </cell>
          <cell r="Z890" t="str">
            <v>-</v>
          </cell>
          <cell r="AA890">
            <v>14.4</v>
          </cell>
          <cell r="AB890">
            <v>-6.4</v>
          </cell>
          <cell r="AC890">
            <v>-14</v>
          </cell>
          <cell r="AD890" t="str">
            <v>-</v>
          </cell>
          <cell r="AE890" t="str">
            <v>-</v>
          </cell>
          <cell r="AF890">
            <v>-72</v>
          </cell>
          <cell r="AG890">
            <v>179.2</v>
          </cell>
          <cell r="AH890">
            <v>-200.2</v>
          </cell>
          <cell r="AI890">
            <v>348.8</v>
          </cell>
        </row>
        <row r="891">
          <cell r="D891" t="str">
            <v>C-5 RERP</v>
          </cell>
          <cell r="E891">
            <v>2008</v>
          </cell>
          <cell r="F891" t="str">
            <v>-</v>
          </cell>
          <cell r="G891" t="str">
            <v>-</v>
          </cell>
          <cell r="H891" t="str">
            <v>-</v>
          </cell>
          <cell r="I891" t="str">
            <v>-</v>
          </cell>
          <cell r="J891" t="str">
            <v>-</v>
          </cell>
          <cell r="K891" t="str">
            <v>-</v>
          </cell>
          <cell r="L891">
            <v>111.5</v>
          </cell>
          <cell r="M891">
            <v>111.5</v>
          </cell>
          <cell r="N891" t="str">
            <v>-</v>
          </cell>
          <cell r="O891" t="str">
            <v>-</v>
          </cell>
          <cell r="P891">
            <v>-161</v>
          </cell>
          <cell r="Q891">
            <v>-161</v>
          </cell>
          <cell r="R891">
            <v>-49.5</v>
          </cell>
          <cell r="S891">
            <v>-49.5</v>
          </cell>
          <cell r="T891">
            <v>-170.8</v>
          </cell>
          <cell r="U891">
            <v>-170.8</v>
          </cell>
          <cell r="V891" t="str">
            <v>-</v>
          </cell>
          <cell r="W891" t="str">
            <v>-</v>
          </cell>
          <cell r="X891" t="str">
            <v>-</v>
          </cell>
          <cell r="Y891" t="str">
            <v>-</v>
          </cell>
          <cell r="Z891" t="str">
            <v>-</v>
          </cell>
          <cell r="AA891" t="str">
            <v>-</v>
          </cell>
          <cell r="AB891">
            <v>123.9</v>
          </cell>
          <cell r="AC891">
            <v>123.9</v>
          </cell>
          <cell r="AD891" t="str">
            <v>-</v>
          </cell>
          <cell r="AE891" t="str">
            <v>-</v>
          </cell>
          <cell r="AF891">
            <v>-175.3</v>
          </cell>
          <cell r="AG891">
            <v>-175.3</v>
          </cell>
          <cell r="AH891">
            <v>-222.2</v>
          </cell>
          <cell r="AI891">
            <v>-222.2</v>
          </cell>
        </row>
        <row r="892">
          <cell r="D892" t="str">
            <v>F-22</v>
          </cell>
          <cell r="E892">
            <v>2005</v>
          </cell>
          <cell r="F892">
            <v>433.6</v>
          </cell>
          <cell r="G892">
            <v>781.8</v>
          </cell>
          <cell r="H892">
            <v>-0.9</v>
          </cell>
          <cell r="I892">
            <v>-0.9</v>
          </cell>
          <cell r="J892" t="str">
            <v>-</v>
          </cell>
          <cell r="K892" t="str">
            <v>-</v>
          </cell>
          <cell r="L892">
            <v>1139.8</v>
          </cell>
          <cell r="M892">
            <v>2727.1</v>
          </cell>
          <cell r="N892" t="str">
            <v>-</v>
          </cell>
          <cell r="O892" t="str">
            <v>-</v>
          </cell>
          <cell r="P892">
            <v>381.1</v>
          </cell>
          <cell r="Q892">
            <v>1155.7</v>
          </cell>
          <cell r="R892">
            <v>1953.6</v>
          </cell>
          <cell r="S892">
            <v>4663.7</v>
          </cell>
          <cell r="T892">
            <v>-108.6</v>
          </cell>
          <cell r="U892">
            <v>-40.9</v>
          </cell>
          <cell r="V892">
            <v>486.3</v>
          </cell>
          <cell r="W892">
            <v>861.2</v>
          </cell>
          <cell r="X892">
            <v>-1</v>
          </cell>
          <cell r="Y892">
            <v>64</v>
          </cell>
          <cell r="Z892" t="str">
            <v>-</v>
          </cell>
          <cell r="AA892" t="str">
            <v>-</v>
          </cell>
          <cell r="AB892">
            <v>1358.6</v>
          </cell>
          <cell r="AC892">
            <v>3197</v>
          </cell>
          <cell r="AD892" t="str">
            <v>-</v>
          </cell>
          <cell r="AE892" t="str">
            <v>-</v>
          </cell>
          <cell r="AF892">
            <v>438.9</v>
          </cell>
          <cell r="AG892">
            <v>1309.0999999999999</v>
          </cell>
          <cell r="AH892">
            <v>2174.1999999999998</v>
          </cell>
          <cell r="AI892">
            <v>5390.4</v>
          </cell>
        </row>
        <row r="893">
          <cell r="D893" t="str">
            <v>FAB-T</v>
          </cell>
          <cell r="E893">
            <v>2002</v>
          </cell>
          <cell r="F893">
            <v>101.7</v>
          </cell>
          <cell r="G893">
            <v>135.30000000000001</v>
          </cell>
          <cell r="H893">
            <v>0.6</v>
          </cell>
          <cell r="I893">
            <v>0.6</v>
          </cell>
          <cell r="J893">
            <v>145.80000000000001</v>
          </cell>
          <cell r="K893">
            <v>145.80000000000001</v>
          </cell>
          <cell r="L893">
            <v>-273.60000000000002</v>
          </cell>
          <cell r="M893">
            <v>-29.7</v>
          </cell>
          <cell r="N893" t="str">
            <v>-</v>
          </cell>
          <cell r="O893" t="str">
            <v>-</v>
          </cell>
          <cell r="P893">
            <v>368.2</v>
          </cell>
          <cell r="Q893">
            <v>411.1</v>
          </cell>
          <cell r="R893">
            <v>342.7</v>
          </cell>
          <cell r="S893">
            <v>663.1</v>
          </cell>
          <cell r="T893">
            <v>-69</v>
          </cell>
          <cell r="U893">
            <v>-42.4</v>
          </cell>
          <cell r="V893">
            <v>134.80000000000001</v>
          </cell>
          <cell r="W893">
            <v>179.5</v>
          </cell>
          <cell r="X893">
            <v>9.5</v>
          </cell>
          <cell r="Y893">
            <v>18.7</v>
          </cell>
          <cell r="Z893">
            <v>174.7</v>
          </cell>
          <cell r="AA893">
            <v>174.7</v>
          </cell>
          <cell r="AB893">
            <v>-355.5</v>
          </cell>
          <cell r="AC893">
            <v>-39.5</v>
          </cell>
          <cell r="AD893" t="str">
            <v>-</v>
          </cell>
          <cell r="AE893" t="str">
            <v>-</v>
          </cell>
          <cell r="AF893">
            <v>465.2</v>
          </cell>
          <cell r="AG893">
            <v>523.5</v>
          </cell>
          <cell r="AH893">
            <v>359.7</v>
          </cell>
          <cell r="AI893">
            <v>814.5</v>
          </cell>
        </row>
        <row r="894">
          <cell r="D894" t="str">
            <v>GBS</v>
          </cell>
          <cell r="E894">
            <v>1997</v>
          </cell>
          <cell r="F894">
            <v>115.8</v>
          </cell>
          <cell r="G894">
            <v>347</v>
          </cell>
          <cell r="H894">
            <v>25.7</v>
          </cell>
          <cell r="I894">
            <v>61.5</v>
          </cell>
          <cell r="J894">
            <v>32.4</v>
          </cell>
          <cell r="K894">
            <v>118.2</v>
          </cell>
          <cell r="L894">
            <v>-17.600000000000001</v>
          </cell>
          <cell r="M894">
            <v>-102.3</v>
          </cell>
          <cell r="N894" t="str">
            <v>-</v>
          </cell>
          <cell r="O894" t="str">
            <v>-</v>
          </cell>
          <cell r="P894">
            <v>7.2</v>
          </cell>
          <cell r="Q894">
            <v>14.7</v>
          </cell>
          <cell r="R894">
            <v>163.5</v>
          </cell>
          <cell r="S894">
            <v>439.1</v>
          </cell>
          <cell r="T894">
            <v>-1</v>
          </cell>
          <cell r="U894">
            <v>-11.2</v>
          </cell>
          <cell r="V894">
            <v>150.1</v>
          </cell>
          <cell r="W894">
            <v>416.1</v>
          </cell>
          <cell r="X894">
            <v>33.9</v>
          </cell>
          <cell r="Y894">
            <v>77.2</v>
          </cell>
          <cell r="Z894">
            <v>43.1</v>
          </cell>
          <cell r="AA894">
            <v>145</v>
          </cell>
          <cell r="AB894">
            <v>-23.2</v>
          </cell>
          <cell r="AC894">
            <v>-125.1</v>
          </cell>
          <cell r="AD894" t="str">
            <v>-</v>
          </cell>
          <cell r="AE894" t="str">
            <v>-</v>
          </cell>
          <cell r="AF894">
            <v>8.5</v>
          </cell>
          <cell r="AG894">
            <v>17.8</v>
          </cell>
          <cell r="AH894">
            <v>211.4</v>
          </cell>
          <cell r="AI894">
            <v>519.79999999999995</v>
          </cell>
        </row>
        <row r="895">
          <cell r="D895" t="str">
            <v>RQ-4 GLOBAL HAWK</v>
          </cell>
          <cell r="E895">
            <v>2000</v>
          </cell>
          <cell r="F895">
            <v>1107.0999999999999</v>
          </cell>
          <cell r="G895">
            <v>785.5</v>
          </cell>
          <cell r="H895">
            <v>-264.5</v>
          </cell>
          <cell r="I895">
            <v>-793.4</v>
          </cell>
          <cell r="J895">
            <v>788.8</v>
          </cell>
          <cell r="K895">
            <v>3841.2</v>
          </cell>
          <cell r="L895">
            <v>941</v>
          </cell>
          <cell r="M895">
            <v>1912</v>
          </cell>
          <cell r="N895" t="str">
            <v>-</v>
          </cell>
          <cell r="O895" t="str">
            <v>-</v>
          </cell>
          <cell r="P895">
            <v>442.8</v>
          </cell>
          <cell r="Q895">
            <v>1021.5</v>
          </cell>
          <cell r="R895">
            <v>3015.2</v>
          </cell>
          <cell r="S895">
            <v>6766.8</v>
          </cell>
          <cell r="T895">
            <v>-105.4</v>
          </cell>
          <cell r="U895">
            <v>-67.400000000000006</v>
          </cell>
          <cell r="V895">
            <v>1522.8</v>
          </cell>
          <cell r="W895">
            <v>1035.9000000000001</v>
          </cell>
          <cell r="X895">
            <v>-340.1</v>
          </cell>
          <cell r="Y895">
            <v>-1113</v>
          </cell>
          <cell r="Z895">
            <v>1088.0999999999999</v>
          </cell>
          <cell r="AA895">
            <v>4672.3</v>
          </cell>
          <cell r="AB895">
            <v>1238.8</v>
          </cell>
          <cell r="AC895">
            <v>2502.6999999999998</v>
          </cell>
          <cell r="AD895" t="str">
            <v>-</v>
          </cell>
          <cell r="AE895" t="str">
            <v>-</v>
          </cell>
          <cell r="AF895">
            <v>563.4</v>
          </cell>
          <cell r="AG895">
            <v>1283.8</v>
          </cell>
          <cell r="AH895">
            <v>3967.6</v>
          </cell>
          <cell r="AI895">
            <v>8314.2999999999993</v>
          </cell>
        </row>
        <row r="896">
          <cell r="D896" t="str">
            <v>GPS IIIA</v>
          </cell>
          <cell r="E896">
            <v>2000</v>
          </cell>
          <cell r="F896" t="str">
            <v>-</v>
          </cell>
          <cell r="G896" t="str">
            <v>-</v>
          </cell>
          <cell r="H896" t="str">
            <v>-</v>
          </cell>
          <cell r="I896" t="str">
            <v>-</v>
          </cell>
          <cell r="J896" t="str">
            <v>-</v>
          </cell>
          <cell r="K896" t="str">
            <v>-</v>
          </cell>
          <cell r="L896">
            <v>136.6</v>
          </cell>
          <cell r="M896">
            <v>136.6</v>
          </cell>
          <cell r="N896" t="str">
            <v>-</v>
          </cell>
          <cell r="O896" t="str">
            <v>-</v>
          </cell>
          <cell r="P896">
            <v>74.599999999999994</v>
          </cell>
          <cell r="Q896">
            <v>74.599999999999994</v>
          </cell>
          <cell r="R896">
            <v>211.2</v>
          </cell>
          <cell r="S896">
            <v>211.2</v>
          </cell>
          <cell r="T896">
            <v>-75.7</v>
          </cell>
          <cell r="U896">
            <v>-75.7</v>
          </cell>
          <cell r="V896" t="str">
            <v>-</v>
          </cell>
          <cell r="W896" t="str">
            <v>-</v>
          </cell>
          <cell r="X896" t="str">
            <v>-</v>
          </cell>
          <cell r="Y896" t="str">
            <v>-</v>
          </cell>
          <cell r="Z896" t="str">
            <v>-</v>
          </cell>
          <cell r="AA896" t="str">
            <v>-</v>
          </cell>
          <cell r="AB896">
            <v>185.2</v>
          </cell>
          <cell r="AC896">
            <v>185.2</v>
          </cell>
          <cell r="AD896" t="str">
            <v>-</v>
          </cell>
          <cell r="AE896" t="str">
            <v>-</v>
          </cell>
          <cell r="AF896">
            <v>95.1</v>
          </cell>
          <cell r="AG896">
            <v>95.1</v>
          </cell>
          <cell r="AH896">
            <v>204.6</v>
          </cell>
          <cell r="AI896">
            <v>204.6</v>
          </cell>
        </row>
        <row r="897">
          <cell r="D897" t="str">
            <v>JASSM</v>
          </cell>
          <cell r="E897">
            <v>1995</v>
          </cell>
          <cell r="F897">
            <v>32.6</v>
          </cell>
          <cell r="G897">
            <v>-198.3</v>
          </cell>
          <cell r="H897" t="str">
            <v>-</v>
          </cell>
          <cell r="I897">
            <v>-20.8</v>
          </cell>
          <cell r="J897">
            <v>304.39999999999998</v>
          </cell>
          <cell r="K897">
            <v>315.2</v>
          </cell>
          <cell r="L897">
            <v>700.4</v>
          </cell>
          <cell r="M897">
            <v>1386.9</v>
          </cell>
          <cell r="N897" t="str">
            <v>-</v>
          </cell>
          <cell r="O897" t="str">
            <v>-</v>
          </cell>
          <cell r="P897">
            <v>15.8</v>
          </cell>
          <cell r="Q897">
            <v>19.899999999999999</v>
          </cell>
          <cell r="R897">
            <v>1053.2</v>
          </cell>
          <cell r="S897">
            <v>1502.9</v>
          </cell>
          <cell r="T897">
            <v>-146.5</v>
          </cell>
          <cell r="U897">
            <v>32</v>
          </cell>
          <cell r="V897">
            <v>42.7</v>
          </cell>
          <cell r="W897">
            <v>-280.5</v>
          </cell>
          <cell r="X897">
            <v>256</v>
          </cell>
          <cell r="Y897">
            <v>469</v>
          </cell>
          <cell r="Z897">
            <v>448.6</v>
          </cell>
          <cell r="AA897">
            <v>463.3</v>
          </cell>
          <cell r="AB897">
            <v>1018</v>
          </cell>
          <cell r="AC897">
            <v>2011.5</v>
          </cell>
          <cell r="AD897" t="str">
            <v>-</v>
          </cell>
          <cell r="AE897" t="str">
            <v>-</v>
          </cell>
          <cell r="AF897">
            <v>26.7</v>
          </cell>
          <cell r="AG897">
            <v>34.9</v>
          </cell>
          <cell r="AH897">
            <v>1645.5</v>
          </cell>
          <cell r="AI897">
            <v>2730.2</v>
          </cell>
        </row>
        <row r="898">
          <cell r="D898" t="str">
            <v>JDAM</v>
          </cell>
          <cell r="E898">
            <v>1995</v>
          </cell>
          <cell r="F898">
            <v>332.4</v>
          </cell>
          <cell r="G898">
            <v>1557.6</v>
          </cell>
          <cell r="H898">
            <v>-0.6</v>
          </cell>
          <cell r="I898">
            <v>-0.6</v>
          </cell>
          <cell r="J898" t="str">
            <v>-</v>
          </cell>
          <cell r="K898">
            <v>12.5</v>
          </cell>
          <cell r="L898">
            <v>11.4</v>
          </cell>
          <cell r="M898">
            <v>812.5</v>
          </cell>
          <cell r="N898" t="str">
            <v>-</v>
          </cell>
          <cell r="O898" t="str">
            <v>-</v>
          </cell>
          <cell r="P898">
            <v>21.7</v>
          </cell>
          <cell r="Q898">
            <v>204.7</v>
          </cell>
          <cell r="R898">
            <v>364.9</v>
          </cell>
          <cell r="S898">
            <v>2586.6999999999998</v>
          </cell>
          <cell r="T898">
            <v>-4.0999999999999996</v>
          </cell>
          <cell r="U898">
            <v>64.599999999999994</v>
          </cell>
          <cell r="V898">
            <v>455.6</v>
          </cell>
          <cell r="W898">
            <v>1907.7</v>
          </cell>
          <cell r="X898">
            <v>-8.6</v>
          </cell>
          <cell r="Y898">
            <v>-47.2</v>
          </cell>
          <cell r="Z898" t="str">
            <v>-</v>
          </cell>
          <cell r="AA898">
            <v>15.5</v>
          </cell>
          <cell r="AB898">
            <v>19</v>
          </cell>
          <cell r="AC898">
            <v>951.9</v>
          </cell>
          <cell r="AD898" t="str">
            <v>-</v>
          </cell>
          <cell r="AE898" t="str">
            <v>-</v>
          </cell>
          <cell r="AF898">
            <v>30.4</v>
          </cell>
          <cell r="AG898">
            <v>253.2</v>
          </cell>
          <cell r="AH898">
            <v>492.3</v>
          </cell>
          <cell r="AI898">
            <v>3145.7</v>
          </cell>
        </row>
        <row r="899">
          <cell r="D899" t="str">
            <v>JPATS</v>
          </cell>
          <cell r="E899">
            <v>2002</v>
          </cell>
          <cell r="F899">
            <v>-3.8</v>
          </cell>
          <cell r="G899">
            <v>-62.3</v>
          </cell>
          <cell r="H899">
            <v>-0.1</v>
          </cell>
          <cell r="I899">
            <v>10.3</v>
          </cell>
          <cell r="J899">
            <v>-0.5</v>
          </cell>
          <cell r="K899">
            <v>344</v>
          </cell>
          <cell r="L899">
            <v>-80.900000000000006</v>
          </cell>
          <cell r="M899">
            <v>60.6</v>
          </cell>
          <cell r="N899">
            <v>41.1</v>
          </cell>
          <cell r="O899">
            <v>41.1</v>
          </cell>
          <cell r="P899">
            <v>20.3</v>
          </cell>
          <cell r="Q899">
            <v>-32.1</v>
          </cell>
          <cell r="R899">
            <v>-23.9</v>
          </cell>
          <cell r="S899">
            <v>361.6</v>
          </cell>
          <cell r="T899">
            <v>-43.7</v>
          </cell>
          <cell r="U899">
            <v>-7.2</v>
          </cell>
          <cell r="V899">
            <v>-4.8</v>
          </cell>
          <cell r="W899">
            <v>-80.8</v>
          </cell>
          <cell r="X899">
            <v>3</v>
          </cell>
          <cell r="Y899">
            <v>60.8</v>
          </cell>
          <cell r="Z899">
            <v>-0.6</v>
          </cell>
          <cell r="AA899">
            <v>440.4</v>
          </cell>
          <cell r="AB899">
            <v>-98.3</v>
          </cell>
          <cell r="AC899">
            <v>11.8</v>
          </cell>
          <cell r="AD899">
            <v>51</v>
          </cell>
          <cell r="AE899">
            <v>51</v>
          </cell>
          <cell r="AF899">
            <v>13.5</v>
          </cell>
          <cell r="AG899">
            <v>-62.7</v>
          </cell>
          <cell r="AH899">
            <v>-79.900000000000006</v>
          </cell>
          <cell r="AI899">
            <v>413.3</v>
          </cell>
        </row>
        <row r="900">
          <cell r="D900" t="str">
            <v>LAIRCM</v>
          </cell>
          <cell r="E900">
            <v>2008</v>
          </cell>
          <cell r="F900" t="str">
            <v>-</v>
          </cell>
          <cell r="G900" t="str">
            <v>-</v>
          </cell>
          <cell r="H900" t="str">
            <v>-</v>
          </cell>
          <cell r="I900" t="str">
            <v>-</v>
          </cell>
          <cell r="J900" t="str">
            <v>-</v>
          </cell>
          <cell r="K900" t="str">
            <v>-</v>
          </cell>
          <cell r="L900">
            <v>55.2</v>
          </cell>
          <cell r="M900">
            <v>55.2</v>
          </cell>
          <cell r="N900" t="str">
            <v>-</v>
          </cell>
          <cell r="O900" t="str">
            <v>-</v>
          </cell>
          <cell r="P900" t="str">
            <v>-</v>
          </cell>
          <cell r="Q900" t="str">
            <v>-</v>
          </cell>
          <cell r="R900">
            <v>55.2</v>
          </cell>
          <cell r="S900">
            <v>55.2</v>
          </cell>
          <cell r="T900">
            <v>-2.7</v>
          </cell>
          <cell r="U900">
            <v>-2.7</v>
          </cell>
          <cell r="V900" t="str">
            <v>-</v>
          </cell>
          <cell r="W900" t="str">
            <v>-</v>
          </cell>
          <cell r="X900" t="str">
            <v>-</v>
          </cell>
          <cell r="Y900" t="str">
            <v>-</v>
          </cell>
          <cell r="Z900" t="str">
            <v>-</v>
          </cell>
          <cell r="AA900" t="str">
            <v>-</v>
          </cell>
          <cell r="AB900">
            <v>52.1</v>
          </cell>
          <cell r="AC900">
            <v>52.1</v>
          </cell>
          <cell r="AD900" t="str">
            <v>-</v>
          </cell>
          <cell r="AE900" t="str">
            <v>-</v>
          </cell>
          <cell r="AF900" t="str">
            <v>-</v>
          </cell>
          <cell r="AG900" t="str">
            <v>-</v>
          </cell>
          <cell r="AH900">
            <v>49.4</v>
          </cell>
          <cell r="AI900">
            <v>49.4</v>
          </cell>
        </row>
        <row r="901">
          <cell r="D901" t="str">
            <v>MINUTEMAN III PRP</v>
          </cell>
          <cell r="E901">
            <v>1994</v>
          </cell>
          <cell r="F901" t="str">
            <v>-</v>
          </cell>
          <cell r="G901">
            <v>-10.4</v>
          </cell>
          <cell r="H901" t="str">
            <v>-</v>
          </cell>
          <cell r="I901">
            <v>-26.9</v>
          </cell>
          <cell r="J901" t="str">
            <v>-</v>
          </cell>
          <cell r="K901">
            <v>21.3</v>
          </cell>
          <cell r="L901">
            <v>11.1</v>
          </cell>
          <cell r="M901">
            <v>104.2</v>
          </cell>
          <cell r="N901" t="str">
            <v>-</v>
          </cell>
          <cell r="O901" t="str">
            <v>-</v>
          </cell>
          <cell r="P901">
            <v>-10</v>
          </cell>
          <cell r="Q901">
            <v>15.9</v>
          </cell>
          <cell r="R901">
            <v>1.1000000000000001</v>
          </cell>
          <cell r="S901">
            <v>104.1</v>
          </cell>
          <cell r="T901">
            <v>-1.6</v>
          </cell>
          <cell r="U901">
            <v>12.3</v>
          </cell>
          <cell r="V901" t="str">
            <v>-</v>
          </cell>
          <cell r="W901">
            <v>-11.5</v>
          </cell>
          <cell r="X901" t="str">
            <v>-</v>
          </cell>
          <cell r="Y901">
            <v>-29.8</v>
          </cell>
          <cell r="Z901" t="str">
            <v>-</v>
          </cell>
          <cell r="AA901">
            <v>25.5</v>
          </cell>
          <cell r="AB901">
            <v>12.8</v>
          </cell>
          <cell r="AC901">
            <v>-22.4</v>
          </cell>
          <cell r="AD901" t="str">
            <v>-</v>
          </cell>
          <cell r="AE901" t="str">
            <v>-</v>
          </cell>
          <cell r="AF901">
            <v>-11.2</v>
          </cell>
          <cell r="AG901">
            <v>26.9</v>
          </cell>
          <cell r="AH901" t="str">
            <v>-</v>
          </cell>
          <cell r="AI901">
            <v>1</v>
          </cell>
        </row>
        <row r="902">
          <cell r="D902" t="str">
            <v>MP RTIP</v>
          </cell>
          <cell r="E902">
            <v>2000</v>
          </cell>
          <cell r="F902" t="str">
            <v>-</v>
          </cell>
          <cell r="G902" t="str">
            <v>-</v>
          </cell>
          <cell r="H902">
            <v>1.3</v>
          </cell>
          <cell r="I902">
            <v>130.69999999999999</v>
          </cell>
          <cell r="J902" t="str">
            <v>-</v>
          </cell>
          <cell r="K902">
            <v>-289.7</v>
          </cell>
          <cell r="L902">
            <v>0.2</v>
          </cell>
          <cell r="M902">
            <v>-174.1</v>
          </cell>
          <cell r="N902" t="str">
            <v>-</v>
          </cell>
          <cell r="O902" t="str">
            <v>-</v>
          </cell>
          <cell r="P902" t="str">
            <v>-</v>
          </cell>
          <cell r="Q902" t="str">
            <v>-</v>
          </cell>
          <cell r="R902">
            <v>1.5</v>
          </cell>
          <cell r="S902">
            <v>-333.1</v>
          </cell>
          <cell r="T902">
            <v>-0.2</v>
          </cell>
          <cell r="U902">
            <v>43.2</v>
          </cell>
          <cell r="V902" t="str">
            <v>-</v>
          </cell>
          <cell r="W902" t="str">
            <v>-</v>
          </cell>
          <cell r="X902">
            <v>21.5</v>
          </cell>
          <cell r="Y902">
            <v>177.6</v>
          </cell>
          <cell r="Z902" t="str">
            <v>-</v>
          </cell>
          <cell r="AA902">
            <v>-351</v>
          </cell>
          <cell r="AB902">
            <v>0.2</v>
          </cell>
          <cell r="AC902">
            <v>-191.7</v>
          </cell>
          <cell r="AD902" t="str">
            <v>-</v>
          </cell>
          <cell r="AE902" t="str">
            <v>-</v>
          </cell>
          <cell r="AF902" t="str">
            <v>-</v>
          </cell>
          <cell r="AG902" t="str">
            <v>-</v>
          </cell>
          <cell r="AH902">
            <v>21.5</v>
          </cell>
          <cell r="AI902">
            <v>-321.89999999999998</v>
          </cell>
        </row>
        <row r="903">
          <cell r="D903" t="str">
            <v>NAS</v>
          </cell>
          <cell r="E903">
            <v>2005</v>
          </cell>
          <cell r="F903" t="str">
            <v>-</v>
          </cell>
          <cell r="G903">
            <v>-15.1</v>
          </cell>
          <cell r="H903" t="str">
            <v>-</v>
          </cell>
          <cell r="I903">
            <v>11.6</v>
          </cell>
          <cell r="J903" t="str">
            <v>-</v>
          </cell>
          <cell r="K903" t="str">
            <v>-</v>
          </cell>
          <cell r="L903">
            <v>54.9</v>
          </cell>
          <cell r="M903">
            <v>94.2</v>
          </cell>
          <cell r="N903" t="str">
            <v>-</v>
          </cell>
          <cell r="O903" t="str">
            <v>-</v>
          </cell>
          <cell r="P903">
            <v>-55.4</v>
          </cell>
          <cell r="Q903">
            <v>-40.9</v>
          </cell>
          <cell r="R903">
            <v>-0.5</v>
          </cell>
          <cell r="S903">
            <v>49.8</v>
          </cell>
          <cell r="T903">
            <v>-11.4</v>
          </cell>
          <cell r="U903">
            <v>-2.6</v>
          </cell>
          <cell r="V903" t="str">
            <v>-</v>
          </cell>
          <cell r="W903">
            <v>-18.5</v>
          </cell>
          <cell r="X903">
            <v>-2</v>
          </cell>
          <cell r="Y903">
            <v>9</v>
          </cell>
          <cell r="Z903" t="str">
            <v>-</v>
          </cell>
          <cell r="AA903" t="str">
            <v>-</v>
          </cell>
          <cell r="AB903">
            <v>61.5</v>
          </cell>
          <cell r="AC903">
            <v>112.7</v>
          </cell>
          <cell r="AD903" t="str">
            <v>-</v>
          </cell>
          <cell r="AE903" t="str">
            <v>-</v>
          </cell>
          <cell r="AF903">
            <v>-62.5</v>
          </cell>
          <cell r="AG903">
            <v>-45.4</v>
          </cell>
          <cell r="AH903">
            <v>-14.4</v>
          </cell>
          <cell r="AI903">
            <v>55.2</v>
          </cell>
        </row>
        <row r="904">
          <cell r="D904" t="str">
            <v>NAVSTAR GPS SPLIT</v>
          </cell>
          <cell r="E904">
            <v>2000</v>
          </cell>
          <cell r="F904" t="str">
            <v>-</v>
          </cell>
          <cell r="G904">
            <v>20</v>
          </cell>
          <cell r="H904" t="str">
            <v>-</v>
          </cell>
          <cell r="I904" t="str">
            <v>-</v>
          </cell>
          <cell r="J904" t="str">
            <v>-</v>
          </cell>
          <cell r="K904">
            <v>391.9</v>
          </cell>
          <cell r="L904">
            <v>-114.1</v>
          </cell>
          <cell r="M904">
            <v>216.1</v>
          </cell>
          <cell r="N904" t="str">
            <v>-</v>
          </cell>
          <cell r="O904" t="str">
            <v>-</v>
          </cell>
          <cell r="P904">
            <v>179.1</v>
          </cell>
          <cell r="Q904">
            <v>384.5</v>
          </cell>
          <cell r="R904">
            <v>65</v>
          </cell>
          <cell r="S904">
            <v>1012.5</v>
          </cell>
          <cell r="T904">
            <v>-15.5</v>
          </cell>
          <cell r="U904">
            <v>25.3</v>
          </cell>
          <cell r="V904" t="str">
            <v>-</v>
          </cell>
          <cell r="W904">
            <v>-2.2999999999999998</v>
          </cell>
          <cell r="X904" t="str">
            <v>-</v>
          </cell>
          <cell r="Y904">
            <v>8.3000000000000007</v>
          </cell>
          <cell r="Z904" t="str">
            <v>-</v>
          </cell>
          <cell r="AA904">
            <v>435.4</v>
          </cell>
          <cell r="AB904">
            <v>-148</v>
          </cell>
          <cell r="AC904">
            <v>315.60000000000002</v>
          </cell>
          <cell r="AD904" t="str">
            <v>-</v>
          </cell>
          <cell r="AE904" t="str">
            <v>-</v>
          </cell>
          <cell r="AF904">
            <v>218.8</v>
          </cell>
          <cell r="AG904">
            <v>458.2</v>
          </cell>
          <cell r="AH904">
            <v>55.3</v>
          </cell>
          <cell r="AI904">
            <v>1240.5</v>
          </cell>
        </row>
        <row r="905">
          <cell r="D905" t="str">
            <v>NAVSTAR GPS SPLIT</v>
          </cell>
          <cell r="E905">
            <v>2000</v>
          </cell>
          <cell r="F905" t="str">
            <v>-</v>
          </cell>
          <cell r="G905" t="str">
            <v>-</v>
          </cell>
          <cell r="H905" t="str">
            <v>-</v>
          </cell>
          <cell r="I905" t="str">
            <v>-</v>
          </cell>
          <cell r="J905" t="str">
            <v>-</v>
          </cell>
          <cell r="K905">
            <v>251.6</v>
          </cell>
          <cell r="L905">
            <v>22</v>
          </cell>
          <cell r="M905">
            <v>761.4</v>
          </cell>
          <cell r="N905" t="str">
            <v>-</v>
          </cell>
          <cell r="O905" t="str">
            <v>-</v>
          </cell>
          <cell r="P905">
            <v>-39.9</v>
          </cell>
          <cell r="Q905">
            <v>-38.1</v>
          </cell>
          <cell r="R905">
            <v>-17.899999999999999</v>
          </cell>
          <cell r="S905">
            <v>974.9</v>
          </cell>
          <cell r="T905">
            <v>-22.2</v>
          </cell>
          <cell r="U905">
            <v>-4.5</v>
          </cell>
          <cell r="V905" t="str">
            <v>-</v>
          </cell>
          <cell r="W905" t="str">
            <v>-</v>
          </cell>
          <cell r="X905" t="str">
            <v>-</v>
          </cell>
          <cell r="Y905" t="str">
            <v>-</v>
          </cell>
          <cell r="Z905" t="str">
            <v>-</v>
          </cell>
          <cell r="AA905">
            <v>277.8</v>
          </cell>
          <cell r="AB905">
            <v>28.7</v>
          </cell>
          <cell r="AC905">
            <v>947.6</v>
          </cell>
          <cell r="AD905" t="str">
            <v>-</v>
          </cell>
          <cell r="AE905" t="str">
            <v>-</v>
          </cell>
          <cell r="AF905">
            <v>-51.1</v>
          </cell>
          <cell r="AG905">
            <v>-46.2</v>
          </cell>
          <cell r="AH905">
            <v>-44.6</v>
          </cell>
          <cell r="AI905">
            <v>1174.7</v>
          </cell>
        </row>
        <row r="906">
          <cell r="D906" t="str">
            <v>NPOESS</v>
          </cell>
          <cell r="E906">
            <v>2002</v>
          </cell>
          <cell r="F906">
            <v>-4530.8999999999996</v>
          </cell>
          <cell r="G906">
            <v>-4963.1000000000004</v>
          </cell>
          <cell r="H906" t="str">
            <v>-</v>
          </cell>
          <cell r="I906">
            <v>682.2</v>
          </cell>
          <cell r="J906" t="str">
            <v>-</v>
          </cell>
          <cell r="K906">
            <v>-677.1</v>
          </cell>
          <cell r="L906">
            <v>474.2</v>
          </cell>
          <cell r="M906">
            <v>4726.3</v>
          </cell>
          <cell r="N906" t="str">
            <v>-</v>
          </cell>
          <cell r="O906" t="str">
            <v>-</v>
          </cell>
          <cell r="P906" t="str">
            <v>-</v>
          </cell>
          <cell r="Q906" t="str">
            <v>-</v>
          </cell>
          <cell r="R906">
            <v>-4056.7</v>
          </cell>
          <cell r="S906">
            <v>-231.7</v>
          </cell>
          <cell r="T906">
            <v>-181.9</v>
          </cell>
          <cell r="U906">
            <v>2.9</v>
          </cell>
          <cell r="V906">
            <v>-5737.6</v>
          </cell>
          <cell r="W906">
            <v>-6332.1</v>
          </cell>
          <cell r="X906" t="str">
            <v>-</v>
          </cell>
          <cell r="Y906">
            <v>980.2</v>
          </cell>
          <cell r="Z906" t="str">
            <v>-</v>
          </cell>
          <cell r="AA906">
            <v>-859.7</v>
          </cell>
          <cell r="AB906">
            <v>588.9</v>
          </cell>
          <cell r="AC906">
            <v>5900.7</v>
          </cell>
          <cell r="AD906" t="str">
            <v>-</v>
          </cell>
          <cell r="AE906" t="str">
            <v>-</v>
          </cell>
          <cell r="AF906" t="str">
            <v>-</v>
          </cell>
          <cell r="AG906" t="str">
            <v>-</v>
          </cell>
          <cell r="AH906">
            <v>-5330.6</v>
          </cell>
          <cell r="AI906">
            <v>-308</v>
          </cell>
        </row>
        <row r="907">
          <cell r="D907" t="str">
            <v>SBIRS</v>
          </cell>
          <cell r="E907">
            <v>1995</v>
          </cell>
          <cell r="F907">
            <v>1593.2</v>
          </cell>
          <cell r="G907">
            <v>1349</v>
          </cell>
          <cell r="H907" t="str">
            <v>-</v>
          </cell>
          <cell r="I907">
            <v>301.5</v>
          </cell>
          <cell r="J907" t="str">
            <v>-</v>
          </cell>
          <cell r="K907">
            <v>453.8</v>
          </cell>
          <cell r="L907">
            <v>742.4</v>
          </cell>
          <cell r="M907">
            <v>6007.8</v>
          </cell>
          <cell r="N907" t="str">
            <v>-</v>
          </cell>
          <cell r="O907" t="str">
            <v>-</v>
          </cell>
          <cell r="P907">
            <v>332.2</v>
          </cell>
          <cell r="Q907">
            <v>434.9</v>
          </cell>
          <cell r="R907">
            <v>2667.8</v>
          </cell>
          <cell r="S907">
            <v>8547</v>
          </cell>
          <cell r="T907">
            <v>-65.3</v>
          </cell>
          <cell r="U907">
            <v>-24.3</v>
          </cell>
          <cell r="V907">
            <v>2164.1</v>
          </cell>
          <cell r="W907">
            <v>1865.3</v>
          </cell>
          <cell r="X907" t="str">
            <v>-</v>
          </cell>
          <cell r="Y907">
            <v>560.29999999999995</v>
          </cell>
          <cell r="Z907" t="str">
            <v>-</v>
          </cell>
          <cell r="AA907">
            <v>506.4</v>
          </cell>
          <cell r="AB907">
            <v>1008.6</v>
          </cell>
          <cell r="AC907">
            <v>7484.1</v>
          </cell>
          <cell r="AD907" t="str">
            <v>-</v>
          </cell>
          <cell r="AE907" t="str">
            <v>-</v>
          </cell>
          <cell r="AF907">
            <v>453.7</v>
          </cell>
          <cell r="AG907">
            <v>576.5</v>
          </cell>
          <cell r="AH907">
            <v>3561.1</v>
          </cell>
          <cell r="AI907">
            <v>10968.3</v>
          </cell>
        </row>
        <row r="908">
          <cell r="D908" t="str">
            <v>SBSS B10</v>
          </cell>
          <cell r="E908">
            <v>2007</v>
          </cell>
          <cell r="F908" t="str">
            <v>-</v>
          </cell>
          <cell r="G908" t="str">
            <v>-</v>
          </cell>
          <cell r="H908">
            <v>68.900000000000006</v>
          </cell>
          <cell r="I908">
            <v>68.900000000000006</v>
          </cell>
          <cell r="J908" t="str">
            <v>-</v>
          </cell>
          <cell r="K908" t="str">
            <v>-</v>
          </cell>
          <cell r="L908">
            <v>-10.4</v>
          </cell>
          <cell r="M908">
            <v>-9.9</v>
          </cell>
          <cell r="N908" t="str">
            <v>-</v>
          </cell>
          <cell r="O908" t="str">
            <v>-</v>
          </cell>
          <cell r="P908" t="str">
            <v>-</v>
          </cell>
          <cell r="Q908" t="str">
            <v>-</v>
          </cell>
          <cell r="R908">
            <v>58.5</v>
          </cell>
          <cell r="S908">
            <v>59</v>
          </cell>
          <cell r="T908">
            <v>-2.9</v>
          </cell>
          <cell r="U908">
            <v>-5.4</v>
          </cell>
          <cell r="V908" t="str">
            <v>-</v>
          </cell>
          <cell r="W908" t="str">
            <v>-</v>
          </cell>
          <cell r="X908">
            <v>72.5</v>
          </cell>
          <cell r="Y908">
            <v>72.5</v>
          </cell>
          <cell r="Z908" t="str">
            <v>-</v>
          </cell>
          <cell r="AA908" t="str">
            <v>-</v>
          </cell>
          <cell r="AB908">
            <v>-11.8</v>
          </cell>
          <cell r="AC908">
            <v>-11.2</v>
          </cell>
          <cell r="AD908" t="str">
            <v>-</v>
          </cell>
          <cell r="AE908" t="str">
            <v>-</v>
          </cell>
          <cell r="AF908" t="str">
            <v>-</v>
          </cell>
          <cell r="AG908" t="str">
            <v>-</v>
          </cell>
          <cell r="AH908">
            <v>57.8</v>
          </cell>
          <cell r="AI908">
            <v>55.9</v>
          </cell>
        </row>
        <row r="909">
          <cell r="D909" t="str">
            <v>WGS</v>
          </cell>
          <cell r="E909">
            <v>2001</v>
          </cell>
          <cell r="F909">
            <v>1035.8</v>
          </cell>
          <cell r="G909">
            <v>1596.3</v>
          </cell>
          <cell r="H909" t="str">
            <v>-</v>
          </cell>
          <cell r="I909" t="str">
            <v>-</v>
          </cell>
          <cell r="J909">
            <v>58.6</v>
          </cell>
          <cell r="K909">
            <v>118.3</v>
          </cell>
          <cell r="L909">
            <v>112.4</v>
          </cell>
          <cell r="M909">
            <v>294.5</v>
          </cell>
          <cell r="N909" t="str">
            <v>-</v>
          </cell>
          <cell r="O909" t="str">
            <v>-</v>
          </cell>
          <cell r="P909" t="str">
            <v>-</v>
          </cell>
          <cell r="Q909">
            <v>-18.3</v>
          </cell>
          <cell r="R909">
            <v>1206.8</v>
          </cell>
          <cell r="S909">
            <v>1990.8</v>
          </cell>
          <cell r="T909">
            <v>-4.5999999999999996</v>
          </cell>
          <cell r="U909">
            <v>22.7</v>
          </cell>
          <cell r="V909">
            <v>1275.2</v>
          </cell>
          <cell r="W909">
            <v>1909.4</v>
          </cell>
          <cell r="X909" t="str">
            <v>-</v>
          </cell>
          <cell r="Y909" t="str">
            <v>-</v>
          </cell>
          <cell r="Z909">
            <v>70.2</v>
          </cell>
          <cell r="AA909">
            <v>133.4</v>
          </cell>
          <cell r="AB909">
            <v>150.4</v>
          </cell>
          <cell r="AC909">
            <v>353.9</v>
          </cell>
          <cell r="AD909" t="str">
            <v>-</v>
          </cell>
          <cell r="AE909" t="str">
            <v>-</v>
          </cell>
          <cell r="AF909" t="str">
            <v>-</v>
          </cell>
          <cell r="AG909">
            <v>-20.2</v>
          </cell>
          <cell r="AH909">
            <v>1491.2</v>
          </cell>
          <cell r="AI909">
            <v>2399.1999999999998</v>
          </cell>
        </row>
        <row r="910">
          <cell r="D910" t="str">
            <v>Air Force Subtotal</v>
          </cell>
          <cell r="F910">
            <v>9687.2000000000007</v>
          </cell>
          <cell r="G910">
            <v>15898.5</v>
          </cell>
          <cell r="H910">
            <v>1248.3</v>
          </cell>
          <cell r="I910">
            <v>4813.2</v>
          </cell>
          <cell r="J910">
            <v>1480.3</v>
          </cell>
          <cell r="K910">
            <v>6705.8</v>
          </cell>
          <cell r="L910">
            <v>5706.2</v>
          </cell>
          <cell r="M910">
            <v>37575.5</v>
          </cell>
          <cell r="N910">
            <v>75.599999999999994</v>
          </cell>
          <cell r="O910">
            <v>486.6</v>
          </cell>
          <cell r="P910">
            <v>3037.5</v>
          </cell>
          <cell r="Q910">
            <v>10115.5</v>
          </cell>
          <cell r="R910">
            <v>21235.1</v>
          </cell>
          <cell r="S910">
            <v>75595.100000000006</v>
          </cell>
          <cell r="T910">
            <v>-1526.9</v>
          </cell>
          <cell r="U910">
            <v>-1746.3</v>
          </cell>
          <cell r="V910">
            <v>13790.4</v>
          </cell>
          <cell r="W910">
            <v>19894.599999999999</v>
          </cell>
          <cell r="X910">
            <v>2071.1999999999998</v>
          </cell>
          <cell r="Y910">
            <v>9893.9</v>
          </cell>
          <cell r="Z910">
            <v>2020.7</v>
          </cell>
          <cell r="AA910">
            <v>8156.2</v>
          </cell>
          <cell r="AB910">
            <v>7648.4</v>
          </cell>
          <cell r="AC910">
            <v>44767.3</v>
          </cell>
          <cell r="AD910">
            <v>95.1</v>
          </cell>
          <cell r="AE910">
            <v>507.1</v>
          </cell>
          <cell r="AF910">
            <v>4157.3999999999996</v>
          </cell>
          <cell r="AG910">
            <v>13395.7</v>
          </cell>
          <cell r="AH910">
            <v>28256.3</v>
          </cell>
          <cell r="AI910">
            <v>94868.5</v>
          </cell>
        </row>
        <row r="913">
          <cell r="D913" t="str">
            <v>BMDS</v>
          </cell>
          <cell r="E913">
            <v>2002</v>
          </cell>
          <cell r="F913" t="str">
            <v>-</v>
          </cell>
          <cell r="G913" t="str">
            <v>-</v>
          </cell>
          <cell r="H913" t="str">
            <v>-</v>
          </cell>
          <cell r="I913">
            <v>-1417</v>
          </cell>
          <cell r="J913">
            <v>-5896.1</v>
          </cell>
          <cell r="K913">
            <v>41657.4</v>
          </cell>
          <cell r="L913">
            <v>-1427.6</v>
          </cell>
          <cell r="M913">
            <v>-2905.9</v>
          </cell>
          <cell r="N913" t="str">
            <v>-</v>
          </cell>
          <cell r="O913" t="str">
            <v>-</v>
          </cell>
          <cell r="P913" t="str">
            <v>-</v>
          </cell>
          <cell r="Q913" t="str">
            <v>-</v>
          </cell>
          <cell r="R913">
            <v>-7323.7</v>
          </cell>
          <cell r="S913">
            <v>37334.5</v>
          </cell>
          <cell r="T913">
            <v>-1192</v>
          </cell>
          <cell r="U913">
            <v>1133.0999999999999</v>
          </cell>
          <cell r="V913" t="str">
            <v>-</v>
          </cell>
          <cell r="W913" t="str">
            <v>-</v>
          </cell>
          <cell r="X913" t="str">
            <v>-</v>
          </cell>
          <cell r="Y913">
            <v>-1684.3</v>
          </cell>
          <cell r="Z913">
            <v>-7166.6</v>
          </cell>
          <cell r="AA913">
            <v>49288.4</v>
          </cell>
          <cell r="AB913">
            <v>-1710.3</v>
          </cell>
          <cell r="AC913">
            <v>-3110.8</v>
          </cell>
          <cell r="AD913" t="str">
            <v>-</v>
          </cell>
          <cell r="AE913" t="str">
            <v>-</v>
          </cell>
          <cell r="AF913" t="str">
            <v>-</v>
          </cell>
          <cell r="AG913" t="str">
            <v>-</v>
          </cell>
          <cell r="AH913">
            <v>-10068.9</v>
          </cell>
          <cell r="AI913">
            <v>45626.400000000001</v>
          </cell>
        </row>
        <row r="914">
          <cell r="D914" t="str">
            <v>CHEM DEMIL-ACWA</v>
          </cell>
          <cell r="E914">
            <v>1994</v>
          </cell>
          <cell r="F914" t="str">
            <v>-</v>
          </cell>
          <cell r="G914" t="str">
            <v>-</v>
          </cell>
          <cell r="H914" t="str">
            <v>-</v>
          </cell>
          <cell r="I914">
            <v>-175.1</v>
          </cell>
          <cell r="J914" t="str">
            <v>-</v>
          </cell>
          <cell r="K914" t="str">
            <v>-</v>
          </cell>
          <cell r="L914">
            <v>474.6</v>
          </cell>
          <cell r="M914">
            <v>4191.1000000000004</v>
          </cell>
          <cell r="N914" t="str">
            <v>-</v>
          </cell>
          <cell r="O914" t="str">
            <v>-</v>
          </cell>
          <cell r="P914" t="str">
            <v>-</v>
          </cell>
          <cell r="Q914" t="str">
            <v>-</v>
          </cell>
          <cell r="R914">
            <v>474.6</v>
          </cell>
          <cell r="S914">
            <v>4016</v>
          </cell>
          <cell r="T914">
            <v>-123.3</v>
          </cell>
          <cell r="U914">
            <v>-48.8</v>
          </cell>
          <cell r="V914" t="str">
            <v>-</v>
          </cell>
          <cell r="W914" t="str">
            <v>-</v>
          </cell>
          <cell r="X914" t="str">
            <v>-</v>
          </cell>
          <cell r="Y914">
            <v>-150.19999999999999</v>
          </cell>
          <cell r="Z914" t="str">
            <v>-</v>
          </cell>
          <cell r="AA914" t="str">
            <v>-</v>
          </cell>
          <cell r="AB914">
            <v>483.7</v>
          </cell>
          <cell r="AC914">
            <v>6120.9</v>
          </cell>
          <cell r="AD914" t="str">
            <v>-</v>
          </cell>
          <cell r="AE914" t="str">
            <v>-</v>
          </cell>
          <cell r="AF914" t="str">
            <v>-</v>
          </cell>
          <cell r="AG914" t="str">
            <v>-</v>
          </cell>
          <cell r="AH914">
            <v>360.4</v>
          </cell>
          <cell r="AI914">
            <v>5921.9</v>
          </cell>
        </row>
        <row r="915">
          <cell r="D915" t="str">
            <v>CHEM DEMIL-CMA</v>
          </cell>
          <cell r="E915">
            <v>1994</v>
          </cell>
          <cell r="F915" t="str">
            <v>-</v>
          </cell>
          <cell r="G915" t="str">
            <v>-</v>
          </cell>
          <cell r="H915" t="str">
            <v>-</v>
          </cell>
          <cell r="I915">
            <v>8011.5</v>
          </cell>
          <cell r="J915" t="str">
            <v>-</v>
          </cell>
          <cell r="K915" t="str">
            <v>-</v>
          </cell>
          <cell r="L915">
            <v>-1047.2</v>
          </cell>
          <cell r="M915">
            <v>1879.3</v>
          </cell>
          <cell r="N915" t="str">
            <v>-</v>
          </cell>
          <cell r="O915">
            <v>7.6</v>
          </cell>
          <cell r="P915" t="str">
            <v>-</v>
          </cell>
          <cell r="Q915" t="str">
            <v>-</v>
          </cell>
          <cell r="R915">
            <v>-1047.2</v>
          </cell>
          <cell r="S915">
            <v>9898.4</v>
          </cell>
          <cell r="T915">
            <v>-132.4</v>
          </cell>
          <cell r="U915">
            <v>70.2</v>
          </cell>
          <cell r="V915" t="str">
            <v>-</v>
          </cell>
          <cell r="W915" t="str">
            <v>-</v>
          </cell>
          <cell r="X915">
            <v>-11</v>
          </cell>
          <cell r="Y915">
            <v>10694</v>
          </cell>
          <cell r="Z915" t="str">
            <v>-</v>
          </cell>
          <cell r="AA915" t="str">
            <v>-</v>
          </cell>
          <cell r="AB915">
            <v>-1524.8</v>
          </cell>
          <cell r="AC915">
            <v>2101.6</v>
          </cell>
          <cell r="AD915" t="str">
            <v>-</v>
          </cell>
          <cell r="AE915">
            <v>8.6999999999999993</v>
          </cell>
          <cell r="AF915" t="str">
            <v>-</v>
          </cell>
          <cell r="AG915" t="str">
            <v>-</v>
          </cell>
          <cell r="AH915">
            <v>-1668.2</v>
          </cell>
          <cell r="AI915">
            <v>12874.5</v>
          </cell>
        </row>
        <row r="916">
          <cell r="D916" t="str">
            <v>F-35</v>
          </cell>
          <cell r="E916">
            <v>2002</v>
          </cell>
          <cell r="F916">
            <v>130.6</v>
          </cell>
          <cell r="G916">
            <v>-16118.5</v>
          </cell>
          <cell r="H916" t="str">
            <v>-</v>
          </cell>
          <cell r="I916">
            <v>8797.1</v>
          </cell>
          <cell r="J916" t="str">
            <v>-</v>
          </cell>
          <cell r="K916">
            <v>9686.7000000000007</v>
          </cell>
          <cell r="L916">
            <v>21642.799999999999</v>
          </cell>
          <cell r="M916">
            <v>52380.3</v>
          </cell>
          <cell r="N916" t="str">
            <v>-</v>
          </cell>
          <cell r="O916" t="str">
            <v>-</v>
          </cell>
          <cell r="P916">
            <v>6810.7</v>
          </cell>
          <cell r="Q916">
            <v>6753</v>
          </cell>
          <cell r="R916">
            <v>28584.1</v>
          </cell>
          <cell r="S916">
            <v>61498.6</v>
          </cell>
          <cell r="T916">
            <v>-11904.9</v>
          </cell>
          <cell r="U916">
            <v>-6595</v>
          </cell>
          <cell r="V916">
            <v>157</v>
          </cell>
          <cell r="W916">
            <v>-25277.9</v>
          </cell>
          <cell r="X916">
            <v>2148.3000000000002</v>
          </cell>
          <cell r="Y916">
            <v>31762.400000000001</v>
          </cell>
          <cell r="Z916" t="str">
            <v>-</v>
          </cell>
          <cell r="AA916">
            <v>12789.3</v>
          </cell>
          <cell r="AB916">
            <v>30025.5</v>
          </cell>
          <cell r="AC916">
            <v>71553.8</v>
          </cell>
          <cell r="AD916" t="str">
            <v>-</v>
          </cell>
          <cell r="AE916" t="str">
            <v>-</v>
          </cell>
          <cell r="AF916">
            <v>8984.2000000000007</v>
          </cell>
          <cell r="AG916">
            <v>11020.3</v>
          </cell>
          <cell r="AH916">
            <v>29410.1</v>
          </cell>
          <cell r="AI916">
            <v>95252.9</v>
          </cell>
        </row>
        <row r="917">
          <cell r="D917" t="str">
            <v>JCA</v>
          </cell>
          <cell r="E917">
            <v>2007</v>
          </cell>
          <cell r="F917">
            <v>-1248.2</v>
          </cell>
          <cell r="G917">
            <v>-1248.2</v>
          </cell>
          <cell r="H917" t="str">
            <v>-</v>
          </cell>
          <cell r="I917" t="str">
            <v>-</v>
          </cell>
          <cell r="J917" t="str">
            <v>-</v>
          </cell>
          <cell r="K917" t="str">
            <v>-</v>
          </cell>
          <cell r="L917">
            <v>-273.5</v>
          </cell>
          <cell r="M917">
            <v>-273.5</v>
          </cell>
          <cell r="N917" t="str">
            <v>-</v>
          </cell>
          <cell r="O917" t="str">
            <v>-</v>
          </cell>
          <cell r="P917">
            <v>-258.89999999999998</v>
          </cell>
          <cell r="Q917">
            <v>-258.89999999999998</v>
          </cell>
          <cell r="R917">
            <v>-1780.6</v>
          </cell>
          <cell r="S917">
            <v>-1780.6</v>
          </cell>
          <cell r="T917">
            <v>-89.6</v>
          </cell>
          <cell r="U917">
            <v>-89.6</v>
          </cell>
          <cell r="V917">
            <v>-1370</v>
          </cell>
          <cell r="W917">
            <v>-1370</v>
          </cell>
          <cell r="X917">
            <v>-12.1</v>
          </cell>
          <cell r="Y917">
            <v>-12.1</v>
          </cell>
          <cell r="Z917" t="str">
            <v>-</v>
          </cell>
          <cell r="AA917" t="str">
            <v>-</v>
          </cell>
          <cell r="AB917">
            <v>-313.5</v>
          </cell>
          <cell r="AC917">
            <v>-313.5</v>
          </cell>
          <cell r="AD917" t="str">
            <v>-</v>
          </cell>
          <cell r="AE917" t="str">
            <v>-</v>
          </cell>
          <cell r="AF917">
            <v>-292.10000000000002</v>
          </cell>
          <cell r="AG917">
            <v>-292.10000000000002</v>
          </cell>
          <cell r="AH917">
            <v>-2077.3000000000002</v>
          </cell>
          <cell r="AI917">
            <v>-2077.3000000000002</v>
          </cell>
        </row>
        <row r="918">
          <cell r="D918" t="str">
            <v>JTRS GMR</v>
          </cell>
          <cell r="E918">
            <v>2002</v>
          </cell>
          <cell r="F918">
            <v>51.4</v>
          </cell>
          <cell r="G918">
            <v>-1814.3</v>
          </cell>
          <cell r="H918">
            <v>5.7</v>
          </cell>
          <cell r="I918">
            <v>370.1</v>
          </cell>
          <cell r="J918">
            <v>0.7</v>
          </cell>
          <cell r="K918">
            <v>-72</v>
          </cell>
          <cell r="L918">
            <v>-678.1</v>
          </cell>
          <cell r="M918">
            <v>627.9</v>
          </cell>
          <cell r="N918" t="str">
            <v>-</v>
          </cell>
          <cell r="O918" t="str">
            <v>-</v>
          </cell>
          <cell r="P918">
            <v>-276.5</v>
          </cell>
          <cell r="Q918">
            <v>-202.6</v>
          </cell>
          <cell r="R918">
            <v>-896.8</v>
          </cell>
          <cell r="S918">
            <v>-1090.9000000000001</v>
          </cell>
          <cell r="T918">
            <v>-892.2</v>
          </cell>
          <cell r="U918">
            <v>-12.8</v>
          </cell>
          <cell r="V918">
            <v>74.099999999999994</v>
          </cell>
          <cell r="W918">
            <v>-2945.9</v>
          </cell>
          <cell r="X918">
            <v>888.9</v>
          </cell>
          <cell r="Y918">
            <v>2377.3000000000002</v>
          </cell>
          <cell r="Z918">
            <v>0.8</v>
          </cell>
          <cell r="AA918">
            <v>13.2</v>
          </cell>
          <cell r="AB918">
            <v>-1172</v>
          </cell>
          <cell r="AC918">
            <v>645.79999999999995</v>
          </cell>
          <cell r="AD918" t="str">
            <v>-</v>
          </cell>
          <cell r="AE918" t="str">
            <v>-</v>
          </cell>
          <cell r="AF918">
            <v>-305.3</v>
          </cell>
          <cell r="AG918">
            <v>-59.8</v>
          </cell>
          <cell r="AH918">
            <v>-1405.7</v>
          </cell>
          <cell r="AI918">
            <v>17.8</v>
          </cell>
        </row>
        <row r="919">
          <cell r="D919" t="str">
            <v>JTRS HMS</v>
          </cell>
          <cell r="E919">
            <v>2004</v>
          </cell>
          <cell r="F919">
            <v>2529.3000000000002</v>
          </cell>
          <cell r="G919">
            <v>-1373.3</v>
          </cell>
          <cell r="H919">
            <v>219.5</v>
          </cell>
          <cell r="I919">
            <v>219.5</v>
          </cell>
          <cell r="J919" t="str">
            <v>-</v>
          </cell>
          <cell r="K919" t="str">
            <v>-</v>
          </cell>
          <cell r="L919">
            <v>-1850.8</v>
          </cell>
          <cell r="M919">
            <v>-3217.8</v>
          </cell>
          <cell r="N919" t="str">
            <v>-</v>
          </cell>
          <cell r="O919" t="str">
            <v>-</v>
          </cell>
          <cell r="P919">
            <v>577.4</v>
          </cell>
          <cell r="Q919">
            <v>-50.2</v>
          </cell>
          <cell r="R919">
            <v>1475.4</v>
          </cell>
          <cell r="S919">
            <v>-4421.8</v>
          </cell>
          <cell r="T919">
            <v>-91.6</v>
          </cell>
          <cell r="U919">
            <v>557.20000000000005</v>
          </cell>
          <cell r="V919">
            <v>3506.6</v>
          </cell>
          <cell r="W919">
            <v>-1937.8</v>
          </cell>
          <cell r="X919">
            <v>252.1</v>
          </cell>
          <cell r="Y919">
            <v>586.6</v>
          </cell>
          <cell r="Z919" t="str">
            <v>-</v>
          </cell>
          <cell r="AA919" t="str">
            <v>-</v>
          </cell>
          <cell r="AB919">
            <v>-2573.4</v>
          </cell>
          <cell r="AC919">
            <v>-4589.8999999999996</v>
          </cell>
          <cell r="AD919" t="str">
            <v>-</v>
          </cell>
          <cell r="AE919" t="str">
            <v>-</v>
          </cell>
          <cell r="AF919">
            <v>779.8</v>
          </cell>
          <cell r="AG919">
            <v>-92.7</v>
          </cell>
          <cell r="AH919">
            <v>1873.5</v>
          </cell>
          <cell r="AI919">
            <v>-5476.6</v>
          </cell>
        </row>
        <row r="920">
          <cell r="D920" t="str">
            <v>JTRS NED</v>
          </cell>
          <cell r="E920">
            <v>2002</v>
          </cell>
          <cell r="F920" t="str">
            <v>-</v>
          </cell>
          <cell r="G920" t="str">
            <v>-</v>
          </cell>
          <cell r="H920" t="str">
            <v>-</v>
          </cell>
          <cell r="I920" t="str">
            <v>-</v>
          </cell>
          <cell r="J920" t="str">
            <v>-</v>
          </cell>
          <cell r="K920">
            <v>648.1</v>
          </cell>
          <cell r="L920">
            <v>-65.400000000000006</v>
          </cell>
          <cell r="M920">
            <v>216.8</v>
          </cell>
          <cell r="N920" t="str">
            <v>-</v>
          </cell>
          <cell r="O920" t="str">
            <v>-</v>
          </cell>
          <cell r="P920" t="str">
            <v>-</v>
          </cell>
          <cell r="Q920" t="str">
            <v>-</v>
          </cell>
          <cell r="R920">
            <v>-65.400000000000006</v>
          </cell>
          <cell r="S920">
            <v>864.9</v>
          </cell>
          <cell r="T920">
            <v>58.6</v>
          </cell>
          <cell r="U920">
            <v>16.5</v>
          </cell>
          <cell r="V920" t="str">
            <v>-</v>
          </cell>
          <cell r="W920" t="str">
            <v>-</v>
          </cell>
          <cell r="X920" t="str">
            <v>-</v>
          </cell>
          <cell r="Y920" t="str">
            <v>-</v>
          </cell>
          <cell r="Z920" t="str">
            <v>-</v>
          </cell>
          <cell r="AA920">
            <v>725.3</v>
          </cell>
          <cell r="AB920">
            <v>-81.400000000000006</v>
          </cell>
          <cell r="AC920">
            <v>282.8</v>
          </cell>
          <cell r="AD920" t="str">
            <v>-</v>
          </cell>
          <cell r="AE920" t="str">
            <v>-</v>
          </cell>
          <cell r="AF920" t="str">
            <v>-</v>
          </cell>
          <cell r="AG920" t="str">
            <v>-</v>
          </cell>
          <cell r="AH920">
            <v>-22.8</v>
          </cell>
          <cell r="AI920">
            <v>1024.5999999999999</v>
          </cell>
        </row>
        <row r="921">
          <cell r="D921" t="str">
            <v>MIDS JTRS</v>
          </cell>
          <cell r="E921">
            <v>2003</v>
          </cell>
          <cell r="F921">
            <v>221.6</v>
          </cell>
          <cell r="G921">
            <v>445.7</v>
          </cell>
          <cell r="H921" t="str">
            <v>-</v>
          </cell>
          <cell r="I921">
            <v>-0.2</v>
          </cell>
          <cell r="J921">
            <v>42.9</v>
          </cell>
          <cell r="K921">
            <v>309.89999999999998</v>
          </cell>
          <cell r="L921">
            <v>-124.6</v>
          </cell>
          <cell r="M921">
            <v>-129.9</v>
          </cell>
          <cell r="N921" t="str">
            <v>-</v>
          </cell>
          <cell r="O921" t="str">
            <v>-</v>
          </cell>
          <cell r="P921">
            <v>68</v>
          </cell>
          <cell r="Q921">
            <v>46.7</v>
          </cell>
          <cell r="R921">
            <v>207.9</v>
          </cell>
          <cell r="S921">
            <v>672.2</v>
          </cell>
          <cell r="T921">
            <v>-2.2000000000000002</v>
          </cell>
          <cell r="U921">
            <v>25.2</v>
          </cell>
          <cell r="V921">
            <v>268.39999999999998</v>
          </cell>
          <cell r="W921">
            <v>530.20000000000005</v>
          </cell>
          <cell r="X921">
            <v>-6.1</v>
          </cell>
          <cell r="Y921">
            <v>-12.1</v>
          </cell>
          <cell r="Z921">
            <v>50.6</v>
          </cell>
          <cell r="AA921">
            <v>347.3</v>
          </cell>
          <cell r="AB921">
            <v>-143.69999999999999</v>
          </cell>
          <cell r="AC921">
            <v>-146.69999999999999</v>
          </cell>
          <cell r="AD921" t="str">
            <v>-</v>
          </cell>
          <cell r="AE921" t="str">
            <v>-</v>
          </cell>
          <cell r="AF921">
            <v>79.599999999999994</v>
          </cell>
          <cell r="AG921">
            <v>56.5</v>
          </cell>
          <cell r="AH921">
            <v>246.6</v>
          </cell>
          <cell r="AI921">
            <v>800.4</v>
          </cell>
        </row>
        <row r="922">
          <cell r="D922" t="str">
            <v>DoD Subtotal</v>
          </cell>
          <cell r="F922">
            <v>1684.7</v>
          </cell>
          <cell r="G922">
            <v>-20108.599999999999</v>
          </cell>
          <cell r="H922">
            <v>225.2</v>
          </cell>
          <cell r="I922">
            <v>15805.9</v>
          </cell>
          <cell r="J922">
            <v>-5852.5</v>
          </cell>
          <cell r="K922">
            <v>52230.1</v>
          </cell>
          <cell r="L922">
            <v>16650.2</v>
          </cell>
          <cell r="M922">
            <v>52768.3</v>
          </cell>
          <cell r="N922" t="str">
            <v>-</v>
          </cell>
          <cell r="O922">
            <v>7.6</v>
          </cell>
          <cell r="P922">
            <v>6920.7</v>
          </cell>
          <cell r="Q922">
            <v>6288</v>
          </cell>
          <cell r="R922">
            <v>19628.3</v>
          </cell>
          <cell r="S922">
            <v>106991.3</v>
          </cell>
          <cell r="T922">
            <v>-14369.6</v>
          </cell>
          <cell r="U922">
            <v>-4944</v>
          </cell>
          <cell r="V922">
            <v>2636.1</v>
          </cell>
          <cell r="W922">
            <v>-31001.4</v>
          </cell>
          <cell r="X922">
            <v>3260.1</v>
          </cell>
          <cell r="Y922">
            <v>43561.599999999999</v>
          </cell>
          <cell r="Z922">
            <v>-7115.2</v>
          </cell>
          <cell r="AA922">
            <v>63163.5</v>
          </cell>
          <cell r="AB922">
            <v>22990.1</v>
          </cell>
          <cell r="AC922">
            <v>72544</v>
          </cell>
          <cell r="AD922">
            <v>0</v>
          </cell>
          <cell r="AE922">
            <v>8.6999999999999993</v>
          </cell>
          <cell r="AF922">
            <v>9246.2000000000007</v>
          </cell>
          <cell r="AG922">
            <v>10632.2</v>
          </cell>
          <cell r="AH922">
            <v>16647.7</v>
          </cell>
          <cell r="AI922">
            <v>153964.6</v>
          </cell>
        </row>
        <row r="923">
          <cell r="D923" t="str">
            <v>Grand Total</v>
          </cell>
          <cell r="F923">
            <v>32470.400000000001</v>
          </cell>
          <cell r="G923">
            <v>13256</v>
          </cell>
          <cell r="H923">
            <v>2789</v>
          </cell>
          <cell r="I923">
            <v>26907.1</v>
          </cell>
          <cell r="J923">
            <v>-551.29999999999995</v>
          </cell>
          <cell r="K923">
            <v>73342.3</v>
          </cell>
          <cell r="L923">
            <v>35530.6</v>
          </cell>
          <cell r="M923">
            <v>138168.9</v>
          </cell>
          <cell r="N923">
            <v>412.2</v>
          </cell>
          <cell r="O923">
            <v>2612.5</v>
          </cell>
          <cell r="P923">
            <v>20163.3</v>
          </cell>
          <cell r="Q923">
            <v>36233</v>
          </cell>
          <cell r="R923">
            <v>90814.2</v>
          </cell>
          <cell r="S923">
            <v>302582.2</v>
          </cell>
          <cell r="T923">
            <v>-23980.3</v>
          </cell>
          <cell r="U923">
            <v>-16306.8</v>
          </cell>
          <cell r="V923">
            <v>44851.5</v>
          </cell>
          <cell r="W923">
            <v>33233.4</v>
          </cell>
          <cell r="X923">
            <v>8973.4</v>
          </cell>
          <cell r="Y923">
            <v>73448.3</v>
          </cell>
          <cell r="Z923">
            <v>43</v>
          </cell>
          <cell r="AA923">
            <v>89888.3</v>
          </cell>
          <cell r="AB923">
            <v>51338.8</v>
          </cell>
          <cell r="AC923">
            <v>182936.5</v>
          </cell>
          <cell r="AD923">
            <v>579.9</v>
          </cell>
          <cell r="AE923">
            <v>3266.1</v>
          </cell>
          <cell r="AF923">
            <v>25434.6</v>
          </cell>
          <cell r="AG923">
            <v>44103.8</v>
          </cell>
          <cell r="AH923">
            <v>107240.9</v>
          </cell>
          <cell r="AI923">
            <v>410569.6</v>
          </cell>
        </row>
      </sheetData>
      <sheetData sheetId="12">
        <row r="4">
          <cell r="E4" t="str">
            <v>(Table 4)</v>
          </cell>
        </row>
        <row r="5">
          <cell r="A5" t="str">
            <v>Date-Shorthand</v>
          </cell>
          <cell r="B5" t="str">
            <v>Source</v>
          </cell>
          <cell r="C5" t="str">
            <v>Weapon System</v>
          </cell>
          <cell r="D5" t="str">
            <v>Shorthand</v>
          </cell>
          <cell r="E5" t="str">
            <v>Prior Years 
(Then-Year $s)</v>
          </cell>
          <cell r="F5" t="str">
            <v>FY 2004 Budget 
(Then-Year $s)</v>
          </cell>
          <cell r="G5" t="str">
            <v>FY 2005 Budget 
(Then-Year $s)</v>
          </cell>
          <cell r="H5" t="str">
            <v>FY 2006 Budget 
(Then-Year $s)</v>
          </cell>
          <cell r="I5" t="str">
            <v>FY 2007 Budget 
(Then-Year $s)</v>
          </cell>
          <cell r="J5" t="str">
            <v>FY 2008 Budget 
(Then-Year $s)</v>
          </cell>
          <cell r="K5" t="str">
            <v>FY 2009 Budget 
(Then-Year $s)</v>
          </cell>
          <cell r="L5" t="str">
            <v>FY 2010 Budget 
(Then-Year $s)</v>
          </cell>
          <cell r="M5" t="str">
            <v>FY 2011 Budget 
(Then-Year $s)</v>
          </cell>
          <cell r="N5" t="str">
            <v>FY 2012 Budget 
(Then-Year $s)</v>
          </cell>
          <cell r="O5" t="str">
            <v>FY 2013 Budget 
(Then-Year $s)</v>
          </cell>
          <cell r="P5" t="str">
            <v>Balance of Program 
(Then-Year $s)</v>
          </cell>
          <cell r="Q5" t="str">
            <v>Total 
(Then-Year $s)</v>
          </cell>
          <cell r="R5" t="str">
            <v>Notes</v>
          </cell>
        </row>
        <row r="6"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</row>
        <row r="12">
          <cell r="C12" t="str">
            <v>ARMY</v>
          </cell>
        </row>
        <row r="13">
          <cell r="A13" t="str">
            <v>37226-M1A2 ABRAMS UPGRADE</v>
          </cell>
          <cell r="B13">
            <v>37226</v>
          </cell>
          <cell r="C13" t="str">
            <v>ABRAMS UPGRADE</v>
          </cell>
          <cell r="D13" t="str">
            <v>M1A2 ABRAMS UPGRADE</v>
          </cell>
        </row>
        <row r="14">
          <cell r="A14" t="str">
            <v>37226-ATACMS-BAT</v>
          </cell>
          <cell r="B14">
            <v>37226</v>
          </cell>
          <cell r="C14" t="str">
            <v>ATACMS-BAT</v>
          </cell>
          <cell r="D14" t="str">
            <v>ATACMS-BAT</v>
          </cell>
        </row>
        <row r="15">
          <cell r="A15" t="str">
            <v>37226-ATIRCM/CMWS</v>
          </cell>
          <cell r="B15">
            <v>37226</v>
          </cell>
          <cell r="C15" t="str">
            <v>ATIRCM/CMWS</v>
          </cell>
          <cell r="D15" t="str">
            <v>ATIRCM/CMWS</v>
          </cell>
        </row>
        <row r="16">
          <cell r="A16" t="str">
            <v>37226-BRADLEY UPGRADE</v>
          </cell>
          <cell r="B16">
            <v>37226</v>
          </cell>
          <cell r="C16" t="str">
            <v>BRADLEY UPGRADE</v>
          </cell>
          <cell r="D16" t="str">
            <v>BRADLEY UPGRADE</v>
          </cell>
        </row>
        <row r="17">
          <cell r="A17" t="e">
            <v>#N/A</v>
          </cell>
          <cell r="B17">
            <v>37226</v>
          </cell>
          <cell r="C17" t="str">
            <v>CGS</v>
          </cell>
          <cell r="D17" t="e">
            <v>#N/A</v>
          </cell>
        </row>
        <row r="18">
          <cell r="A18" t="str">
            <v>37226-CH-47F</v>
          </cell>
          <cell r="B18">
            <v>37226</v>
          </cell>
          <cell r="C18" t="str">
            <v>CH-47F</v>
          </cell>
          <cell r="D18" t="str">
            <v>CH-47F</v>
          </cell>
        </row>
        <row r="19">
          <cell r="A19" t="str">
            <v>37226-COMANCHE</v>
          </cell>
          <cell r="B19">
            <v>37226</v>
          </cell>
          <cell r="C19" t="str">
            <v>COMANCHE</v>
          </cell>
          <cell r="D19" t="str">
            <v>COMANCHE</v>
          </cell>
        </row>
        <row r="20">
          <cell r="A20" t="str">
            <v>37226-CRUSADER</v>
          </cell>
          <cell r="B20">
            <v>37226</v>
          </cell>
          <cell r="C20" t="str">
            <v>CRUSADER (RDT&amp;E)</v>
          </cell>
          <cell r="D20" t="str">
            <v>CRUSADER</v>
          </cell>
        </row>
        <row r="21">
          <cell r="A21" t="str">
            <v>37226-FBCB2</v>
          </cell>
          <cell r="B21">
            <v>37226</v>
          </cell>
          <cell r="C21" t="str">
            <v>FBCB2</v>
          </cell>
          <cell r="D21" t="str">
            <v>FBCB2</v>
          </cell>
        </row>
        <row r="22">
          <cell r="A22" t="str">
            <v>37226-FMTV</v>
          </cell>
          <cell r="B22">
            <v>37226</v>
          </cell>
          <cell r="C22" t="str">
            <v>FMTV</v>
          </cell>
          <cell r="D22" t="str">
            <v>FMTV</v>
          </cell>
        </row>
        <row r="23">
          <cell r="A23" t="e">
            <v>#N/A</v>
          </cell>
          <cell r="B23">
            <v>37226</v>
          </cell>
          <cell r="C23" t="str">
            <v>IAV</v>
          </cell>
          <cell r="D23" t="e">
            <v>#N/A</v>
          </cell>
        </row>
        <row r="24">
          <cell r="A24" t="str">
            <v>37226-JAVELIN</v>
          </cell>
          <cell r="B24">
            <v>37226</v>
          </cell>
          <cell r="C24" t="str">
            <v>JAVELIN</v>
          </cell>
          <cell r="D24" t="str">
            <v>JAVELIN</v>
          </cell>
        </row>
        <row r="25">
          <cell r="A25" t="str">
            <v>37226-LONGBOW APACHE</v>
          </cell>
          <cell r="B25">
            <v>37226</v>
          </cell>
          <cell r="C25" t="str">
            <v>LONGBOW APACHE</v>
          </cell>
          <cell r="D25" t="str">
            <v>LONGBOW APACHE</v>
          </cell>
        </row>
        <row r="26">
          <cell r="A26" t="str">
            <v>37226-LONGBOW HELLFIRE</v>
          </cell>
          <cell r="B26">
            <v>37226</v>
          </cell>
          <cell r="C26" t="str">
            <v>LONGBOW HELLFIRE</v>
          </cell>
          <cell r="D26" t="str">
            <v>LONGBOW HELLFIRE</v>
          </cell>
        </row>
        <row r="27">
          <cell r="A27" t="str">
            <v>37226-MCS</v>
          </cell>
          <cell r="B27">
            <v>37226</v>
          </cell>
          <cell r="C27" t="str">
            <v>MCS</v>
          </cell>
          <cell r="D27" t="str">
            <v>MCS</v>
          </cell>
        </row>
        <row r="28">
          <cell r="A28" t="e">
            <v>#N/A</v>
          </cell>
          <cell r="B28">
            <v>37226</v>
          </cell>
          <cell r="C28" t="str">
            <v>MLRS UPGRADE</v>
          </cell>
          <cell r="D28" t="e">
            <v>#N/A</v>
          </cell>
        </row>
        <row r="29">
          <cell r="A29" t="str">
            <v>37226-PATRIOT PAC-3</v>
          </cell>
          <cell r="B29">
            <v>37226</v>
          </cell>
          <cell r="C29" t="str">
            <v>PATRIOT PAC-3</v>
          </cell>
          <cell r="D29" t="str">
            <v>PATRIOT PAC-3</v>
          </cell>
        </row>
        <row r="30">
          <cell r="A30" t="e">
            <v>#N/A</v>
          </cell>
          <cell r="B30">
            <v>37226</v>
          </cell>
          <cell r="C30" t="str">
            <v>SADARM</v>
          </cell>
          <cell r="D30" t="e">
            <v>#N/A</v>
          </cell>
        </row>
        <row r="31">
          <cell r="A31" t="str">
            <v>37226-SMART-T</v>
          </cell>
          <cell r="B31">
            <v>37226</v>
          </cell>
          <cell r="C31" t="str">
            <v>SMART-T</v>
          </cell>
          <cell r="D31" t="str">
            <v>SMART-T</v>
          </cell>
        </row>
        <row r="32">
          <cell r="A32" t="str">
            <v>37226-Army Subtotal</v>
          </cell>
          <cell r="B32">
            <v>37226</v>
          </cell>
          <cell r="C32" t="str">
            <v>Army Subtotal</v>
          </cell>
          <cell r="D32" t="str">
            <v>Army Subtotal</v>
          </cell>
        </row>
        <row r="34">
          <cell r="C34" t="str">
            <v>NAVY</v>
          </cell>
        </row>
        <row r="35">
          <cell r="A35" t="str">
            <v>37226-EFV</v>
          </cell>
          <cell r="B35">
            <v>37226</v>
          </cell>
          <cell r="C35" t="str">
            <v>AAAV</v>
          </cell>
          <cell r="D35" t="str">
            <v>EFV</v>
          </cell>
        </row>
        <row r="36">
          <cell r="A36" t="str">
            <v>37226-AESA</v>
          </cell>
          <cell r="B36">
            <v>37226</v>
          </cell>
          <cell r="C36" t="str">
            <v>AESA</v>
          </cell>
          <cell r="D36" t="str">
            <v>AESA</v>
          </cell>
        </row>
        <row r="37">
          <cell r="A37" t="str">
            <v>37226-AIM-9X</v>
          </cell>
          <cell r="B37">
            <v>37226</v>
          </cell>
          <cell r="C37" t="str">
            <v>AIM-9X</v>
          </cell>
          <cell r="D37" t="str">
            <v>AIM-9X</v>
          </cell>
        </row>
        <row r="38">
          <cell r="A38" t="str">
            <v>37226-AV-8B REMANUFACTURE</v>
          </cell>
          <cell r="B38">
            <v>37226</v>
          </cell>
          <cell r="C38" t="str">
            <v>AV-8B REMAN</v>
          </cell>
          <cell r="D38" t="str">
            <v>AV-8B REMANUFACTURE</v>
          </cell>
        </row>
        <row r="39">
          <cell r="A39" t="str">
            <v>37226-CEC</v>
          </cell>
          <cell r="B39">
            <v>37226</v>
          </cell>
          <cell r="C39" t="str">
            <v>CEC</v>
          </cell>
          <cell r="D39" t="str">
            <v>CEC</v>
          </cell>
        </row>
        <row r="40">
          <cell r="A40" t="str">
            <v>37226-CVN 68</v>
          </cell>
          <cell r="B40">
            <v>37226</v>
          </cell>
          <cell r="C40" t="str">
            <v>CVN-68 Class</v>
          </cell>
          <cell r="D40" t="str">
            <v>CVN 68</v>
          </cell>
        </row>
        <row r="41">
          <cell r="A41" t="e">
            <v>#N/A</v>
          </cell>
          <cell r="B41">
            <v>37226</v>
          </cell>
          <cell r="C41" t="str">
            <v>CVNX (RDT&amp;E)</v>
          </cell>
          <cell r="D41" t="e">
            <v>#N/A</v>
          </cell>
        </row>
        <row r="42">
          <cell r="A42" t="str">
            <v>37226-CVN 78</v>
          </cell>
          <cell r="B42">
            <v>37226</v>
          </cell>
          <cell r="C42" t="str">
            <v>DD(X) (RDT&amp;E)</v>
          </cell>
          <cell r="D42" t="str">
            <v>CVN 78</v>
          </cell>
        </row>
        <row r="43">
          <cell r="A43" t="str">
            <v>37226-DDG 51</v>
          </cell>
          <cell r="B43">
            <v>37226</v>
          </cell>
          <cell r="C43" t="str">
            <v>DDG 51</v>
          </cell>
          <cell r="D43" t="str">
            <v>DDG 51</v>
          </cell>
        </row>
        <row r="44">
          <cell r="A44" t="str">
            <v>37226-E-2C REPRODUCTION</v>
          </cell>
          <cell r="B44">
            <v>37226</v>
          </cell>
          <cell r="C44" t="str">
            <v>E-2C REPRO</v>
          </cell>
          <cell r="D44" t="str">
            <v>E-2C REPRODUCTION</v>
          </cell>
        </row>
        <row r="45">
          <cell r="A45" t="str">
            <v>37226-F/A-18E/F</v>
          </cell>
          <cell r="B45">
            <v>37226</v>
          </cell>
          <cell r="C45" t="str">
            <v>F/A-18 E/F</v>
          </cell>
          <cell r="D45" t="str">
            <v>F/A-18E/F</v>
          </cell>
        </row>
        <row r="46">
          <cell r="A46" t="str">
            <v>37226-JSOW</v>
          </cell>
          <cell r="B46">
            <v>37226</v>
          </cell>
          <cell r="C46" t="str">
            <v>JSOW</v>
          </cell>
          <cell r="D46" t="str">
            <v>JSOW</v>
          </cell>
        </row>
        <row r="47">
          <cell r="A47" t="str">
            <v>37226-LHD 1</v>
          </cell>
          <cell r="B47">
            <v>37226</v>
          </cell>
          <cell r="C47" t="str">
            <v>LHD 1</v>
          </cell>
          <cell r="D47" t="str">
            <v>LHD 1</v>
          </cell>
        </row>
        <row r="48">
          <cell r="A48" t="str">
            <v>37226-LPD 17</v>
          </cell>
          <cell r="B48">
            <v>37226</v>
          </cell>
          <cell r="C48" t="str">
            <v>LPD 17</v>
          </cell>
          <cell r="D48" t="str">
            <v>LPD 17</v>
          </cell>
        </row>
        <row r="49">
          <cell r="A49" t="str">
            <v>37226-MH-60R</v>
          </cell>
          <cell r="B49">
            <v>37226</v>
          </cell>
          <cell r="C49" t="str">
            <v>MH-60R</v>
          </cell>
          <cell r="D49" t="str">
            <v>MH-60R</v>
          </cell>
        </row>
        <row r="50">
          <cell r="A50" t="str">
            <v>37226-MH-60S</v>
          </cell>
          <cell r="B50">
            <v>37226</v>
          </cell>
          <cell r="C50" t="str">
            <v>MH-60S</v>
          </cell>
          <cell r="D50" t="str">
            <v>MH-60S</v>
          </cell>
        </row>
        <row r="51">
          <cell r="A51" t="str">
            <v>37226-MIDS-LVT</v>
          </cell>
          <cell r="B51">
            <v>37226</v>
          </cell>
          <cell r="C51" t="str">
            <v>MIDS-LVT</v>
          </cell>
          <cell r="D51" t="str">
            <v>MIDS-LVT</v>
          </cell>
        </row>
        <row r="52">
          <cell r="A52" t="str">
            <v>37226-NESP</v>
          </cell>
          <cell r="B52">
            <v>37226</v>
          </cell>
          <cell r="C52" t="str">
            <v>NESP</v>
          </cell>
          <cell r="D52" t="str">
            <v>NESP</v>
          </cell>
        </row>
        <row r="53">
          <cell r="A53" t="str">
            <v>37226-SSN 774</v>
          </cell>
          <cell r="B53">
            <v>37226</v>
          </cell>
          <cell r="C53" t="str">
            <v>SSN 774 (VA CLASS)</v>
          </cell>
          <cell r="D53" t="str">
            <v>SSN 774</v>
          </cell>
        </row>
        <row r="54">
          <cell r="A54" t="str">
            <v>37226-SM-2</v>
          </cell>
          <cell r="B54">
            <v>37226</v>
          </cell>
          <cell r="C54" t="str">
            <v>STD MSL 2</v>
          </cell>
          <cell r="D54" t="str">
            <v>SM-2</v>
          </cell>
        </row>
        <row r="55">
          <cell r="A55" t="str">
            <v>37226-T-45TS</v>
          </cell>
          <cell r="B55">
            <v>37226</v>
          </cell>
          <cell r="C55" t="str">
            <v>T-45TS</v>
          </cell>
          <cell r="D55" t="str">
            <v>T-45TS</v>
          </cell>
        </row>
        <row r="56">
          <cell r="A56" t="str">
            <v>37226-T-AKE</v>
          </cell>
          <cell r="B56">
            <v>37226</v>
          </cell>
          <cell r="C56" t="str">
            <v>T-AKE</v>
          </cell>
          <cell r="D56" t="str">
            <v>T-AKE</v>
          </cell>
        </row>
        <row r="57">
          <cell r="A57" t="str">
            <v>37226-TACTICAL TOMAHAWK</v>
          </cell>
          <cell r="B57">
            <v>37226</v>
          </cell>
          <cell r="C57" t="str">
            <v>TACTICAL TOMAHAWK</v>
          </cell>
          <cell r="D57" t="str">
            <v>TACTICAL TOMAHAWK</v>
          </cell>
        </row>
        <row r="58">
          <cell r="A58" t="str">
            <v>37226-TRIDENT II</v>
          </cell>
          <cell r="B58">
            <v>37226</v>
          </cell>
          <cell r="C58" t="str">
            <v>TRIDENT II MSL</v>
          </cell>
          <cell r="D58" t="str">
            <v>TRIDENT II</v>
          </cell>
        </row>
        <row r="59">
          <cell r="A59" t="str">
            <v>37226-H-1 Upgrades</v>
          </cell>
          <cell r="B59">
            <v>37226</v>
          </cell>
          <cell r="C59" t="str">
            <v>USMC H-1 UPGRADES</v>
          </cell>
          <cell r="D59" t="str">
            <v>H-1 Upgrades</v>
          </cell>
        </row>
        <row r="60">
          <cell r="A60" t="str">
            <v>37226-V-22</v>
          </cell>
          <cell r="B60">
            <v>37226</v>
          </cell>
          <cell r="C60" t="str">
            <v>V-22</v>
          </cell>
          <cell r="D60" t="str">
            <v>V-22</v>
          </cell>
        </row>
        <row r="61">
          <cell r="A61" t="str">
            <v>37226-Navy Subtotal</v>
          </cell>
          <cell r="B61">
            <v>37226</v>
          </cell>
          <cell r="C61" t="str">
            <v>Navy Subtotal</v>
          </cell>
          <cell r="D61" t="str">
            <v>Navy Subtotal</v>
          </cell>
        </row>
        <row r="63">
          <cell r="C63" t="str">
            <v>AIR FORCE</v>
          </cell>
        </row>
        <row r="64">
          <cell r="A64" t="str">
            <v>37226-AEHF</v>
          </cell>
          <cell r="B64">
            <v>37226</v>
          </cell>
          <cell r="C64" t="str">
            <v>AEHF</v>
          </cell>
          <cell r="D64" t="str">
            <v>AEHF</v>
          </cell>
        </row>
        <row r="65">
          <cell r="A65" t="str">
            <v>37226-AMRAAM</v>
          </cell>
          <cell r="B65">
            <v>37226</v>
          </cell>
          <cell r="C65" t="str">
            <v>AMRAAM</v>
          </cell>
          <cell r="D65" t="str">
            <v>AMRAAM</v>
          </cell>
        </row>
        <row r="66">
          <cell r="A66" t="str">
            <v>37226-AWACS Upgrade</v>
          </cell>
          <cell r="B66">
            <v>37226</v>
          </cell>
          <cell r="C66" t="str">
            <v>AWACS RSIP (E-3)</v>
          </cell>
          <cell r="D66" t="str">
            <v>AWACS Upgrade</v>
          </cell>
        </row>
        <row r="67">
          <cell r="A67" t="e">
            <v>#N/A</v>
          </cell>
          <cell r="B67">
            <v>37226</v>
          </cell>
          <cell r="C67" t="str">
            <v>B-1 CMUP</v>
          </cell>
          <cell r="D67" t="e">
            <v>#N/A</v>
          </cell>
        </row>
        <row r="68">
          <cell r="A68" t="str">
            <v>37226-C-130J</v>
          </cell>
          <cell r="B68">
            <v>37226</v>
          </cell>
          <cell r="C68" t="str">
            <v>C-130J</v>
          </cell>
          <cell r="D68" t="str">
            <v>C-130J</v>
          </cell>
        </row>
        <row r="69">
          <cell r="A69" t="str">
            <v>37226-C-17A</v>
          </cell>
          <cell r="B69">
            <v>37226</v>
          </cell>
          <cell r="C69" t="str">
            <v>C-17A</v>
          </cell>
          <cell r="D69" t="str">
            <v>C-17A</v>
          </cell>
        </row>
        <row r="70">
          <cell r="A70" t="str">
            <v>37226-EELV</v>
          </cell>
          <cell r="B70">
            <v>37226</v>
          </cell>
          <cell r="C70" t="str">
            <v>EELV</v>
          </cell>
          <cell r="D70" t="str">
            <v>EELV</v>
          </cell>
        </row>
        <row r="71">
          <cell r="A71" t="str">
            <v>37226-F-22</v>
          </cell>
          <cell r="B71">
            <v>37226</v>
          </cell>
          <cell r="C71" t="str">
            <v>F-22</v>
          </cell>
          <cell r="D71" t="str">
            <v>F-22</v>
          </cell>
        </row>
        <row r="72">
          <cell r="A72" t="str">
            <v>37226-GBS</v>
          </cell>
          <cell r="B72">
            <v>37226</v>
          </cell>
          <cell r="C72" t="str">
            <v>GBS</v>
          </cell>
          <cell r="D72" t="str">
            <v>GBS</v>
          </cell>
        </row>
        <row r="73">
          <cell r="A73" t="str">
            <v>37226-RQ-4 GLOBAL HAWK</v>
          </cell>
          <cell r="B73">
            <v>37226</v>
          </cell>
          <cell r="C73" t="str">
            <v>GLOBAL HAWK</v>
          </cell>
          <cell r="D73" t="str">
            <v>RQ-4 GLOBAL HAWK</v>
          </cell>
        </row>
        <row r="74">
          <cell r="A74" t="str">
            <v>37226-JASSM</v>
          </cell>
          <cell r="B74">
            <v>37226</v>
          </cell>
          <cell r="C74" t="str">
            <v>JASSM</v>
          </cell>
          <cell r="D74" t="str">
            <v>JASSM</v>
          </cell>
        </row>
        <row r="75">
          <cell r="A75" t="str">
            <v>37226-JDAM</v>
          </cell>
          <cell r="B75">
            <v>37226</v>
          </cell>
          <cell r="C75" t="str">
            <v>JDAM</v>
          </cell>
          <cell r="D75" t="str">
            <v>JDAM</v>
          </cell>
        </row>
        <row r="76">
          <cell r="A76" t="str">
            <v>37226-JPATS</v>
          </cell>
          <cell r="B76">
            <v>37226</v>
          </cell>
          <cell r="C76" t="str">
            <v>JPATS</v>
          </cell>
          <cell r="D76" t="str">
            <v>JPATS</v>
          </cell>
        </row>
        <row r="77">
          <cell r="A77" t="str">
            <v>37226-E-8 JSTARS</v>
          </cell>
          <cell r="B77">
            <v>37226</v>
          </cell>
          <cell r="C77" t="str">
            <v>JSTARS</v>
          </cell>
          <cell r="D77" t="str">
            <v>E-8 JSTARS</v>
          </cell>
        </row>
        <row r="78">
          <cell r="A78" t="str">
            <v>37226-MINUTEMAN III GRP</v>
          </cell>
          <cell r="B78">
            <v>37226</v>
          </cell>
          <cell r="C78" t="str">
            <v>MINUTEMAN III GRP</v>
          </cell>
          <cell r="D78" t="str">
            <v>MINUTEMAN III GRP</v>
          </cell>
        </row>
        <row r="79">
          <cell r="A79" t="str">
            <v>37226-MINUTEMAN III PRP</v>
          </cell>
          <cell r="B79">
            <v>37226</v>
          </cell>
          <cell r="C79" t="str">
            <v>MINUTEMAN III PRP</v>
          </cell>
          <cell r="D79" t="str">
            <v>MINUTEMAN III PRP</v>
          </cell>
        </row>
        <row r="80">
          <cell r="A80" t="str">
            <v>37226-NAS</v>
          </cell>
          <cell r="B80">
            <v>37226</v>
          </cell>
          <cell r="C80" t="str">
            <v>NAS</v>
          </cell>
          <cell r="D80" t="str">
            <v>NAS</v>
          </cell>
        </row>
        <row r="81">
          <cell r="A81" t="str">
            <v>37226-NAVSTAR GPS</v>
          </cell>
          <cell r="B81">
            <v>37226</v>
          </cell>
          <cell r="C81" t="str">
            <v>NAVSTAR GPS</v>
          </cell>
          <cell r="D81" t="str">
            <v>NAVSTAR GPS</v>
          </cell>
        </row>
        <row r="82">
          <cell r="A82" t="str">
            <v>37226-NPOESS</v>
          </cell>
          <cell r="B82">
            <v>37226</v>
          </cell>
          <cell r="C82" t="str">
            <v>NPOESS (RDT&amp;E)</v>
          </cell>
          <cell r="D82" t="str">
            <v>NPOESS</v>
          </cell>
        </row>
        <row r="83">
          <cell r="A83" t="str">
            <v>37226-SBIRS</v>
          </cell>
          <cell r="B83">
            <v>37226</v>
          </cell>
          <cell r="C83" t="str">
            <v>SBIRS (High)</v>
          </cell>
          <cell r="D83" t="str">
            <v>SBIRS</v>
          </cell>
        </row>
        <row r="84">
          <cell r="A84" t="e">
            <v>#N/A</v>
          </cell>
          <cell r="B84">
            <v>37226</v>
          </cell>
          <cell r="C84" t="str">
            <v>TITAN IV</v>
          </cell>
          <cell r="D84" t="e">
            <v>#N/A</v>
          </cell>
        </row>
        <row r="85">
          <cell r="A85" t="str">
            <v>37226-WGS</v>
          </cell>
          <cell r="B85">
            <v>37226</v>
          </cell>
          <cell r="C85" t="str">
            <v>WIDEBAND GAP FILLER</v>
          </cell>
          <cell r="D85" t="str">
            <v>WGS</v>
          </cell>
        </row>
        <row r="86">
          <cell r="A86" t="str">
            <v>37226-Air Force Subtotal</v>
          </cell>
          <cell r="B86">
            <v>37226</v>
          </cell>
          <cell r="C86" t="str">
            <v>Air Force Subtotal</v>
          </cell>
          <cell r="D86" t="str">
            <v>Air Force Subtotal</v>
          </cell>
        </row>
        <row r="88">
          <cell r="C88" t="str">
            <v>DoD</v>
          </cell>
        </row>
        <row r="89">
          <cell r="A89" t="e">
            <v>#N/A</v>
          </cell>
          <cell r="B89">
            <v>37226</v>
          </cell>
          <cell r="C89" t="str">
            <v>CHEM DEMIL</v>
          </cell>
          <cell r="D89" t="e">
            <v>#N/A</v>
          </cell>
        </row>
        <row r="90">
          <cell r="A90" t="str">
            <v>37226-F-35</v>
          </cell>
          <cell r="B90">
            <v>37226</v>
          </cell>
          <cell r="C90" t="str">
            <v>JSF</v>
          </cell>
          <cell r="D90" t="str">
            <v>F-35</v>
          </cell>
        </row>
        <row r="91">
          <cell r="A91" t="str">
            <v>37226-JSIMS</v>
          </cell>
          <cell r="B91">
            <v>37226</v>
          </cell>
          <cell r="C91" t="str">
            <v>JSIMS</v>
          </cell>
          <cell r="D91" t="str">
            <v>JSIMS</v>
          </cell>
        </row>
        <row r="92">
          <cell r="A92" t="str">
            <v>37226-DoD Subtotal</v>
          </cell>
          <cell r="B92">
            <v>37226</v>
          </cell>
          <cell r="C92" t="str">
            <v>DoD Subtotal</v>
          </cell>
          <cell r="D92" t="str">
            <v>DoD Subtotal</v>
          </cell>
        </row>
        <row r="93">
          <cell r="A93" t="str">
            <v>37226-Grand Total</v>
          </cell>
          <cell r="B93">
            <v>37226</v>
          </cell>
          <cell r="C93" t="str">
            <v>Grand Total</v>
          </cell>
          <cell r="D93" t="str">
            <v>Grand Total</v>
          </cell>
        </row>
        <row r="99">
          <cell r="C99" t="str">
            <v>ARMY</v>
          </cell>
        </row>
        <row r="100">
          <cell r="A100" t="str">
            <v>37591-M1A2 ABRAMS UPGRADE</v>
          </cell>
          <cell r="B100">
            <v>37591</v>
          </cell>
          <cell r="C100" t="str">
            <v>ABRAMS UPGRADE</v>
          </cell>
          <cell r="D100" t="str">
            <v>M1A2 ABRAMS UPGRADE</v>
          </cell>
        </row>
        <row r="101">
          <cell r="A101" t="str">
            <v>37591-ATACMS-BAT</v>
          </cell>
          <cell r="B101">
            <v>37591</v>
          </cell>
          <cell r="C101" t="str">
            <v>ATACMS-BAT</v>
          </cell>
          <cell r="D101" t="str">
            <v>ATACMS-BAT</v>
          </cell>
        </row>
        <row r="102">
          <cell r="A102" t="str">
            <v>37591-ATIRCM/CMWS</v>
          </cell>
          <cell r="B102">
            <v>37591</v>
          </cell>
          <cell r="C102" t="str">
            <v>ATIRCM/CMWS</v>
          </cell>
          <cell r="D102" t="str">
            <v>ATIRCM/CMWS</v>
          </cell>
        </row>
        <row r="103">
          <cell r="A103" t="str">
            <v>37591-UH-60M Black Hawk Upgrade</v>
          </cell>
          <cell r="B103">
            <v>37591</v>
          </cell>
          <cell r="C103" t="str">
            <v>BLACK HAWK UPGRADE</v>
          </cell>
          <cell r="D103" t="str">
            <v>UH-60M Black Hawk Upgrade</v>
          </cell>
        </row>
        <row r="104">
          <cell r="A104" t="str">
            <v>37591-BRADLEY UPGRADE</v>
          </cell>
          <cell r="B104">
            <v>37591</v>
          </cell>
          <cell r="C104" t="str">
            <v>BRADLEY UPGRADE</v>
          </cell>
          <cell r="D104" t="str">
            <v>BRADLEY UPGRADE</v>
          </cell>
        </row>
        <row r="105">
          <cell r="A105" t="str">
            <v>37591-CH-47F</v>
          </cell>
          <cell r="B105">
            <v>37591</v>
          </cell>
          <cell r="C105" t="str">
            <v>CH-47F</v>
          </cell>
          <cell r="D105" t="str">
            <v>CH-47F</v>
          </cell>
        </row>
        <row r="106">
          <cell r="A106" t="str">
            <v>37591-COMANCHE</v>
          </cell>
          <cell r="B106">
            <v>37591</v>
          </cell>
          <cell r="C106" t="str">
            <v>COMANCHE</v>
          </cell>
          <cell r="D106" t="str">
            <v>COMANCHE</v>
          </cell>
        </row>
        <row r="107">
          <cell r="A107" t="str">
            <v>37591-FBCB2</v>
          </cell>
          <cell r="B107">
            <v>37591</v>
          </cell>
          <cell r="C107" t="str">
            <v>FBCB2</v>
          </cell>
          <cell r="D107" t="str">
            <v>FBCB2</v>
          </cell>
        </row>
        <row r="108">
          <cell r="A108" t="str">
            <v>37591-FMTV</v>
          </cell>
          <cell r="B108">
            <v>37591</v>
          </cell>
          <cell r="C108" t="str">
            <v>FMTV</v>
          </cell>
          <cell r="D108" t="str">
            <v>FMTV</v>
          </cell>
        </row>
        <row r="109">
          <cell r="A109" t="str">
            <v>37591-GMLRS</v>
          </cell>
          <cell r="B109">
            <v>37591</v>
          </cell>
          <cell r="C109" t="str">
            <v>GMLRS</v>
          </cell>
          <cell r="D109" t="str">
            <v>GMLRS</v>
          </cell>
        </row>
        <row r="110">
          <cell r="A110" t="str">
            <v>37591-JAVELIN</v>
          </cell>
          <cell r="B110">
            <v>37591</v>
          </cell>
          <cell r="C110" t="str">
            <v>JAVELIN</v>
          </cell>
          <cell r="D110" t="str">
            <v>JAVELIN</v>
          </cell>
        </row>
        <row r="111">
          <cell r="A111" t="str">
            <v>37591-JTRS GMR</v>
          </cell>
          <cell r="B111">
            <v>37591</v>
          </cell>
          <cell r="C111" t="str">
            <v>JTRS CLUSTER 1</v>
          </cell>
          <cell r="D111" t="str">
            <v>JTRS GMR</v>
          </cell>
        </row>
        <row r="112">
          <cell r="A112" t="str">
            <v>37591-LONGBOW APACHE</v>
          </cell>
          <cell r="B112">
            <v>37591</v>
          </cell>
          <cell r="C112" t="str">
            <v>LONGBOW APACHE</v>
          </cell>
          <cell r="D112" t="str">
            <v>LONGBOW APACHE</v>
          </cell>
        </row>
        <row r="113">
          <cell r="A113" t="str">
            <v>37591-LONGBOW HELLFIRE</v>
          </cell>
          <cell r="B113">
            <v>37591</v>
          </cell>
          <cell r="C113" t="str">
            <v>LONGBOW HELLFIRE</v>
          </cell>
          <cell r="D113" t="str">
            <v>LONGBOW HELLFIRE</v>
          </cell>
        </row>
        <row r="114">
          <cell r="A114" t="str">
            <v>37591-MCS</v>
          </cell>
          <cell r="B114">
            <v>37591</v>
          </cell>
          <cell r="C114" t="str">
            <v>MCS</v>
          </cell>
          <cell r="D114" t="str">
            <v>MCS</v>
          </cell>
        </row>
        <row r="115">
          <cell r="A115" t="str">
            <v>37591-PATRIOT PAC-3</v>
          </cell>
          <cell r="B115">
            <v>37591</v>
          </cell>
          <cell r="C115" t="str">
            <v>PATRIOT PAC-3</v>
          </cell>
          <cell r="D115" t="str">
            <v>PATRIOT PAC-3</v>
          </cell>
        </row>
        <row r="116">
          <cell r="A116" t="str">
            <v>37591-SMART-T</v>
          </cell>
          <cell r="B116">
            <v>37591</v>
          </cell>
          <cell r="C116" t="str">
            <v>SMART-T</v>
          </cell>
          <cell r="D116" t="str">
            <v>SMART-T</v>
          </cell>
        </row>
        <row r="117">
          <cell r="A117" t="str">
            <v>37591-STRYKER</v>
          </cell>
          <cell r="B117">
            <v>37591</v>
          </cell>
          <cell r="C117" t="str">
            <v>STRYKER (IAV)</v>
          </cell>
          <cell r="D117" t="str">
            <v>STRYKER</v>
          </cell>
        </row>
        <row r="118">
          <cell r="A118" t="str">
            <v>37591-Army Subtotal</v>
          </cell>
          <cell r="B118">
            <v>37591</v>
          </cell>
          <cell r="C118" t="str">
            <v>Army Subtotal</v>
          </cell>
          <cell r="D118" t="str">
            <v>Army Subtotal</v>
          </cell>
        </row>
        <row r="120">
          <cell r="C120" t="str">
            <v>NAVY</v>
          </cell>
        </row>
        <row r="121">
          <cell r="A121" t="str">
            <v>37591-EFV</v>
          </cell>
          <cell r="B121">
            <v>37591</v>
          </cell>
          <cell r="C121" t="str">
            <v>AAAV</v>
          </cell>
          <cell r="D121" t="str">
            <v>EFV</v>
          </cell>
        </row>
        <row r="122">
          <cell r="A122" t="str">
            <v>37591-AESA</v>
          </cell>
          <cell r="B122">
            <v>37591</v>
          </cell>
          <cell r="C122" t="str">
            <v>AESA (RDT&amp;E)</v>
          </cell>
          <cell r="D122" t="str">
            <v>AESA</v>
          </cell>
        </row>
        <row r="123">
          <cell r="A123" t="str">
            <v>37591-AIM-9X</v>
          </cell>
          <cell r="B123">
            <v>37591</v>
          </cell>
          <cell r="C123" t="str">
            <v>AIM-9X</v>
          </cell>
          <cell r="D123" t="str">
            <v>AIM-9X</v>
          </cell>
        </row>
        <row r="124">
          <cell r="A124" t="str">
            <v>37591-AV-8B REMANUFACTURE</v>
          </cell>
          <cell r="B124">
            <v>37591</v>
          </cell>
          <cell r="C124" t="str">
            <v>AV-8B REMANUFACTURE</v>
          </cell>
          <cell r="D124" t="str">
            <v>AV-8B REMANUFACTURE</v>
          </cell>
        </row>
        <row r="125">
          <cell r="A125" t="str">
            <v>37591-CEC</v>
          </cell>
          <cell r="B125">
            <v>37591</v>
          </cell>
          <cell r="C125" t="str">
            <v>CEC</v>
          </cell>
          <cell r="D125" t="str">
            <v>CEC</v>
          </cell>
        </row>
        <row r="126">
          <cell r="A126" t="str">
            <v>37591-CVN 21</v>
          </cell>
          <cell r="B126">
            <v>37591</v>
          </cell>
          <cell r="C126" t="str">
            <v>CVN 21 (RDT&amp;E Only)</v>
          </cell>
          <cell r="D126" t="str">
            <v>CVN 21</v>
          </cell>
        </row>
        <row r="127">
          <cell r="A127" t="str">
            <v>37591-CVN 68</v>
          </cell>
          <cell r="B127">
            <v>37591</v>
          </cell>
          <cell r="C127" t="str">
            <v>CVN 68</v>
          </cell>
          <cell r="D127" t="str">
            <v>CVN 68</v>
          </cell>
        </row>
        <row r="128">
          <cell r="A128" t="str">
            <v>37591-DDG 1000 (RDT&amp;E)</v>
          </cell>
          <cell r="B128">
            <v>37591</v>
          </cell>
          <cell r="C128" t="str">
            <v>DD(X) (RDT&amp;E Only)</v>
          </cell>
          <cell r="D128" t="str">
            <v>DDG 1000 (RDT&amp;E)</v>
          </cell>
        </row>
        <row r="129">
          <cell r="A129" t="str">
            <v>37591-DDG 51</v>
          </cell>
          <cell r="B129">
            <v>37591</v>
          </cell>
          <cell r="C129" t="str">
            <v>DDG 51</v>
          </cell>
          <cell r="D129" t="str">
            <v>DDG 51</v>
          </cell>
        </row>
        <row r="130">
          <cell r="A130" t="str">
            <v>37591-E-2C REPRODUCTION</v>
          </cell>
          <cell r="B130">
            <v>37591</v>
          </cell>
          <cell r="C130" t="str">
            <v>E-2C REPRODUCTION</v>
          </cell>
          <cell r="D130" t="str">
            <v>E-2C REPRODUCTION</v>
          </cell>
        </row>
        <row r="131">
          <cell r="A131" t="str">
            <v>37591-F/A-18E/F</v>
          </cell>
          <cell r="B131">
            <v>37591</v>
          </cell>
          <cell r="C131" t="str">
            <v>F/A-18 E/F</v>
          </cell>
          <cell r="D131" t="str">
            <v>F/A-18E/F</v>
          </cell>
        </row>
        <row r="132">
          <cell r="A132" t="str">
            <v>37591-JSOW</v>
          </cell>
          <cell r="B132">
            <v>37591</v>
          </cell>
          <cell r="C132" t="str">
            <v>JSOW</v>
          </cell>
          <cell r="D132" t="str">
            <v>JSOW</v>
          </cell>
        </row>
        <row r="133">
          <cell r="A133" t="str">
            <v>37591-LHD 1</v>
          </cell>
          <cell r="B133">
            <v>37591</v>
          </cell>
          <cell r="C133" t="str">
            <v>LHD 1</v>
          </cell>
          <cell r="D133" t="str">
            <v>LHD 1</v>
          </cell>
        </row>
        <row r="134">
          <cell r="A134" t="str">
            <v>37591-LPD 17</v>
          </cell>
          <cell r="B134">
            <v>37591</v>
          </cell>
          <cell r="C134" t="str">
            <v>LPD 17</v>
          </cell>
          <cell r="D134" t="str">
            <v>LPD 17</v>
          </cell>
        </row>
        <row r="135">
          <cell r="A135" t="str">
            <v>37591-MH-60R</v>
          </cell>
          <cell r="B135">
            <v>37591</v>
          </cell>
          <cell r="C135" t="str">
            <v>MH-60R</v>
          </cell>
          <cell r="D135" t="str">
            <v>MH-60R</v>
          </cell>
        </row>
        <row r="136">
          <cell r="A136" t="str">
            <v>37591-MH-60S</v>
          </cell>
          <cell r="B136">
            <v>37591</v>
          </cell>
          <cell r="C136" t="str">
            <v>MH-60S</v>
          </cell>
          <cell r="D136" t="str">
            <v>MH-60S</v>
          </cell>
        </row>
        <row r="137">
          <cell r="A137" t="str">
            <v>37591-MIDS-LVT</v>
          </cell>
          <cell r="B137">
            <v>37591</v>
          </cell>
          <cell r="C137" t="str">
            <v>MIDS-LVT</v>
          </cell>
          <cell r="D137" t="str">
            <v>MIDS-LVT</v>
          </cell>
        </row>
        <row r="138">
          <cell r="A138" t="str">
            <v>37591-NESP</v>
          </cell>
          <cell r="B138">
            <v>37591</v>
          </cell>
          <cell r="C138" t="str">
            <v>NESP</v>
          </cell>
          <cell r="D138" t="str">
            <v>NESP</v>
          </cell>
        </row>
        <row r="139">
          <cell r="A139" t="str">
            <v>37591-SM-2</v>
          </cell>
          <cell r="B139">
            <v>37591</v>
          </cell>
          <cell r="C139" t="str">
            <v>SM 2</v>
          </cell>
          <cell r="D139" t="str">
            <v>SM-2</v>
          </cell>
        </row>
        <row r="140">
          <cell r="A140" t="str">
            <v>37591-SSN 774</v>
          </cell>
          <cell r="B140">
            <v>37591</v>
          </cell>
          <cell r="C140" t="str">
            <v>SSN 774 (VA CLASS)</v>
          </cell>
          <cell r="D140" t="str">
            <v>SSN 774</v>
          </cell>
        </row>
        <row r="141">
          <cell r="A141" t="str">
            <v>37591-T-45TS</v>
          </cell>
          <cell r="B141">
            <v>37591</v>
          </cell>
          <cell r="C141" t="str">
            <v>T-45TS</v>
          </cell>
          <cell r="D141" t="str">
            <v>T-45TS</v>
          </cell>
        </row>
        <row r="142">
          <cell r="A142" t="str">
            <v>37591-T-AKE</v>
          </cell>
          <cell r="B142">
            <v>37591</v>
          </cell>
          <cell r="C142" t="str">
            <v>T-AKE</v>
          </cell>
          <cell r="D142" t="str">
            <v>T-AKE</v>
          </cell>
        </row>
        <row r="143">
          <cell r="A143" t="str">
            <v>37591-TACTICAL TOMAHAWK</v>
          </cell>
          <cell r="B143">
            <v>37591</v>
          </cell>
          <cell r="C143" t="str">
            <v>TACTICAL TOMAHAWK</v>
          </cell>
          <cell r="D143" t="str">
            <v>TACTICAL TOMAHAWK</v>
          </cell>
        </row>
        <row r="144">
          <cell r="A144" t="str">
            <v>37591-TRIDENT II</v>
          </cell>
          <cell r="B144">
            <v>37591</v>
          </cell>
          <cell r="C144" t="str">
            <v>TRIDENT II MSL</v>
          </cell>
          <cell r="D144" t="str">
            <v>TRIDENT II</v>
          </cell>
        </row>
        <row r="145">
          <cell r="A145" t="str">
            <v>37591-H-1 Upgrades</v>
          </cell>
          <cell r="B145">
            <v>37591</v>
          </cell>
          <cell r="C145" t="str">
            <v>USMC H-1 UPGRADES</v>
          </cell>
          <cell r="D145" t="str">
            <v>H-1 Upgrades</v>
          </cell>
        </row>
        <row r="146">
          <cell r="A146" t="str">
            <v>37591-V-22</v>
          </cell>
          <cell r="B146">
            <v>37591</v>
          </cell>
          <cell r="C146" t="str">
            <v>V-22</v>
          </cell>
          <cell r="D146" t="str">
            <v>V-22</v>
          </cell>
        </row>
        <row r="147">
          <cell r="A147" t="str">
            <v>37591-Navy Subtotal</v>
          </cell>
          <cell r="B147">
            <v>37591</v>
          </cell>
          <cell r="C147" t="str">
            <v>Navy Subtotal</v>
          </cell>
          <cell r="D147" t="str">
            <v>Navy Subtotal</v>
          </cell>
        </row>
        <row r="149">
          <cell r="C149" t="str">
            <v>AIR FORCE</v>
          </cell>
        </row>
        <row r="150">
          <cell r="A150" t="str">
            <v>37591-AEHF</v>
          </cell>
          <cell r="B150">
            <v>37591</v>
          </cell>
          <cell r="C150" t="str">
            <v xml:space="preserve">AEHF </v>
          </cell>
          <cell r="D150" t="str">
            <v>AEHF</v>
          </cell>
        </row>
        <row r="151">
          <cell r="A151" t="str">
            <v>37591-AMRAAM</v>
          </cell>
          <cell r="B151">
            <v>37591</v>
          </cell>
          <cell r="C151" t="str">
            <v>AMRAAM</v>
          </cell>
          <cell r="D151" t="str">
            <v>AMRAAM</v>
          </cell>
        </row>
        <row r="152">
          <cell r="A152" t="str">
            <v>37591-AWACS Upgrade</v>
          </cell>
          <cell r="B152">
            <v>37591</v>
          </cell>
          <cell r="C152" t="str">
            <v>AWACS RSIP (E-3)</v>
          </cell>
          <cell r="D152" t="str">
            <v>AWACS Upgrade</v>
          </cell>
        </row>
        <row r="153">
          <cell r="A153" t="str">
            <v>37591-B-1B CMUP</v>
          </cell>
          <cell r="B153">
            <v>37591</v>
          </cell>
          <cell r="C153" t="str">
            <v>B-1B CMUP</v>
          </cell>
          <cell r="D153" t="str">
            <v>B-1B CMUP</v>
          </cell>
        </row>
        <row r="154">
          <cell r="A154" t="str">
            <v>37591-C-130AMP</v>
          </cell>
          <cell r="B154">
            <v>37591</v>
          </cell>
          <cell r="C154" t="str">
            <v>C-130 AMP</v>
          </cell>
          <cell r="D154" t="str">
            <v>C-130AMP</v>
          </cell>
        </row>
        <row r="155">
          <cell r="A155" t="str">
            <v>37591-C-130J</v>
          </cell>
          <cell r="B155">
            <v>37591</v>
          </cell>
          <cell r="C155" t="str">
            <v>C-130J</v>
          </cell>
          <cell r="D155" t="str">
            <v>C-130J</v>
          </cell>
        </row>
        <row r="156">
          <cell r="A156" t="str">
            <v>37591-C-17A</v>
          </cell>
          <cell r="B156">
            <v>37591</v>
          </cell>
          <cell r="C156" t="str">
            <v>C-17A</v>
          </cell>
          <cell r="D156" t="str">
            <v>C-17A</v>
          </cell>
        </row>
        <row r="157">
          <cell r="A157" t="str">
            <v>37591-C-5 RERP</v>
          </cell>
          <cell r="B157">
            <v>37591</v>
          </cell>
          <cell r="C157" t="str">
            <v>C-5 RERP</v>
          </cell>
          <cell r="D157" t="str">
            <v>C-5 RERP</v>
          </cell>
        </row>
        <row r="158">
          <cell r="A158" t="str">
            <v>37591-EELV</v>
          </cell>
          <cell r="B158">
            <v>37591</v>
          </cell>
          <cell r="C158" t="str">
            <v>EELV</v>
          </cell>
          <cell r="D158" t="str">
            <v>EELV</v>
          </cell>
        </row>
        <row r="159">
          <cell r="A159" t="str">
            <v>37591-F-22</v>
          </cell>
          <cell r="B159">
            <v>37591</v>
          </cell>
          <cell r="C159" t="str">
            <v>F/A-22</v>
          </cell>
          <cell r="D159" t="str">
            <v>F-22</v>
          </cell>
        </row>
        <row r="160">
          <cell r="A160" t="str">
            <v>37591-GBS</v>
          </cell>
          <cell r="B160">
            <v>37591</v>
          </cell>
          <cell r="C160" t="str">
            <v>GBS</v>
          </cell>
          <cell r="D160" t="str">
            <v>GBS</v>
          </cell>
        </row>
        <row r="161">
          <cell r="A161" t="str">
            <v>37591-RQ-4 GLOBAL HAWK</v>
          </cell>
          <cell r="B161">
            <v>37591</v>
          </cell>
          <cell r="C161" t="str">
            <v>GLOBAL HAWK</v>
          </cell>
          <cell r="D161" t="str">
            <v>RQ-4 GLOBAL HAWK</v>
          </cell>
        </row>
        <row r="162">
          <cell r="A162" t="str">
            <v>37591-JASSM</v>
          </cell>
          <cell r="B162">
            <v>37591</v>
          </cell>
          <cell r="C162" t="str">
            <v>JASSM</v>
          </cell>
          <cell r="D162" t="str">
            <v>JASSM</v>
          </cell>
        </row>
        <row r="163">
          <cell r="A163" t="str">
            <v>37591-JDAM</v>
          </cell>
          <cell r="B163">
            <v>37591</v>
          </cell>
          <cell r="C163" t="str">
            <v>JDAM</v>
          </cell>
          <cell r="D163" t="str">
            <v>JDAM</v>
          </cell>
        </row>
        <row r="164">
          <cell r="A164" t="str">
            <v>37591-JPATS</v>
          </cell>
          <cell r="B164">
            <v>37591</v>
          </cell>
          <cell r="C164" t="str">
            <v>JPATS</v>
          </cell>
          <cell r="D164" t="str">
            <v>JPATS</v>
          </cell>
        </row>
        <row r="165">
          <cell r="A165" t="str">
            <v>37591-E-8 JSTARS</v>
          </cell>
          <cell r="B165">
            <v>37591</v>
          </cell>
          <cell r="C165" t="str">
            <v>JSTARS</v>
          </cell>
          <cell r="D165" t="str">
            <v>E-8 JSTARS</v>
          </cell>
        </row>
        <row r="166">
          <cell r="A166" t="str">
            <v>37591-MINUTEMAN III GRP</v>
          </cell>
          <cell r="B166">
            <v>37591</v>
          </cell>
          <cell r="C166" t="str">
            <v>MINUTEMAN III GRP</v>
          </cell>
          <cell r="D166" t="str">
            <v>MINUTEMAN III GRP</v>
          </cell>
        </row>
        <row r="167">
          <cell r="A167" t="str">
            <v>37591-MINUTEMAN III PRP</v>
          </cell>
          <cell r="B167">
            <v>37591</v>
          </cell>
          <cell r="C167" t="str">
            <v>MINUTEMAN III PRP</v>
          </cell>
          <cell r="D167" t="str">
            <v>MINUTEMAN III PRP</v>
          </cell>
        </row>
        <row r="168">
          <cell r="A168" t="str">
            <v>37591-NAS</v>
          </cell>
          <cell r="B168">
            <v>37591</v>
          </cell>
          <cell r="C168" t="str">
            <v>NAS</v>
          </cell>
          <cell r="D168" t="str">
            <v>NAS</v>
          </cell>
        </row>
        <row r="169">
          <cell r="A169" t="str">
            <v>37591-NAVSTAR GPS</v>
          </cell>
          <cell r="B169">
            <v>37591</v>
          </cell>
          <cell r="C169" t="str">
            <v>NAVSTAR GPS</v>
          </cell>
          <cell r="D169" t="str">
            <v>NAVSTAR GPS</v>
          </cell>
        </row>
        <row r="170">
          <cell r="A170" t="str">
            <v>37591-NPOESS</v>
          </cell>
          <cell r="B170">
            <v>37591</v>
          </cell>
          <cell r="C170" t="str">
            <v xml:space="preserve">NPOESS </v>
          </cell>
          <cell r="D170" t="str">
            <v>NPOESS</v>
          </cell>
        </row>
        <row r="171">
          <cell r="A171" t="str">
            <v>37591-SBIRS</v>
          </cell>
          <cell r="B171">
            <v>37591</v>
          </cell>
          <cell r="C171" t="str">
            <v>SBIRS HIGH</v>
          </cell>
          <cell r="D171" t="str">
            <v>SBIRS</v>
          </cell>
        </row>
        <row r="172">
          <cell r="A172" t="str">
            <v>37591-WGS</v>
          </cell>
          <cell r="B172">
            <v>37591</v>
          </cell>
          <cell r="C172" t="str">
            <v>WIDEBAND GAPFILLER</v>
          </cell>
          <cell r="D172" t="str">
            <v>WGS</v>
          </cell>
        </row>
        <row r="173">
          <cell r="A173" t="str">
            <v>37591-Air Force Subtotal</v>
          </cell>
          <cell r="B173">
            <v>37591</v>
          </cell>
          <cell r="C173" t="str">
            <v>Air Force Subtotal</v>
          </cell>
          <cell r="D173" t="str">
            <v>Air Force Subtotal</v>
          </cell>
        </row>
        <row r="175">
          <cell r="C175" t="str">
            <v>DoD</v>
          </cell>
        </row>
        <row r="176">
          <cell r="A176" t="e">
            <v>#N/A</v>
          </cell>
          <cell r="B176">
            <v>37591</v>
          </cell>
          <cell r="C176" t="str">
            <v xml:space="preserve">BMDS (RDT&amp;E Only) </v>
          </cell>
          <cell r="D176" t="e">
            <v>#N/A</v>
          </cell>
        </row>
        <row r="177">
          <cell r="A177" t="e">
            <v>#N/A</v>
          </cell>
          <cell r="B177">
            <v>37591</v>
          </cell>
          <cell r="C177" t="str">
            <v>CHEM DEMIL</v>
          </cell>
          <cell r="D177" t="e">
            <v>#N/A</v>
          </cell>
        </row>
        <row r="178">
          <cell r="A178" t="str">
            <v>37591-F-35</v>
          </cell>
          <cell r="B178">
            <v>37591</v>
          </cell>
          <cell r="C178" t="str">
            <v xml:space="preserve">JSF (F-35) </v>
          </cell>
          <cell r="D178" t="str">
            <v>F-35</v>
          </cell>
        </row>
        <row r="179">
          <cell r="A179" t="str">
            <v>37591-JSIMS</v>
          </cell>
          <cell r="B179">
            <v>37591</v>
          </cell>
          <cell r="C179" t="str">
            <v>JSIMS</v>
          </cell>
          <cell r="D179" t="str">
            <v>JSIMS</v>
          </cell>
        </row>
        <row r="180">
          <cell r="A180" t="str">
            <v>37591-JTRS NED</v>
          </cell>
          <cell r="B180">
            <v>37591</v>
          </cell>
          <cell r="C180" t="str">
            <v>JTRS WAVEFORM</v>
          </cell>
          <cell r="D180" t="str">
            <v>JTRS NED</v>
          </cell>
        </row>
        <row r="181">
          <cell r="A181" t="str">
            <v>37591-DoD Subtotal</v>
          </cell>
          <cell r="B181">
            <v>37591</v>
          </cell>
          <cell r="C181" t="str">
            <v>DoD Subtotal</v>
          </cell>
          <cell r="D181" t="str">
            <v>DoD Subtotal</v>
          </cell>
        </row>
        <row r="182">
          <cell r="A182" t="str">
            <v>37591-Grand Total</v>
          </cell>
          <cell r="B182">
            <v>37591</v>
          </cell>
          <cell r="C182" t="str">
            <v>Grand Total</v>
          </cell>
          <cell r="D182" t="str">
            <v>Grand Total</v>
          </cell>
        </row>
        <row r="822">
          <cell r="D822" t="str">
            <v>AB3 APACHE Block III</v>
          </cell>
          <cell r="E822">
            <v>668.7</v>
          </cell>
          <cell r="L822">
            <v>367.6</v>
          </cell>
          <cell r="M822">
            <v>587.20000000000005</v>
          </cell>
          <cell r="P822">
            <v>10062.5</v>
          </cell>
          <cell r="Q822">
            <v>11686</v>
          </cell>
        </row>
        <row r="823">
          <cell r="D823" t="e">
            <v>#N/A</v>
          </cell>
          <cell r="E823">
            <v>3236</v>
          </cell>
          <cell r="L823">
            <v>299.10000000000002</v>
          </cell>
          <cell r="M823">
            <v>222</v>
          </cell>
          <cell r="P823">
            <v>755.7</v>
          </cell>
          <cell r="Q823">
            <v>4512.8</v>
          </cell>
        </row>
        <row r="824">
          <cell r="D824" t="str">
            <v>UH-60M Black Hawk Upgrade</v>
          </cell>
          <cell r="E824">
            <v>4892.2</v>
          </cell>
          <cell r="L824">
            <v>1423.1</v>
          </cell>
          <cell r="M824">
            <v>1372.6</v>
          </cell>
          <cell r="P824">
            <v>15993.8</v>
          </cell>
          <cell r="Q824">
            <v>23681.7</v>
          </cell>
        </row>
        <row r="825">
          <cell r="D825" t="e">
            <v>#N/A</v>
          </cell>
          <cell r="E825">
            <v>8903.2000000000007</v>
          </cell>
          <cell r="L825">
            <v>0</v>
          </cell>
          <cell r="M825">
            <v>0</v>
          </cell>
          <cell r="P825">
            <v>0</v>
          </cell>
          <cell r="Q825">
            <v>8903.2000000000007</v>
          </cell>
        </row>
        <row r="826">
          <cell r="D826" t="str">
            <v>CH-47F</v>
          </cell>
          <cell r="E826">
            <v>6199.3</v>
          </cell>
          <cell r="L826">
            <v>1015.4</v>
          </cell>
          <cell r="M826">
            <v>1118.5999999999999</v>
          </cell>
          <cell r="P826">
            <v>5302.9</v>
          </cell>
          <cell r="Q826">
            <v>13636.2</v>
          </cell>
        </row>
        <row r="827">
          <cell r="D827" t="str">
            <v>EXCALIBUR</v>
          </cell>
          <cell r="E827">
            <v>1078.3</v>
          </cell>
          <cell r="L827">
            <v>156.5</v>
          </cell>
          <cell r="M827">
            <v>88.5</v>
          </cell>
          <cell r="P827">
            <v>1146.3</v>
          </cell>
          <cell r="Q827">
            <v>2469.6</v>
          </cell>
        </row>
        <row r="828">
          <cell r="D828" t="str">
            <v>FBCB2</v>
          </cell>
          <cell r="E828">
            <v>3128.2</v>
          </cell>
          <cell r="L828">
            <v>514.1</v>
          </cell>
          <cell r="M828">
            <v>175.3</v>
          </cell>
          <cell r="P828">
            <v>29.4</v>
          </cell>
          <cell r="Q828">
            <v>3847</v>
          </cell>
        </row>
        <row r="829">
          <cell r="D829" t="str">
            <v>FMTV</v>
          </cell>
          <cell r="E829">
            <v>12433.1</v>
          </cell>
          <cell r="L829">
            <v>1364.3</v>
          </cell>
          <cell r="M829">
            <v>1437.2</v>
          </cell>
          <cell r="P829">
            <v>5392</v>
          </cell>
          <cell r="Q829">
            <v>20626.599999999999</v>
          </cell>
        </row>
        <row r="830">
          <cell r="D830" t="e">
            <v>#N/A</v>
          </cell>
          <cell r="E830">
            <v>1716</v>
          </cell>
          <cell r="L830">
            <v>374.3</v>
          </cell>
          <cell r="M830">
            <v>335.6</v>
          </cell>
          <cell r="P830">
            <v>3633</v>
          </cell>
          <cell r="Q830">
            <v>6058.9</v>
          </cell>
        </row>
        <row r="831">
          <cell r="D831" t="str">
            <v>HIMARS</v>
          </cell>
          <cell r="E831">
            <v>1503.7</v>
          </cell>
          <cell r="L831">
            <v>219.2</v>
          </cell>
          <cell r="M831">
            <v>224.6</v>
          </cell>
          <cell r="P831">
            <v>96.3</v>
          </cell>
          <cell r="Q831">
            <v>2043.8</v>
          </cell>
        </row>
        <row r="832">
          <cell r="D832" t="str">
            <v>JLENS</v>
          </cell>
          <cell r="E832">
            <v>1147.5</v>
          </cell>
          <cell r="L832">
            <v>348.4</v>
          </cell>
          <cell r="M832">
            <v>372.5</v>
          </cell>
          <cell r="P832">
            <v>6195.4</v>
          </cell>
          <cell r="Q832">
            <v>8063.8</v>
          </cell>
        </row>
        <row r="833">
          <cell r="D833" t="str">
            <v>LONGBOW APACHE</v>
          </cell>
          <cell r="E833">
            <v>11966.5</v>
          </cell>
          <cell r="L833">
            <v>560.1</v>
          </cell>
          <cell r="M833">
            <v>577.9</v>
          </cell>
          <cell r="P833">
            <v>0</v>
          </cell>
          <cell r="Q833">
            <v>13104.5</v>
          </cell>
        </row>
        <row r="834">
          <cell r="D834" t="str">
            <v>LUH</v>
          </cell>
          <cell r="E834">
            <v>696</v>
          </cell>
          <cell r="L834">
            <v>302.5</v>
          </cell>
          <cell r="M834">
            <v>293.10000000000002</v>
          </cell>
          <cell r="P834">
            <v>712</v>
          </cell>
          <cell r="Q834">
            <v>2003.6</v>
          </cell>
        </row>
        <row r="835">
          <cell r="D835" t="str">
            <v>PATRIOT PAC-3</v>
          </cell>
          <cell r="E835">
            <v>8502.4</v>
          </cell>
          <cell r="L835">
            <v>341.3</v>
          </cell>
          <cell r="M835">
            <v>480.2</v>
          </cell>
          <cell r="P835">
            <v>2.2000000000000002</v>
          </cell>
          <cell r="Q835">
            <v>9326.1</v>
          </cell>
        </row>
        <row r="836">
          <cell r="D836" t="e">
            <v>#N/A</v>
          </cell>
          <cell r="E836">
            <v>1909.9</v>
          </cell>
          <cell r="L836">
            <v>566.20000000000005</v>
          </cell>
          <cell r="M836">
            <v>529.6</v>
          </cell>
          <cell r="P836">
            <v>27821.599999999999</v>
          </cell>
          <cell r="Q836">
            <v>30827.3</v>
          </cell>
        </row>
        <row r="837">
          <cell r="D837" t="str">
            <v>STRYKER</v>
          </cell>
          <cell r="E837">
            <v>14236.5</v>
          </cell>
          <cell r="L837">
            <v>643.9</v>
          </cell>
          <cell r="M837">
            <v>302</v>
          </cell>
          <cell r="P837">
            <v>13.6</v>
          </cell>
          <cell r="Q837">
            <v>15196</v>
          </cell>
        </row>
        <row r="838">
          <cell r="D838" t="e">
            <v>#N/A</v>
          </cell>
          <cell r="E838">
            <v>3699.8</v>
          </cell>
          <cell r="L838">
            <v>42.1</v>
          </cell>
          <cell r="M838">
            <v>29.9</v>
          </cell>
          <cell r="P838">
            <v>63.2</v>
          </cell>
          <cell r="Q838">
            <v>3835</v>
          </cell>
        </row>
        <row r="839">
          <cell r="D839" t="e">
            <v>#N/A</v>
          </cell>
          <cell r="E839">
            <v>343.1</v>
          </cell>
          <cell r="L839">
            <v>485.5</v>
          </cell>
          <cell r="M839">
            <v>379.5</v>
          </cell>
          <cell r="P839">
            <v>3789.6</v>
          </cell>
          <cell r="Q839">
            <v>4997.7</v>
          </cell>
        </row>
        <row r="840">
          <cell r="D840" t="str">
            <v>Army Subtotal</v>
          </cell>
          <cell r="E840">
            <v>86260.4</v>
          </cell>
          <cell r="L840">
            <v>9023.6</v>
          </cell>
          <cell r="M840">
            <v>8526.2999999999993</v>
          </cell>
          <cell r="P840">
            <v>81009.5</v>
          </cell>
          <cell r="Q840">
            <v>184819.8</v>
          </cell>
        </row>
        <row r="843">
          <cell r="D843" t="str">
            <v>AGM-88E</v>
          </cell>
          <cell r="E843">
            <v>670.9</v>
          </cell>
          <cell r="L843">
            <v>54</v>
          </cell>
          <cell r="M843">
            <v>56</v>
          </cell>
          <cell r="P843">
            <v>1070.8</v>
          </cell>
          <cell r="Q843">
            <v>1851.7</v>
          </cell>
        </row>
        <row r="844">
          <cell r="D844" t="str">
            <v>AIM-9X</v>
          </cell>
          <cell r="E844">
            <v>1415.5</v>
          </cell>
          <cell r="L844">
            <v>142.80000000000001</v>
          </cell>
          <cell r="M844">
            <v>129.1</v>
          </cell>
          <cell r="P844">
            <v>1979.4</v>
          </cell>
          <cell r="Q844">
            <v>3666.8</v>
          </cell>
        </row>
        <row r="845">
          <cell r="D845" t="str">
            <v>CEC</v>
          </cell>
          <cell r="E845">
            <v>3375.8</v>
          </cell>
          <cell r="L845">
            <v>143.4</v>
          </cell>
          <cell r="M845">
            <v>155.4</v>
          </cell>
          <cell r="P845">
            <v>870.5</v>
          </cell>
          <cell r="Q845">
            <v>4545.1000000000004</v>
          </cell>
        </row>
        <row r="846">
          <cell r="D846" t="str">
            <v>CH-53K</v>
          </cell>
          <cell r="E846">
            <v>1629</v>
          </cell>
          <cell r="L846">
            <v>522.29999999999995</v>
          </cell>
          <cell r="M846">
            <v>577.4</v>
          </cell>
          <cell r="P846">
            <v>22797.4</v>
          </cell>
          <cell r="Q846">
            <v>25526.1</v>
          </cell>
        </row>
        <row r="847">
          <cell r="D847" t="str">
            <v>COBRA JUDY REPLACEMENT</v>
          </cell>
          <cell r="E847">
            <v>1413.7</v>
          </cell>
          <cell r="L847">
            <v>115.2</v>
          </cell>
          <cell r="M847">
            <v>71</v>
          </cell>
          <cell r="P847">
            <v>112.8</v>
          </cell>
          <cell r="Q847">
            <v>1712.7</v>
          </cell>
        </row>
        <row r="848">
          <cell r="D848" t="str">
            <v>CVN 68</v>
          </cell>
          <cell r="E848">
            <v>6261.6</v>
          </cell>
          <cell r="L848">
            <v>4.2</v>
          </cell>
          <cell r="M848">
            <v>0</v>
          </cell>
          <cell r="P848">
            <v>0</v>
          </cell>
          <cell r="Q848">
            <v>6265.8</v>
          </cell>
        </row>
        <row r="849">
          <cell r="D849" t="str">
            <v>CVN 78</v>
          </cell>
          <cell r="E849">
            <v>13429.7</v>
          </cell>
          <cell r="L849">
            <v>1498.1</v>
          </cell>
          <cell r="M849">
            <v>2813.9</v>
          </cell>
          <cell r="P849">
            <v>22803.8</v>
          </cell>
          <cell r="Q849">
            <v>40545.5</v>
          </cell>
        </row>
        <row r="850">
          <cell r="D850" t="str">
            <v>DDG 1000</v>
          </cell>
          <cell r="E850">
            <v>15344.5</v>
          </cell>
          <cell r="L850">
            <v>1902.8</v>
          </cell>
          <cell r="M850">
            <v>755.7</v>
          </cell>
          <cell r="P850">
            <v>1768.4</v>
          </cell>
          <cell r="Q850">
            <v>19771.400000000001</v>
          </cell>
        </row>
        <row r="851">
          <cell r="D851" t="str">
            <v>DDG 51</v>
          </cell>
          <cell r="E851">
            <v>62514.1</v>
          </cell>
          <cell r="L851">
            <v>2662.1</v>
          </cell>
          <cell r="M851">
            <v>3084.7</v>
          </cell>
          <cell r="P851">
            <v>12146.8</v>
          </cell>
          <cell r="Q851">
            <v>80407.7</v>
          </cell>
        </row>
        <row r="852">
          <cell r="D852" t="str">
            <v>E-2D AHE</v>
          </cell>
          <cell r="E852">
            <v>3931.6</v>
          </cell>
          <cell r="L852">
            <v>1159.2</v>
          </cell>
          <cell r="M852">
            <v>1132.5</v>
          </cell>
          <cell r="P852">
            <v>12681</v>
          </cell>
          <cell r="Q852">
            <v>18904.3</v>
          </cell>
        </row>
        <row r="853">
          <cell r="D853" t="str">
            <v>EA-18G</v>
          </cell>
          <cell r="E853">
            <v>6097.7</v>
          </cell>
          <cell r="L853">
            <v>1709.7</v>
          </cell>
          <cell r="M853">
            <v>1117.0999999999999</v>
          </cell>
          <cell r="P853">
            <v>2625.6</v>
          </cell>
          <cell r="Q853">
            <v>11550.1</v>
          </cell>
        </row>
        <row r="854">
          <cell r="D854" t="str">
            <v>EA-6B ICAP III</v>
          </cell>
          <cell r="E854">
            <v>1022.1</v>
          </cell>
          <cell r="L854">
            <v>13.8</v>
          </cell>
          <cell r="M854">
            <v>17.399999999999999</v>
          </cell>
          <cell r="P854">
            <v>12.7</v>
          </cell>
          <cell r="Q854">
            <v>1066</v>
          </cell>
        </row>
        <row r="855">
          <cell r="D855" t="str">
            <v>EFV</v>
          </cell>
          <cell r="E855">
            <v>2790.6</v>
          </cell>
          <cell r="L855">
            <v>292.2</v>
          </cell>
          <cell r="M855">
            <v>242.8</v>
          </cell>
          <cell r="P855">
            <v>12227.4</v>
          </cell>
          <cell r="Q855">
            <v>15553</v>
          </cell>
        </row>
        <row r="856">
          <cell r="D856" t="str">
            <v>F/A-18E/F</v>
          </cell>
          <cell r="E856">
            <v>41653.1</v>
          </cell>
          <cell r="L856">
            <v>1565</v>
          </cell>
          <cell r="M856">
            <v>1828.4</v>
          </cell>
          <cell r="P856">
            <v>3044.9</v>
          </cell>
          <cell r="Q856">
            <v>48091.4</v>
          </cell>
        </row>
        <row r="857">
          <cell r="D857" t="str">
            <v>H-1 Upgrades</v>
          </cell>
          <cell r="E857">
            <v>3947.3</v>
          </cell>
          <cell r="L857">
            <v>791.3</v>
          </cell>
          <cell r="M857">
            <v>985.5</v>
          </cell>
          <cell r="P857">
            <v>6396</v>
          </cell>
          <cell r="Q857">
            <v>12120.1</v>
          </cell>
        </row>
        <row r="858">
          <cell r="D858" t="e">
            <v>#N/A</v>
          </cell>
          <cell r="E858">
            <v>723.4</v>
          </cell>
          <cell r="L858">
            <v>132.9</v>
          </cell>
          <cell r="M858">
            <v>90.6</v>
          </cell>
          <cell r="P858">
            <v>1432.7</v>
          </cell>
          <cell r="Q858">
            <v>2379.6</v>
          </cell>
        </row>
        <row r="859">
          <cell r="D859" t="str">
            <v>Joint MRAP</v>
          </cell>
          <cell r="E859">
            <v>26340.2</v>
          </cell>
          <cell r="L859">
            <v>3552.5</v>
          </cell>
          <cell r="M859">
            <v>1118.2</v>
          </cell>
          <cell r="P859">
            <v>5280.7</v>
          </cell>
          <cell r="Q859">
            <v>36291.599999999999</v>
          </cell>
        </row>
        <row r="860">
          <cell r="D860" t="e">
            <v>#N/A</v>
          </cell>
          <cell r="E860">
            <v>2776.2</v>
          </cell>
          <cell r="L860">
            <v>152.19999999999999</v>
          </cell>
          <cell r="M860">
            <v>144</v>
          </cell>
          <cell r="P860">
            <v>2004.3</v>
          </cell>
          <cell r="Q860">
            <v>5076.7</v>
          </cell>
        </row>
        <row r="861">
          <cell r="D861" t="str">
            <v>LCS</v>
          </cell>
          <cell r="E861">
            <v>2624.2</v>
          </cell>
          <cell r="L861">
            <v>418.8</v>
          </cell>
          <cell r="M861">
            <v>226.3</v>
          </cell>
          <cell r="P861">
            <v>463.2</v>
          </cell>
          <cell r="Q861">
            <v>3732.5</v>
          </cell>
        </row>
        <row r="862">
          <cell r="D862" t="e">
            <v>#N/A</v>
          </cell>
          <cell r="E862">
            <v>3395.8</v>
          </cell>
          <cell r="L862">
            <v>176</v>
          </cell>
          <cell r="M862">
            <v>969.2</v>
          </cell>
          <cell r="P862">
            <v>2285.8000000000002</v>
          </cell>
          <cell r="Q862">
            <v>6826.8</v>
          </cell>
        </row>
        <row r="863">
          <cell r="D863" t="str">
            <v>LPD 17</v>
          </cell>
          <cell r="E863">
            <v>15051.7</v>
          </cell>
          <cell r="L863">
            <v>1232.9000000000001</v>
          </cell>
          <cell r="M863">
            <v>79.099999999999994</v>
          </cell>
          <cell r="P863">
            <v>2295.5</v>
          </cell>
          <cell r="Q863">
            <v>18659.2</v>
          </cell>
        </row>
        <row r="864">
          <cell r="D864" t="str">
            <v>MH-60R</v>
          </cell>
          <cell r="E864">
            <v>6560.5</v>
          </cell>
          <cell r="L864">
            <v>1005</v>
          </cell>
          <cell r="M864">
            <v>1161</v>
          </cell>
          <cell r="P864">
            <v>5514.5</v>
          </cell>
          <cell r="Q864">
            <v>14241</v>
          </cell>
        </row>
        <row r="865">
          <cell r="D865" t="str">
            <v>MH-60S</v>
          </cell>
          <cell r="E865">
            <v>5086.7</v>
          </cell>
          <cell r="L865">
            <v>522</v>
          </cell>
          <cell r="M865">
            <v>588.79999999999995</v>
          </cell>
          <cell r="P865">
            <v>1778.2</v>
          </cell>
          <cell r="Q865">
            <v>7975.7</v>
          </cell>
        </row>
        <row r="866">
          <cell r="D866" t="str">
            <v>MUOS</v>
          </cell>
          <cell r="E866">
            <v>3370.3</v>
          </cell>
          <cell r="L866">
            <v>867.9</v>
          </cell>
          <cell r="M866">
            <v>911.4</v>
          </cell>
          <cell r="P866">
            <v>1738.9</v>
          </cell>
          <cell r="Q866">
            <v>6888.5</v>
          </cell>
        </row>
        <row r="867">
          <cell r="D867" t="str">
            <v>NMT</v>
          </cell>
          <cell r="E867">
            <v>489.8</v>
          </cell>
          <cell r="L867">
            <v>145.5</v>
          </cell>
          <cell r="M867">
            <v>177.2</v>
          </cell>
          <cell r="P867">
            <v>1257.9000000000001</v>
          </cell>
          <cell r="Q867">
            <v>2070.4</v>
          </cell>
        </row>
        <row r="868">
          <cell r="D868" t="str">
            <v>P-8A</v>
          </cell>
          <cell r="E868">
            <v>4778.8</v>
          </cell>
          <cell r="L868">
            <v>3054.2</v>
          </cell>
          <cell r="M868">
            <v>2986.3</v>
          </cell>
          <cell r="P868">
            <v>23321.599999999999</v>
          </cell>
          <cell r="Q868">
            <v>34140.9</v>
          </cell>
        </row>
        <row r="869">
          <cell r="D869" t="str">
            <v>RMS</v>
          </cell>
          <cell r="E869">
            <v>498.7</v>
          </cell>
          <cell r="L869">
            <v>19.899999999999999</v>
          </cell>
          <cell r="M869">
            <v>24.7</v>
          </cell>
          <cell r="P869">
            <v>763.2</v>
          </cell>
          <cell r="Q869">
            <v>1306.5</v>
          </cell>
        </row>
        <row r="870">
          <cell r="D870" t="str">
            <v>SM-6</v>
          </cell>
          <cell r="E870">
            <v>864.5</v>
          </cell>
          <cell r="L870">
            <v>223.3</v>
          </cell>
          <cell r="M870">
            <v>359.7</v>
          </cell>
          <cell r="P870">
            <v>5152.5</v>
          </cell>
          <cell r="Q870">
            <v>6600</v>
          </cell>
        </row>
        <row r="871">
          <cell r="D871" t="str">
            <v>SSN 774</v>
          </cell>
          <cell r="E871">
            <v>35687.699999999997</v>
          </cell>
          <cell r="L871">
            <v>4227.3</v>
          </cell>
          <cell r="M871">
            <v>5369.4</v>
          </cell>
          <cell r="P871">
            <v>46109.5</v>
          </cell>
          <cell r="Q871">
            <v>91393.9</v>
          </cell>
        </row>
        <row r="872">
          <cell r="D872" t="str">
            <v>TACTICAL TOMAHAWK</v>
          </cell>
          <cell r="E872">
            <v>3203.2</v>
          </cell>
          <cell r="L872">
            <v>276.5</v>
          </cell>
          <cell r="M872">
            <v>300.2</v>
          </cell>
          <cell r="P872">
            <v>3105.5</v>
          </cell>
          <cell r="Q872">
            <v>6885.4</v>
          </cell>
        </row>
        <row r="873">
          <cell r="D873" t="str">
            <v>T-AKE</v>
          </cell>
          <cell r="E873">
            <v>5663.4</v>
          </cell>
          <cell r="L873">
            <v>1225.8</v>
          </cell>
          <cell r="M873">
            <v>0</v>
          </cell>
          <cell r="P873">
            <v>0</v>
          </cell>
          <cell r="Q873">
            <v>6889.2</v>
          </cell>
        </row>
        <row r="874">
          <cell r="D874" t="str">
            <v>TRIDENT II</v>
          </cell>
          <cell r="E874">
            <v>31269.599999999999</v>
          </cell>
          <cell r="L874">
            <v>1052.2</v>
          </cell>
          <cell r="M874">
            <v>1106.9000000000001</v>
          </cell>
          <cell r="P874">
            <v>6117.3</v>
          </cell>
          <cell r="Q874">
            <v>39546</v>
          </cell>
        </row>
        <row r="875">
          <cell r="D875" t="str">
            <v>V-22</v>
          </cell>
          <cell r="E875">
            <v>29088.6</v>
          </cell>
          <cell r="L875">
            <v>3136.9</v>
          </cell>
          <cell r="M875">
            <v>2923.3</v>
          </cell>
          <cell r="P875">
            <v>17750.2</v>
          </cell>
          <cell r="Q875">
            <v>52899</v>
          </cell>
        </row>
        <row r="876">
          <cell r="D876" t="str">
            <v>VTUAV</v>
          </cell>
          <cell r="E876">
            <v>700.4</v>
          </cell>
          <cell r="L876">
            <v>118.6</v>
          </cell>
          <cell r="M876">
            <v>61.7</v>
          </cell>
          <cell r="P876">
            <v>1744.1</v>
          </cell>
          <cell r="Q876">
            <v>2624.8</v>
          </cell>
        </row>
        <row r="877">
          <cell r="D877" t="str">
            <v>Navy Subtotal</v>
          </cell>
          <cell r="E877">
            <v>343670.9</v>
          </cell>
          <cell r="L877">
            <v>34116.5</v>
          </cell>
          <cell r="M877">
            <v>31564.9</v>
          </cell>
          <cell r="P877">
            <v>228653.1</v>
          </cell>
          <cell r="Q877">
            <v>638005.4</v>
          </cell>
        </row>
        <row r="880">
          <cell r="D880" t="str">
            <v>AEHF</v>
          </cell>
          <cell r="E880">
            <v>6627.2</v>
          </cell>
          <cell r="L880">
            <v>2298.6999999999998</v>
          </cell>
          <cell r="M880">
            <v>598.4</v>
          </cell>
          <cell r="P880">
            <v>2924.6</v>
          </cell>
          <cell r="Q880">
            <v>12448.9</v>
          </cell>
        </row>
        <row r="881">
          <cell r="D881" t="str">
            <v>AMRAAM</v>
          </cell>
          <cell r="E881">
            <v>10770.8</v>
          </cell>
          <cell r="L881">
            <v>465.2</v>
          </cell>
          <cell r="M881">
            <v>577</v>
          </cell>
          <cell r="P881">
            <v>9470.2999999999993</v>
          </cell>
          <cell r="Q881">
            <v>21283.3</v>
          </cell>
        </row>
        <row r="882">
          <cell r="D882" t="e">
            <v>#N/A</v>
          </cell>
          <cell r="E882">
            <v>288.5</v>
          </cell>
          <cell r="L882">
            <v>83</v>
          </cell>
          <cell r="M882">
            <v>78</v>
          </cell>
          <cell r="P882">
            <v>169.1</v>
          </cell>
          <cell r="Q882">
            <v>618.6</v>
          </cell>
        </row>
        <row r="883">
          <cell r="D883" t="str">
            <v>B-2 RMP</v>
          </cell>
          <cell r="E883">
            <v>1006.6</v>
          </cell>
          <cell r="L883">
            <v>221.3</v>
          </cell>
          <cell r="M883">
            <v>23.2</v>
          </cell>
          <cell r="P883">
            <v>14.7</v>
          </cell>
          <cell r="Q883">
            <v>1265.8</v>
          </cell>
        </row>
        <row r="884">
          <cell r="D884" t="str">
            <v>C-130AMP</v>
          </cell>
          <cell r="E884">
            <v>1802.6</v>
          </cell>
          <cell r="L884">
            <v>105.9</v>
          </cell>
          <cell r="M884">
            <v>213.3</v>
          </cell>
          <cell r="P884">
            <v>4231.1000000000004</v>
          </cell>
          <cell r="Q884">
            <v>6352.9</v>
          </cell>
        </row>
        <row r="885">
          <cell r="D885" t="str">
            <v>C-130J</v>
          </cell>
          <cell r="E885">
            <v>8683.1</v>
          </cell>
          <cell r="L885">
            <v>507.3</v>
          </cell>
          <cell r="M885">
            <v>559.70000000000005</v>
          </cell>
          <cell r="P885">
            <v>5428</v>
          </cell>
          <cell r="Q885">
            <v>15178.1</v>
          </cell>
        </row>
        <row r="886">
          <cell r="D886" t="str">
            <v>C-17A</v>
          </cell>
          <cell r="E886">
            <v>65680.100000000006</v>
          </cell>
          <cell r="L886">
            <v>2742.2</v>
          </cell>
          <cell r="M886">
            <v>305.89999999999998</v>
          </cell>
          <cell r="P886">
            <v>842.6</v>
          </cell>
          <cell r="Q886">
            <v>69570.8</v>
          </cell>
        </row>
        <row r="887">
          <cell r="D887" t="str">
            <v>C-5 AMP</v>
          </cell>
          <cell r="E887">
            <v>1080.5</v>
          </cell>
          <cell r="L887">
            <v>81.400000000000006</v>
          </cell>
          <cell r="M887">
            <v>43.2</v>
          </cell>
          <cell r="P887">
            <v>0</v>
          </cell>
          <cell r="Q887">
            <v>1205.0999999999999</v>
          </cell>
        </row>
        <row r="888">
          <cell r="D888" t="str">
            <v>C-5 RERP</v>
          </cell>
          <cell r="E888">
            <v>2090.9</v>
          </cell>
          <cell r="L888">
            <v>650.29999999999995</v>
          </cell>
          <cell r="M888">
            <v>897.6</v>
          </cell>
          <cell r="P888">
            <v>3833.1</v>
          </cell>
          <cell r="Q888">
            <v>7471.9</v>
          </cell>
        </row>
        <row r="889">
          <cell r="D889" t="str">
            <v>F-22</v>
          </cell>
          <cell r="E889">
            <v>62856.6</v>
          </cell>
          <cell r="L889">
            <v>816.9</v>
          </cell>
          <cell r="M889">
            <v>756.4</v>
          </cell>
          <cell r="P889">
            <v>2284.1999999999998</v>
          </cell>
          <cell r="Q889">
            <v>66714.100000000006</v>
          </cell>
        </row>
        <row r="890">
          <cell r="D890" t="str">
            <v>FAB-T</v>
          </cell>
          <cell r="E890">
            <v>1234.5999999999999</v>
          </cell>
          <cell r="L890">
            <v>313.60000000000002</v>
          </cell>
          <cell r="M890">
            <v>296.39999999999998</v>
          </cell>
          <cell r="P890">
            <v>2137.3000000000002</v>
          </cell>
          <cell r="Q890">
            <v>3981.9</v>
          </cell>
        </row>
        <row r="891">
          <cell r="D891" t="str">
            <v>GBS</v>
          </cell>
          <cell r="E891">
            <v>771.5</v>
          </cell>
          <cell r="L891">
            <v>30.7</v>
          </cell>
          <cell r="M891">
            <v>39.1</v>
          </cell>
          <cell r="P891">
            <v>175.6</v>
          </cell>
          <cell r="Q891">
            <v>1016.9</v>
          </cell>
        </row>
        <row r="892">
          <cell r="D892" t="str">
            <v>RQ-4 GLOBAL HAWK</v>
          </cell>
          <cell r="E892">
            <v>5679.7</v>
          </cell>
          <cell r="L892">
            <v>1075.5999999999999</v>
          </cell>
          <cell r="M892">
            <v>1077.2</v>
          </cell>
          <cell r="P892">
            <v>5875.8</v>
          </cell>
          <cell r="Q892">
            <v>13708.3</v>
          </cell>
        </row>
        <row r="893">
          <cell r="D893" t="str">
            <v>GPS IIIA</v>
          </cell>
          <cell r="E893">
            <v>934.7</v>
          </cell>
          <cell r="L893">
            <v>423.5</v>
          </cell>
          <cell r="M893">
            <v>568.79999999999995</v>
          </cell>
          <cell r="P893">
            <v>2279.9</v>
          </cell>
          <cell r="Q893">
            <v>4206.8999999999996</v>
          </cell>
        </row>
        <row r="894">
          <cell r="D894" t="str">
            <v>JASSM</v>
          </cell>
          <cell r="E894">
            <v>2030.9</v>
          </cell>
          <cell r="L894">
            <v>82</v>
          </cell>
          <cell r="M894">
            <v>235.8</v>
          </cell>
          <cell r="P894">
            <v>5362.6</v>
          </cell>
          <cell r="Q894">
            <v>7711.3</v>
          </cell>
        </row>
        <row r="895">
          <cell r="D895" t="str">
            <v>JDAM</v>
          </cell>
          <cell r="E895">
            <v>4890.3999999999996</v>
          </cell>
          <cell r="L895">
            <v>192.4</v>
          </cell>
          <cell r="M895">
            <v>252.6</v>
          </cell>
          <cell r="P895">
            <v>417</v>
          </cell>
          <cell r="Q895">
            <v>5752.4</v>
          </cell>
        </row>
        <row r="896">
          <cell r="D896" t="str">
            <v>JPATS</v>
          </cell>
          <cell r="E896">
            <v>3977.8</v>
          </cell>
          <cell r="L896">
            <v>347.9</v>
          </cell>
          <cell r="M896">
            <v>346.2</v>
          </cell>
          <cell r="P896">
            <v>782.5</v>
          </cell>
          <cell r="Q896">
            <v>5454.4</v>
          </cell>
        </row>
        <row r="897">
          <cell r="D897" t="str">
            <v>LAIRCM</v>
          </cell>
          <cell r="E897">
            <v>363.9</v>
          </cell>
          <cell r="L897">
            <v>26.8</v>
          </cell>
          <cell r="M897">
            <v>17.2</v>
          </cell>
          <cell r="P897">
            <v>7.5</v>
          </cell>
          <cell r="Q897">
            <v>415.4</v>
          </cell>
        </row>
        <row r="898">
          <cell r="D898" t="str">
            <v>MINUTEMAN III PRP</v>
          </cell>
          <cell r="E898">
            <v>2601.8000000000002</v>
          </cell>
          <cell r="L898">
            <v>0</v>
          </cell>
          <cell r="M898">
            <v>0</v>
          </cell>
          <cell r="P898">
            <v>0</v>
          </cell>
          <cell r="Q898">
            <v>2601.8000000000002</v>
          </cell>
        </row>
        <row r="899">
          <cell r="D899" t="str">
            <v>MP RTIP</v>
          </cell>
          <cell r="E899">
            <v>1099.5999999999999</v>
          </cell>
          <cell r="L899">
            <v>71.900000000000006</v>
          </cell>
          <cell r="M899">
            <v>27.2</v>
          </cell>
          <cell r="P899">
            <v>47.8</v>
          </cell>
          <cell r="Q899">
            <v>1246.5</v>
          </cell>
        </row>
        <row r="900">
          <cell r="D900" t="str">
            <v>NAS</v>
          </cell>
          <cell r="E900">
            <v>1065.5999999999999</v>
          </cell>
          <cell r="L900">
            <v>96.5</v>
          </cell>
          <cell r="M900">
            <v>133</v>
          </cell>
          <cell r="P900">
            <v>181.2</v>
          </cell>
          <cell r="Q900">
            <v>1476.3</v>
          </cell>
        </row>
        <row r="901">
          <cell r="D901" t="e">
            <v>#N/A</v>
          </cell>
          <cell r="E901">
            <v>7078.9</v>
          </cell>
          <cell r="L901">
            <v>252.1</v>
          </cell>
          <cell r="M901">
            <v>274.60000000000002</v>
          </cell>
          <cell r="P901">
            <v>804.9</v>
          </cell>
          <cell r="Q901">
            <v>8410.5</v>
          </cell>
        </row>
        <row r="902">
          <cell r="D902" t="str">
            <v>NPOESS</v>
          </cell>
          <cell r="E902">
            <v>5036.8999999999996</v>
          </cell>
          <cell r="L902">
            <v>772.7</v>
          </cell>
          <cell r="M902">
            <v>0</v>
          </cell>
          <cell r="P902">
            <v>0</v>
          </cell>
          <cell r="Q902">
            <v>5809.6</v>
          </cell>
        </row>
        <row r="903">
          <cell r="D903" t="str">
            <v>SBIRS</v>
          </cell>
          <cell r="E903">
            <v>9263.5</v>
          </cell>
          <cell r="L903">
            <v>706.9</v>
          </cell>
          <cell r="M903">
            <v>1514.3</v>
          </cell>
          <cell r="P903">
            <v>3630.9</v>
          </cell>
          <cell r="Q903">
            <v>15115.6</v>
          </cell>
        </row>
        <row r="904">
          <cell r="D904" t="str">
            <v>SBSS B10</v>
          </cell>
          <cell r="E904">
            <v>723.9</v>
          </cell>
          <cell r="L904">
            <v>123.9</v>
          </cell>
          <cell r="M904">
            <v>29.9</v>
          </cell>
          <cell r="P904">
            <v>4</v>
          </cell>
          <cell r="Q904">
            <v>881.7</v>
          </cell>
        </row>
        <row r="905">
          <cell r="D905" t="str">
            <v>WGS</v>
          </cell>
          <cell r="E905">
            <v>1812.7</v>
          </cell>
          <cell r="L905">
            <v>267.39999999999998</v>
          </cell>
          <cell r="M905">
            <v>595.29999999999995</v>
          </cell>
          <cell r="P905">
            <v>766.3</v>
          </cell>
          <cell r="Q905">
            <v>3441.7</v>
          </cell>
        </row>
        <row r="906">
          <cell r="D906" t="str">
            <v>Air Force Subtotal</v>
          </cell>
          <cell r="E906">
            <v>209453.3</v>
          </cell>
          <cell r="L906">
            <v>12756.1</v>
          </cell>
          <cell r="M906">
            <v>9460.2999999999993</v>
          </cell>
          <cell r="P906">
            <v>51671</v>
          </cell>
          <cell r="Q906">
            <v>283340.7</v>
          </cell>
        </row>
        <row r="909">
          <cell r="D909" t="str">
            <v>BMDS</v>
          </cell>
          <cell r="E909">
            <v>63902.3</v>
          </cell>
          <cell r="L909">
            <v>7890.9</v>
          </cell>
          <cell r="M909">
            <v>8416.2999999999993</v>
          </cell>
          <cell r="P909">
            <v>36494.400000000001</v>
          </cell>
          <cell r="Q909">
            <v>116703.9</v>
          </cell>
        </row>
        <row r="910">
          <cell r="D910" t="str">
            <v>CHEM DEMIL-ACWA</v>
          </cell>
          <cell r="E910">
            <v>2252.1999999999998</v>
          </cell>
          <cell r="L910">
            <v>550.20000000000005</v>
          </cell>
          <cell r="M910">
            <v>510.9</v>
          </cell>
          <cell r="P910">
            <v>5039</v>
          </cell>
          <cell r="Q910">
            <v>8352.2999999999993</v>
          </cell>
        </row>
        <row r="911">
          <cell r="D911" t="str">
            <v>CHEM DEMIL-CMA</v>
          </cell>
          <cell r="E911">
            <v>18110.400000000001</v>
          </cell>
          <cell r="L911">
            <v>1162.0999999999999</v>
          </cell>
          <cell r="M911">
            <v>1081.4000000000001</v>
          </cell>
          <cell r="P911">
            <v>5400.5</v>
          </cell>
          <cell r="Q911">
            <v>25754.400000000001</v>
          </cell>
        </row>
        <row r="912">
          <cell r="D912" t="str">
            <v>F-35</v>
          </cell>
          <cell r="E912">
            <v>44663.1</v>
          </cell>
          <cell r="L912">
            <v>11406.1</v>
          </cell>
          <cell r="M912">
            <v>11902.5</v>
          </cell>
          <cell r="P912">
            <v>260281.2</v>
          </cell>
          <cell r="Q912">
            <v>328252.90000000002</v>
          </cell>
        </row>
        <row r="913">
          <cell r="D913" t="str">
            <v>JCA</v>
          </cell>
          <cell r="E913">
            <v>555.4</v>
          </cell>
          <cell r="L913">
            <v>327.39999999999998</v>
          </cell>
          <cell r="M913">
            <v>377.6</v>
          </cell>
          <cell r="P913">
            <v>750.1</v>
          </cell>
          <cell r="Q913">
            <v>2010.5</v>
          </cell>
        </row>
        <row r="914">
          <cell r="D914" t="str">
            <v>JTRS GMR</v>
          </cell>
          <cell r="E914">
            <v>1283</v>
          </cell>
          <cell r="L914">
            <v>202.7</v>
          </cell>
          <cell r="M914">
            <v>251.8</v>
          </cell>
          <cell r="P914">
            <v>17393.2</v>
          </cell>
          <cell r="Q914">
            <v>19130.7</v>
          </cell>
        </row>
        <row r="915">
          <cell r="D915" t="str">
            <v>JTRS HMS</v>
          </cell>
          <cell r="E915">
            <v>653.1</v>
          </cell>
          <cell r="L915">
            <v>182.9</v>
          </cell>
          <cell r="M915">
            <v>244.1</v>
          </cell>
          <cell r="P915">
            <v>4160.3</v>
          </cell>
          <cell r="Q915">
            <v>5240.3999999999996</v>
          </cell>
        </row>
        <row r="916">
          <cell r="D916" t="str">
            <v>JTRS NED</v>
          </cell>
          <cell r="E916">
            <v>1300.4000000000001</v>
          </cell>
          <cell r="L916">
            <v>201.1</v>
          </cell>
          <cell r="M916">
            <v>117.6</v>
          </cell>
          <cell r="P916">
            <v>319.89999999999998</v>
          </cell>
          <cell r="Q916">
            <v>1939</v>
          </cell>
        </row>
        <row r="917">
          <cell r="D917" t="str">
            <v>MIDS JTRS</v>
          </cell>
          <cell r="E917">
            <v>2269.4</v>
          </cell>
          <cell r="L917">
            <v>78.900000000000006</v>
          </cell>
          <cell r="M917">
            <v>76.5</v>
          </cell>
          <cell r="P917">
            <v>194.5</v>
          </cell>
          <cell r="Q917">
            <v>2619.3000000000002</v>
          </cell>
        </row>
        <row r="918">
          <cell r="D918" t="str">
            <v>DoD Subtotal</v>
          </cell>
          <cell r="E918">
            <v>134989.29999999999</v>
          </cell>
          <cell r="L918">
            <v>22002.3</v>
          </cell>
          <cell r="M918">
            <v>22978.7</v>
          </cell>
          <cell r="P918">
            <v>330033.09999999998</v>
          </cell>
          <cell r="Q918">
            <v>510003.4</v>
          </cell>
        </row>
        <row r="919">
          <cell r="D919" t="str">
            <v>Grand Total</v>
          </cell>
          <cell r="E919">
            <v>774373.9</v>
          </cell>
          <cell r="L919">
            <v>77898.5</v>
          </cell>
          <cell r="M919">
            <v>72530.2</v>
          </cell>
          <cell r="P919">
            <v>691366.7</v>
          </cell>
          <cell r="Q919">
            <v>1616169.3</v>
          </cell>
        </row>
      </sheetData>
      <sheetData sheetId="13">
        <row r="2">
          <cell r="A2" t="str">
            <v>Table 5-6: DOD DEFLATORS – BUDGET AUTHORITY BY TITLE</v>
          </cell>
          <cell r="V2">
            <v>8</v>
          </cell>
          <cell r="W2" t="e">
            <v>#REF!</v>
          </cell>
        </row>
        <row r="3">
          <cell r="B3" t="str">
            <v>BA</v>
          </cell>
          <cell r="C3" t="str">
            <v>BA</v>
          </cell>
          <cell r="D3" t="str">
            <v>BA</v>
          </cell>
          <cell r="E3" t="str">
            <v>BA</v>
          </cell>
          <cell r="F3" t="str">
            <v>BA</v>
          </cell>
          <cell r="G3" t="str">
            <v>BA</v>
          </cell>
          <cell r="H3" t="str">
            <v>BA</v>
          </cell>
          <cell r="I3" t="str">
            <v>BA</v>
          </cell>
          <cell r="J3" t="str">
            <v>BA</v>
          </cell>
          <cell r="K3" t="str">
            <v>BA</v>
          </cell>
          <cell r="L3" t="str">
            <v>BA</v>
          </cell>
          <cell r="M3" t="str">
            <v>BA</v>
          </cell>
          <cell r="N3" t="str">
            <v>BA</v>
          </cell>
          <cell r="O3" t="str">
            <v>BA</v>
          </cell>
          <cell r="Q3" t="str">
            <v>TOA</v>
          </cell>
          <cell r="R3" t="str">
            <v>TOA</v>
          </cell>
          <cell r="S3" t="str">
            <v>TOA</v>
          </cell>
          <cell r="T3" t="str">
            <v>TOA</v>
          </cell>
          <cell r="U3" t="str">
            <v>TOA</v>
          </cell>
          <cell r="V3" t="str">
            <v>TOA</v>
          </cell>
          <cell r="W3" t="str">
            <v>TOA</v>
          </cell>
          <cell r="X3" t="str">
            <v>TOA</v>
          </cell>
          <cell r="Y3" t="str">
            <v>TOA</v>
          </cell>
          <cell r="Z3" t="str">
            <v>TOA</v>
          </cell>
          <cell r="AA3" t="str">
            <v>TOA</v>
          </cell>
          <cell r="AB3" t="str">
            <v>TOA</v>
          </cell>
          <cell r="AC3" t="str">
            <v>TOA</v>
          </cell>
          <cell r="AD3" t="str">
            <v>TOA</v>
          </cell>
        </row>
        <row r="4">
          <cell r="B4" t="str">
            <v>MILPERs</v>
          </cell>
          <cell r="C4" t="str">
            <v>O&amp;M</v>
          </cell>
          <cell r="D4" t="str">
            <v>O&amp;M exc DHP</v>
          </cell>
          <cell r="E4" t="str">
            <v>PROCUREMENT</v>
          </cell>
          <cell r="F4" t="str">
            <v>RDT&amp;E</v>
          </cell>
          <cell r="G4" t="str">
            <v>MILCON</v>
          </cell>
          <cell r="H4" t="str">
            <v>FMLY HSNG</v>
          </cell>
          <cell r="I4" t="str">
            <v>REV &amp; MGT FNDS</v>
          </cell>
          <cell r="J4" t="str">
            <v>SPECIAL FOREIGN CURRENCY</v>
          </cell>
          <cell r="K4" t="str">
            <v>OFFSETG RECEIPT</v>
          </cell>
          <cell r="L4" t="str">
            <v>TRUST FUNDS</v>
          </cell>
          <cell r="M4" t="str">
            <v>INTERFUND TRANS</v>
          </cell>
          <cell r="N4" t="str">
            <v>GRAND TOTAL excl DHP</v>
          </cell>
          <cell r="O4" t="str">
            <v>GRAND TOTAL</v>
          </cell>
          <cell r="Q4" t="str">
            <v>MILPERs</v>
          </cell>
          <cell r="R4" t="str">
            <v>O&amp;M</v>
          </cell>
          <cell r="S4" t="str">
            <v>O&amp;M exc DHP</v>
          </cell>
          <cell r="T4" t="str">
            <v>PROCUREMENT</v>
          </cell>
          <cell r="U4" t="str">
            <v>RDT&amp;E</v>
          </cell>
          <cell r="V4" t="str">
            <v>MILCON</v>
          </cell>
          <cell r="W4" t="str">
            <v>FMLY HSNG</v>
          </cell>
          <cell r="X4" t="str">
            <v>REV &amp; MGT FNDS</v>
          </cell>
          <cell r="Y4" t="str">
            <v>SPECIAL FOREIGN CURRENCY</v>
          </cell>
          <cell r="Z4" t="str">
            <v>OFFSETG RECEIPT</v>
          </cell>
          <cell r="AA4" t="str">
            <v>TRUST FUNDS</v>
          </cell>
          <cell r="AB4" t="str">
            <v>INTER- FUND TRANS</v>
          </cell>
          <cell r="AC4" t="str">
            <v>GRAND TOTAL excl DHP</v>
          </cell>
          <cell r="AD4" t="str">
            <v>GRAND TOTAL</v>
          </cell>
        </row>
        <row r="5">
          <cell r="A5" t="str">
            <v>FISCAL YEAR</v>
          </cell>
          <cell r="B5" t="str">
            <v>MILPERs (BA)</v>
          </cell>
          <cell r="C5" t="str">
            <v>O&amp;M (BA)</v>
          </cell>
          <cell r="D5" t="str">
            <v>O&amp;M exc DHP (BA)</v>
          </cell>
          <cell r="E5" t="str">
            <v>PROCUREMENT (BA)</v>
          </cell>
          <cell r="F5" t="str">
            <v>RDT&amp;E (BA)</v>
          </cell>
          <cell r="G5" t="str">
            <v>MILCON (BA)</v>
          </cell>
          <cell r="H5" t="str">
            <v>FMLY HSNG (BA)</v>
          </cell>
          <cell r="I5" t="str">
            <v>REV &amp; MGT FNDS (BA)</v>
          </cell>
          <cell r="J5" t="str">
            <v>SPECIAL FOREIGN CURRENCY (BA)</v>
          </cell>
          <cell r="K5" t="str">
            <v>OFFSETG RECEIPT (BA)</v>
          </cell>
          <cell r="L5" t="str">
            <v>TRUST FUNDS (BA)</v>
          </cell>
          <cell r="M5" t="str">
            <v>INTERFUND TRANS (BA)</v>
          </cell>
          <cell r="N5" t="str">
            <v>GRAND TOTAL excl DHP (BA)</v>
          </cell>
          <cell r="O5" t="str">
            <v>GRAND TOTAL (BA)</v>
          </cell>
          <cell r="Q5" t="str">
            <v>MILPERs (TOA)</v>
          </cell>
          <cell r="R5" t="str">
            <v>O&amp;M (TOA)</v>
          </cell>
          <cell r="S5" t="str">
            <v>O&amp;M exc DHP (TOA)</v>
          </cell>
          <cell r="T5" t="str">
            <v>PROCUREMENT (TOA)</v>
          </cell>
          <cell r="U5" t="str">
            <v>RDT&amp;E (TOA)</v>
          </cell>
          <cell r="V5" t="str">
            <v>MILCON (TOA)</v>
          </cell>
          <cell r="W5" t="str">
            <v>FMLY HSNG (TOA)</v>
          </cell>
          <cell r="X5" t="str">
            <v>REV &amp; MGT FNDS (TOA)</v>
          </cell>
          <cell r="Y5" t="str">
            <v>SPECIAL FOREIGN CURRENCY (TOA)</v>
          </cell>
          <cell r="Z5" t="str">
            <v>OFFSETG RECEIPT (TOA)</v>
          </cell>
          <cell r="AA5" t="str">
            <v>TRUST FUNDS (TOA)</v>
          </cell>
          <cell r="AB5" t="str">
            <v>INTER- FUND TRANS (TOA)</v>
          </cell>
          <cell r="AC5" t="str">
            <v>GRAND TOTAL excl DHP (TOA)</v>
          </cell>
          <cell r="AD5" t="str">
            <v>GRAND TOTAL (TOA)</v>
          </cell>
          <cell r="AG5" t="str">
            <v>Fiscal Year</v>
          </cell>
          <cell r="AH5" t="str">
            <v xml:space="preserve"> PROCUREMENT (BA)</v>
          </cell>
          <cell r="AI5" t="str">
            <v xml:space="preserve"> GRAND TOTAL excl DHP (BA)</v>
          </cell>
          <cell r="AJ5" t="str">
            <v xml:space="preserve"> PROCUREMENT (TOA)</v>
          </cell>
          <cell r="AK5" t="str">
            <v xml:space="preserve"> GRAND TOTAL excl DHP (TOA)</v>
          </cell>
          <cell r="AL5" t="str">
            <v>Fiscal Year</v>
          </cell>
          <cell r="AM5" t="str">
            <v>GDP (in billions of dollars)</v>
          </cell>
          <cell r="AN5" t="str">
            <v>GDP Deflator 2012</v>
          </cell>
          <cell r="AO5" t="str">
            <v>GDP Deflator 2010</v>
          </cell>
          <cell r="AP5" t="str">
            <v>GDP Deflator 2005</v>
          </cell>
        </row>
        <row r="6">
          <cell r="A6">
            <v>1970</v>
          </cell>
          <cell r="B6">
            <v>12.59</v>
          </cell>
          <cell r="C6">
            <v>15.69</v>
          </cell>
          <cell r="D6">
            <v>15.69</v>
          </cell>
          <cell r="E6">
            <v>18.75</v>
          </cell>
          <cell r="F6">
            <v>19.47</v>
          </cell>
          <cell r="G6">
            <v>20.12</v>
          </cell>
          <cell r="H6">
            <v>18.87</v>
          </cell>
          <cell r="I6">
            <v>20.350000000000001</v>
          </cell>
          <cell r="J6">
            <v>20.350000000000001</v>
          </cell>
          <cell r="K6">
            <v>20.350000000000001</v>
          </cell>
          <cell r="L6">
            <v>20.350000000000001</v>
          </cell>
          <cell r="M6">
            <v>20.350000000000001</v>
          </cell>
          <cell r="N6">
            <v>15.47</v>
          </cell>
          <cell r="O6">
            <v>15.47</v>
          </cell>
          <cell r="Q6">
            <v>12.58</v>
          </cell>
          <cell r="R6">
            <v>15.69</v>
          </cell>
          <cell r="S6">
            <v>15.69</v>
          </cell>
          <cell r="T6">
            <v>18.850000000000001</v>
          </cell>
          <cell r="U6">
            <v>19.47</v>
          </cell>
          <cell r="V6">
            <v>20.2</v>
          </cell>
          <cell r="W6">
            <v>18.850000000000001</v>
          </cell>
          <cell r="Y6">
            <v>21.16</v>
          </cell>
          <cell r="AC6">
            <v>15.54</v>
          </cell>
          <cell r="AD6">
            <v>15.54</v>
          </cell>
          <cell r="AG6">
            <v>1970</v>
          </cell>
          <cell r="AH6">
            <v>0.1875</v>
          </cell>
          <cell r="AI6">
            <v>0.1547</v>
          </cell>
          <cell r="AJ6">
            <v>0.1885</v>
          </cell>
          <cell r="AK6">
            <v>0.15539999999999998</v>
          </cell>
          <cell r="AL6" t="str">
            <v>1970</v>
          </cell>
          <cell r="AM6">
            <v>1012700</v>
          </cell>
          <cell r="AN6">
            <v>0.20949999999999999</v>
          </cell>
          <cell r="AO6">
            <v>0.21524220364878222</v>
          </cell>
          <cell r="AP6">
            <v>0.23949999999999999</v>
          </cell>
        </row>
        <row r="7">
          <cell r="A7">
            <v>1971</v>
          </cell>
          <cell r="B7">
            <v>13.47</v>
          </cell>
          <cell r="C7">
            <v>16.670000000000002</v>
          </cell>
          <cell r="D7">
            <v>16.670000000000002</v>
          </cell>
          <cell r="E7">
            <v>19.809999999999999</v>
          </cell>
          <cell r="F7">
            <v>20.46</v>
          </cell>
          <cell r="G7">
            <v>21.77</v>
          </cell>
          <cell r="H7">
            <v>20.21</v>
          </cell>
          <cell r="J7">
            <v>21.27</v>
          </cell>
          <cell r="K7">
            <v>21.27</v>
          </cell>
          <cell r="L7">
            <v>21.27</v>
          </cell>
          <cell r="M7">
            <v>21.27</v>
          </cell>
          <cell r="N7">
            <v>16.420000000000002</v>
          </cell>
          <cell r="O7">
            <v>16.420000000000002</v>
          </cell>
          <cell r="Q7">
            <v>13.46</v>
          </cell>
          <cell r="R7">
            <v>16.670000000000002</v>
          </cell>
          <cell r="S7">
            <v>16.670000000000002</v>
          </cell>
          <cell r="T7">
            <v>19.95</v>
          </cell>
          <cell r="U7">
            <v>20.47</v>
          </cell>
          <cell r="V7">
            <v>21.68</v>
          </cell>
          <cell r="W7">
            <v>20.21</v>
          </cell>
          <cell r="Y7">
            <v>21.33</v>
          </cell>
          <cell r="AC7">
            <v>16.510000000000002</v>
          </cell>
          <cell r="AD7">
            <v>16.510000000000002</v>
          </cell>
          <cell r="AG7">
            <v>1971</v>
          </cell>
          <cell r="AH7">
            <v>0.1981</v>
          </cell>
          <cell r="AI7">
            <v>0.16420000000000001</v>
          </cell>
          <cell r="AJ7">
            <v>0.19949999999999998</v>
          </cell>
          <cell r="AK7">
            <v>0.16510000000000002</v>
          </cell>
          <cell r="AL7" t="str">
            <v>1971</v>
          </cell>
          <cell r="AM7">
            <v>1080000</v>
          </cell>
          <cell r="AN7">
            <v>0.22</v>
          </cell>
          <cell r="AO7">
            <v>0.22602678170216589</v>
          </cell>
          <cell r="AP7">
            <v>0.2515</v>
          </cell>
        </row>
        <row r="8">
          <cell r="A8">
            <v>1972</v>
          </cell>
          <cell r="B8">
            <v>15.28</v>
          </cell>
          <cell r="C8">
            <v>17.39</v>
          </cell>
          <cell r="D8">
            <v>17.39</v>
          </cell>
          <cell r="E8">
            <v>21.2</v>
          </cell>
          <cell r="F8">
            <v>21.54</v>
          </cell>
          <cell r="G8">
            <v>23.28</v>
          </cell>
          <cell r="H8">
            <v>21.19</v>
          </cell>
          <cell r="J8">
            <v>22.09</v>
          </cell>
          <cell r="K8">
            <v>22.09</v>
          </cell>
          <cell r="L8">
            <v>22.09</v>
          </cell>
          <cell r="M8">
            <v>22.09</v>
          </cell>
          <cell r="N8">
            <v>17.89</v>
          </cell>
          <cell r="O8">
            <v>17.89</v>
          </cell>
          <cell r="Q8">
            <v>15.31</v>
          </cell>
          <cell r="R8">
            <v>17.440000000000001</v>
          </cell>
          <cell r="S8">
            <v>17.440000000000001</v>
          </cell>
          <cell r="T8">
            <v>21.23</v>
          </cell>
          <cell r="U8">
            <v>21.55</v>
          </cell>
          <cell r="V8">
            <v>23.24</v>
          </cell>
          <cell r="W8">
            <v>21.17</v>
          </cell>
          <cell r="Y8">
            <v>22.14</v>
          </cell>
          <cell r="AC8">
            <v>17.95</v>
          </cell>
          <cell r="AD8">
            <v>17.95</v>
          </cell>
          <cell r="AG8">
            <v>1972</v>
          </cell>
          <cell r="AH8">
            <v>0.21199999999999999</v>
          </cell>
          <cell r="AI8">
            <v>0.1789</v>
          </cell>
          <cell r="AJ8">
            <v>0.21230000000000002</v>
          </cell>
          <cell r="AK8">
            <v>0.17949999999999999</v>
          </cell>
          <cell r="AL8" t="str">
            <v>1972</v>
          </cell>
          <cell r="AM8">
            <v>1176500</v>
          </cell>
          <cell r="AN8">
            <v>0.23039999999999999</v>
          </cell>
          <cell r="AO8">
            <v>0.23672148827177139</v>
          </cell>
          <cell r="AP8">
            <v>0.26340000000000002</v>
          </cell>
        </row>
        <row r="9">
          <cell r="A9">
            <v>1973</v>
          </cell>
          <cell r="B9">
            <v>17.03</v>
          </cell>
          <cell r="C9">
            <v>18.690000000000001</v>
          </cell>
          <cell r="D9">
            <v>18.690000000000001</v>
          </cell>
          <cell r="E9">
            <v>23.07</v>
          </cell>
          <cell r="F9">
            <v>22.93</v>
          </cell>
          <cell r="G9">
            <v>25.61</v>
          </cell>
          <cell r="H9">
            <v>22.1</v>
          </cell>
          <cell r="J9">
            <v>23.01</v>
          </cell>
          <cell r="K9">
            <v>23.01</v>
          </cell>
          <cell r="L9">
            <v>23.01</v>
          </cell>
          <cell r="M9">
            <v>23.01</v>
          </cell>
          <cell r="N9">
            <v>19.47</v>
          </cell>
          <cell r="O9">
            <v>19.47</v>
          </cell>
          <cell r="Q9">
            <v>17.010000000000002</v>
          </cell>
          <cell r="R9">
            <v>18.739999999999998</v>
          </cell>
          <cell r="S9">
            <v>18.739999999999998</v>
          </cell>
          <cell r="T9">
            <v>23.04</v>
          </cell>
          <cell r="U9">
            <v>22.94</v>
          </cell>
          <cell r="V9">
            <v>25.76</v>
          </cell>
          <cell r="W9">
            <v>22.11</v>
          </cell>
          <cell r="Y9">
            <v>23.27</v>
          </cell>
          <cell r="AC9">
            <v>19.52</v>
          </cell>
          <cell r="AD9">
            <v>19.52</v>
          </cell>
          <cell r="AG9">
            <v>1973</v>
          </cell>
          <cell r="AH9">
            <v>0.23070000000000002</v>
          </cell>
          <cell r="AI9">
            <v>0.19469999999999998</v>
          </cell>
          <cell r="AJ9">
            <v>0.23039999999999999</v>
          </cell>
          <cell r="AK9">
            <v>0.19519999999999998</v>
          </cell>
          <cell r="AL9" t="str">
            <v>1973</v>
          </cell>
          <cell r="AM9">
            <v>1310600</v>
          </cell>
          <cell r="AN9">
            <v>0.24050000000000002</v>
          </cell>
          <cell r="AO9">
            <v>0.24705670890626402</v>
          </cell>
          <cell r="AP9">
            <v>0.27489999999999998</v>
          </cell>
        </row>
        <row r="10">
          <cell r="A10">
            <v>1974</v>
          </cell>
          <cell r="B10">
            <v>18.149999999999999</v>
          </cell>
          <cell r="C10">
            <v>20.91</v>
          </cell>
          <cell r="D10">
            <v>20.91</v>
          </cell>
          <cell r="E10">
            <v>25.19</v>
          </cell>
          <cell r="F10">
            <v>25.2</v>
          </cell>
          <cell r="G10">
            <v>28.92</v>
          </cell>
          <cell r="H10">
            <v>23.59</v>
          </cell>
          <cell r="J10">
            <v>24.36</v>
          </cell>
          <cell r="K10">
            <v>24.36</v>
          </cell>
          <cell r="L10">
            <v>24.36</v>
          </cell>
          <cell r="M10">
            <v>24.36</v>
          </cell>
          <cell r="N10">
            <v>21.23</v>
          </cell>
          <cell r="O10">
            <v>21.23</v>
          </cell>
          <cell r="Q10">
            <v>18.14</v>
          </cell>
          <cell r="R10">
            <v>20.9</v>
          </cell>
          <cell r="S10">
            <v>20.9</v>
          </cell>
          <cell r="T10">
            <v>25.22</v>
          </cell>
          <cell r="U10">
            <v>25.2</v>
          </cell>
          <cell r="V10">
            <v>29.04</v>
          </cell>
          <cell r="W10">
            <v>23.6</v>
          </cell>
          <cell r="Y10">
            <v>24.65</v>
          </cell>
          <cell r="AC10">
            <v>21.27</v>
          </cell>
          <cell r="AD10">
            <v>21.27</v>
          </cell>
          <cell r="AG10">
            <v>1974</v>
          </cell>
          <cell r="AH10">
            <v>0.25190000000000001</v>
          </cell>
          <cell r="AI10">
            <v>0.21230000000000002</v>
          </cell>
          <cell r="AJ10">
            <v>0.25219999999999998</v>
          </cell>
          <cell r="AK10">
            <v>0.2127</v>
          </cell>
          <cell r="AL10" t="str">
            <v>1974</v>
          </cell>
          <cell r="AM10">
            <v>1438500</v>
          </cell>
          <cell r="AN10">
            <v>0.25769999999999998</v>
          </cell>
          <cell r="AO10">
            <v>0.26476139121056885</v>
          </cell>
          <cell r="AP10">
            <v>0.29459999999999997</v>
          </cell>
        </row>
        <row r="11">
          <cell r="A11">
            <v>1975</v>
          </cell>
          <cell r="B11">
            <v>19.489999999999998</v>
          </cell>
          <cell r="C11">
            <v>22.32</v>
          </cell>
          <cell r="D11">
            <v>22.32</v>
          </cell>
          <cell r="E11">
            <v>28.19</v>
          </cell>
          <cell r="F11">
            <v>27.77</v>
          </cell>
          <cell r="G11">
            <v>31.92</v>
          </cell>
          <cell r="H11">
            <v>26.67</v>
          </cell>
          <cell r="I11">
            <v>28.03</v>
          </cell>
          <cell r="J11">
            <v>28.03</v>
          </cell>
          <cell r="K11">
            <v>28.03</v>
          </cell>
          <cell r="L11">
            <v>28.03</v>
          </cell>
          <cell r="M11">
            <v>28.03</v>
          </cell>
          <cell r="N11">
            <v>23.07</v>
          </cell>
          <cell r="O11">
            <v>23.07</v>
          </cell>
          <cell r="Q11">
            <v>19.47</v>
          </cell>
          <cell r="R11">
            <v>22.33</v>
          </cell>
          <cell r="S11">
            <v>22.33</v>
          </cell>
          <cell r="T11">
            <v>28.21</v>
          </cell>
          <cell r="U11">
            <v>27.78</v>
          </cell>
          <cell r="V11">
            <v>31.89</v>
          </cell>
          <cell r="W11">
            <v>26.6</v>
          </cell>
          <cell r="Y11">
            <v>28.03</v>
          </cell>
          <cell r="AC11">
            <v>23.09</v>
          </cell>
          <cell r="AD11">
            <v>23.09</v>
          </cell>
          <cell r="AG11">
            <v>1975</v>
          </cell>
          <cell r="AH11">
            <v>0.28190000000000004</v>
          </cell>
          <cell r="AI11">
            <v>0.23070000000000002</v>
          </cell>
          <cell r="AJ11">
            <v>0.28210000000000002</v>
          </cell>
          <cell r="AK11">
            <v>0.23089999999999999</v>
          </cell>
          <cell r="AL11" t="str">
            <v>1975</v>
          </cell>
          <cell r="AM11">
            <v>1560200</v>
          </cell>
          <cell r="AN11">
            <v>0.28470000000000001</v>
          </cell>
          <cell r="AO11">
            <v>0.29253167969803184</v>
          </cell>
          <cell r="AP11">
            <v>0.32550000000000001</v>
          </cell>
        </row>
        <row r="12">
          <cell r="A12">
            <v>1976</v>
          </cell>
          <cell r="B12">
            <v>20.6</v>
          </cell>
          <cell r="C12">
            <v>24.74</v>
          </cell>
          <cell r="D12">
            <v>24.74</v>
          </cell>
          <cell r="E12">
            <v>31.33</v>
          </cell>
          <cell r="F12">
            <v>30.72</v>
          </cell>
          <cell r="G12">
            <v>34.79</v>
          </cell>
          <cell r="H12">
            <v>28.63</v>
          </cell>
          <cell r="I12">
            <v>30.13</v>
          </cell>
          <cell r="J12">
            <v>30.13</v>
          </cell>
          <cell r="K12">
            <v>30.13</v>
          </cell>
          <cell r="L12">
            <v>30.13</v>
          </cell>
          <cell r="M12">
            <v>30.13</v>
          </cell>
          <cell r="N12">
            <v>25.42</v>
          </cell>
          <cell r="O12">
            <v>25.42</v>
          </cell>
          <cell r="Q12">
            <v>20.6</v>
          </cell>
          <cell r="R12">
            <v>24.75</v>
          </cell>
          <cell r="S12">
            <v>24.75</v>
          </cell>
          <cell r="T12">
            <v>31.35</v>
          </cell>
          <cell r="U12">
            <v>30.74</v>
          </cell>
          <cell r="V12">
            <v>34.68</v>
          </cell>
          <cell r="W12">
            <v>28.67</v>
          </cell>
          <cell r="X12">
            <v>30.13</v>
          </cell>
          <cell r="Y12">
            <v>30.13</v>
          </cell>
          <cell r="AC12">
            <v>25.43</v>
          </cell>
          <cell r="AD12">
            <v>25.43</v>
          </cell>
          <cell r="AG12">
            <v>1976</v>
          </cell>
          <cell r="AH12">
            <v>0.31329999999999997</v>
          </cell>
          <cell r="AI12">
            <v>0.25420000000000004</v>
          </cell>
          <cell r="AJ12">
            <v>0.3135</v>
          </cell>
          <cell r="AK12">
            <v>0.25429999999999997</v>
          </cell>
          <cell r="AL12" t="str">
            <v>1976</v>
          </cell>
          <cell r="AM12">
            <v>1738100</v>
          </cell>
          <cell r="AN12">
            <v>0.30519999999999997</v>
          </cell>
          <cell r="AO12">
            <v>0.31356160690212992</v>
          </cell>
          <cell r="AP12">
            <v>0.34889999999999999</v>
          </cell>
        </row>
        <row r="13">
          <cell r="A13">
            <v>1977</v>
          </cell>
          <cell r="B13">
            <v>21.74</v>
          </cell>
          <cell r="C13">
            <v>26.71</v>
          </cell>
          <cell r="D13">
            <v>26.71</v>
          </cell>
          <cell r="E13">
            <v>32.46</v>
          </cell>
          <cell r="F13">
            <v>32.46</v>
          </cell>
          <cell r="G13">
            <v>35.5</v>
          </cell>
          <cell r="H13">
            <v>31.08</v>
          </cell>
          <cell r="I13">
            <v>32.6</v>
          </cell>
          <cell r="J13">
            <v>32.6</v>
          </cell>
          <cell r="K13">
            <v>32.6</v>
          </cell>
          <cell r="L13">
            <v>32.6</v>
          </cell>
          <cell r="M13">
            <v>32.6</v>
          </cell>
          <cell r="N13">
            <v>27.23</v>
          </cell>
          <cell r="O13">
            <v>27.23</v>
          </cell>
          <cell r="Q13">
            <v>21.69</v>
          </cell>
          <cell r="R13">
            <v>26.69</v>
          </cell>
          <cell r="S13">
            <v>26.69</v>
          </cell>
          <cell r="T13">
            <v>32.47</v>
          </cell>
          <cell r="U13">
            <v>32.479999999999997</v>
          </cell>
          <cell r="V13">
            <v>35.520000000000003</v>
          </cell>
          <cell r="W13">
            <v>31.13</v>
          </cell>
          <cell r="X13">
            <v>32.6</v>
          </cell>
          <cell r="Y13">
            <v>32.6</v>
          </cell>
          <cell r="AC13">
            <v>27.2</v>
          </cell>
          <cell r="AD13">
            <v>27.2</v>
          </cell>
          <cell r="AG13">
            <v>1977</v>
          </cell>
          <cell r="AH13">
            <v>0.3246</v>
          </cell>
          <cell r="AI13">
            <v>0.27229999999999999</v>
          </cell>
          <cell r="AJ13">
            <v>0.32469999999999999</v>
          </cell>
          <cell r="AK13">
            <v>0.27200000000000002</v>
          </cell>
          <cell r="AL13" t="str">
            <v>1977</v>
          </cell>
          <cell r="AM13">
            <v>1973500</v>
          </cell>
          <cell r="AN13">
            <v>0.32799999999999996</v>
          </cell>
          <cell r="AO13">
            <v>0.33701806416823943</v>
          </cell>
          <cell r="AP13">
            <v>0.375</v>
          </cell>
        </row>
        <row r="14">
          <cell r="A14">
            <v>1978</v>
          </cell>
          <cell r="B14">
            <v>23.18</v>
          </cell>
          <cell r="C14">
            <v>29.06</v>
          </cell>
          <cell r="D14">
            <v>29.06</v>
          </cell>
          <cell r="E14">
            <v>35.65</v>
          </cell>
          <cell r="F14">
            <v>35.270000000000003</v>
          </cell>
          <cell r="G14">
            <v>38.24</v>
          </cell>
          <cell r="H14">
            <v>33.26</v>
          </cell>
          <cell r="I14">
            <v>34.92</v>
          </cell>
          <cell r="J14">
            <v>34.92</v>
          </cell>
          <cell r="K14">
            <v>34.92</v>
          </cell>
          <cell r="L14">
            <v>34.92</v>
          </cell>
          <cell r="M14">
            <v>34.92</v>
          </cell>
          <cell r="N14">
            <v>29.48</v>
          </cell>
          <cell r="O14">
            <v>29.48</v>
          </cell>
          <cell r="Q14">
            <v>23.16</v>
          </cell>
          <cell r="R14">
            <v>29.09</v>
          </cell>
          <cell r="S14">
            <v>29.09</v>
          </cell>
          <cell r="T14">
            <v>35.65</v>
          </cell>
          <cell r="U14">
            <v>35.29</v>
          </cell>
          <cell r="V14">
            <v>38.479999999999997</v>
          </cell>
          <cell r="W14">
            <v>33.31</v>
          </cell>
          <cell r="X14">
            <v>34.92</v>
          </cell>
          <cell r="Y14">
            <v>34.92</v>
          </cell>
          <cell r="AC14">
            <v>29.52</v>
          </cell>
          <cell r="AD14">
            <v>29.52</v>
          </cell>
          <cell r="AG14">
            <v>1978</v>
          </cell>
          <cell r="AH14">
            <v>0.35649999999999998</v>
          </cell>
          <cell r="AI14">
            <v>0.29480000000000001</v>
          </cell>
          <cell r="AJ14">
            <v>0.35649999999999998</v>
          </cell>
          <cell r="AK14">
            <v>0.29520000000000002</v>
          </cell>
          <cell r="AL14" t="str">
            <v>1978</v>
          </cell>
          <cell r="AM14">
            <v>2217500</v>
          </cell>
          <cell r="AN14">
            <v>0.35020000000000001</v>
          </cell>
          <cell r="AO14">
            <v>0.35975554956412331</v>
          </cell>
          <cell r="AP14">
            <v>0.40029999999999999</v>
          </cell>
        </row>
        <row r="15">
          <cell r="A15">
            <v>1979</v>
          </cell>
          <cell r="B15">
            <v>24.6</v>
          </cell>
          <cell r="C15">
            <v>30.73</v>
          </cell>
          <cell r="D15">
            <v>30.73</v>
          </cell>
          <cell r="E15">
            <v>39.68</v>
          </cell>
          <cell r="F15">
            <v>39.4</v>
          </cell>
          <cell r="G15">
            <v>42.15</v>
          </cell>
          <cell r="H15">
            <v>37.869999999999997</v>
          </cell>
          <cell r="I15">
            <v>38.1</v>
          </cell>
          <cell r="J15">
            <v>38.1</v>
          </cell>
          <cell r="K15">
            <v>38.1</v>
          </cell>
          <cell r="L15">
            <v>38.1</v>
          </cell>
          <cell r="M15">
            <v>38.1</v>
          </cell>
          <cell r="N15">
            <v>31.85</v>
          </cell>
          <cell r="O15">
            <v>31.85</v>
          </cell>
          <cell r="Q15">
            <v>24.59</v>
          </cell>
          <cell r="R15">
            <v>30.69</v>
          </cell>
          <cell r="S15">
            <v>30.69</v>
          </cell>
          <cell r="T15">
            <v>39.659999999999997</v>
          </cell>
          <cell r="U15">
            <v>39.4</v>
          </cell>
          <cell r="V15">
            <v>42.35</v>
          </cell>
          <cell r="W15">
            <v>37.869999999999997</v>
          </cell>
          <cell r="X15">
            <v>38.1</v>
          </cell>
          <cell r="Y15">
            <v>38.1</v>
          </cell>
          <cell r="AC15">
            <v>31.84</v>
          </cell>
          <cell r="AD15">
            <v>31.84</v>
          </cell>
          <cell r="AG15">
            <v>1979</v>
          </cell>
          <cell r="AH15">
            <v>0.39679999999999999</v>
          </cell>
          <cell r="AI15">
            <v>0.31850000000000001</v>
          </cell>
          <cell r="AJ15">
            <v>0.39659999999999995</v>
          </cell>
          <cell r="AK15">
            <v>0.31840000000000002</v>
          </cell>
          <cell r="AL15" t="str">
            <v>1979</v>
          </cell>
          <cell r="AM15">
            <v>2501400</v>
          </cell>
          <cell r="AN15">
            <v>0.37829999999999997</v>
          </cell>
          <cell r="AO15">
            <v>0.38869416734070278</v>
          </cell>
          <cell r="AP15">
            <v>0.4325</v>
          </cell>
        </row>
        <row r="16">
          <cell r="A16">
            <v>1980</v>
          </cell>
          <cell r="B16">
            <v>26.52</v>
          </cell>
          <cell r="C16">
            <v>36.1</v>
          </cell>
          <cell r="D16">
            <v>36.1</v>
          </cell>
          <cell r="E16">
            <v>43.82</v>
          </cell>
          <cell r="F16">
            <v>43.08</v>
          </cell>
          <cell r="G16">
            <v>45.18</v>
          </cell>
          <cell r="H16">
            <v>43.59</v>
          </cell>
          <cell r="I16">
            <v>42.13</v>
          </cell>
          <cell r="J16">
            <v>42.13</v>
          </cell>
          <cell r="K16">
            <v>42.13</v>
          </cell>
          <cell r="L16">
            <v>42.13</v>
          </cell>
          <cell r="M16">
            <v>42.13</v>
          </cell>
          <cell r="N16">
            <v>35.69</v>
          </cell>
          <cell r="O16">
            <v>35.69</v>
          </cell>
          <cell r="Q16">
            <v>26.53</v>
          </cell>
          <cell r="R16">
            <v>36.130000000000003</v>
          </cell>
          <cell r="S16">
            <v>36.130000000000003</v>
          </cell>
          <cell r="T16">
            <v>43.8</v>
          </cell>
          <cell r="U16">
            <v>43.08</v>
          </cell>
          <cell r="V16">
            <v>45.14</v>
          </cell>
          <cell r="W16">
            <v>43.57</v>
          </cell>
          <cell r="Y16">
            <v>42.15</v>
          </cell>
          <cell r="AC16">
            <v>35.659999999999997</v>
          </cell>
          <cell r="AD16">
            <v>35.659999999999997</v>
          </cell>
          <cell r="AG16">
            <v>1980</v>
          </cell>
          <cell r="AH16">
            <v>0.43819999999999998</v>
          </cell>
          <cell r="AI16">
            <v>0.3569</v>
          </cell>
          <cell r="AJ16">
            <v>0.43799999999999994</v>
          </cell>
          <cell r="AK16">
            <v>0.35659999999999997</v>
          </cell>
          <cell r="AL16" t="str">
            <v>1980</v>
          </cell>
          <cell r="AM16">
            <v>2724200</v>
          </cell>
          <cell r="AN16">
            <v>0.41170000000000001</v>
          </cell>
          <cell r="AO16">
            <v>0.42302507414397411</v>
          </cell>
          <cell r="AP16">
            <v>0.47070000000000001</v>
          </cell>
        </row>
        <row r="17">
          <cell r="A17">
            <v>1981</v>
          </cell>
          <cell r="B17">
            <v>30.45</v>
          </cell>
          <cell r="C17">
            <v>40.29</v>
          </cell>
          <cell r="D17">
            <v>40.29</v>
          </cell>
          <cell r="E17">
            <v>47.79</v>
          </cell>
          <cell r="F17">
            <v>46.89</v>
          </cell>
          <cell r="G17">
            <v>48.34</v>
          </cell>
          <cell r="H17">
            <v>47.61</v>
          </cell>
          <cell r="I17">
            <v>46.6</v>
          </cell>
          <cell r="J17">
            <v>46.6</v>
          </cell>
          <cell r="K17">
            <v>46.6</v>
          </cell>
          <cell r="L17">
            <v>46.6</v>
          </cell>
          <cell r="M17">
            <v>46.6</v>
          </cell>
          <cell r="N17">
            <v>40.159999999999997</v>
          </cell>
          <cell r="O17">
            <v>40.159999999999997</v>
          </cell>
          <cell r="Q17">
            <v>30.4</v>
          </cell>
          <cell r="R17">
            <v>40.25</v>
          </cell>
          <cell r="S17">
            <v>40.25</v>
          </cell>
          <cell r="T17">
            <v>47.77</v>
          </cell>
          <cell r="U17">
            <v>46.89</v>
          </cell>
          <cell r="V17">
            <v>48.33</v>
          </cell>
          <cell r="W17">
            <v>47.66</v>
          </cell>
          <cell r="X17">
            <v>46.6</v>
          </cell>
          <cell r="Y17">
            <v>46.61</v>
          </cell>
          <cell r="AC17">
            <v>40.07</v>
          </cell>
          <cell r="AD17">
            <v>40.07</v>
          </cell>
          <cell r="AG17">
            <v>1981</v>
          </cell>
          <cell r="AH17">
            <v>0.47789999999999999</v>
          </cell>
          <cell r="AI17">
            <v>0.40159999999999996</v>
          </cell>
          <cell r="AJ17">
            <v>0.47770000000000001</v>
          </cell>
          <cell r="AK17">
            <v>0.4007</v>
          </cell>
          <cell r="AL17" t="str">
            <v>1981</v>
          </cell>
          <cell r="AM17">
            <v>3057000</v>
          </cell>
          <cell r="AN17">
            <v>0.45229999999999998</v>
          </cell>
          <cell r="AO17">
            <v>0.46472544261705762</v>
          </cell>
          <cell r="AP17">
            <v>0.5171</v>
          </cell>
        </row>
        <row r="18">
          <cell r="A18">
            <v>1982</v>
          </cell>
          <cell r="B18">
            <v>34.83</v>
          </cell>
          <cell r="C18">
            <v>42.45</v>
          </cell>
          <cell r="D18">
            <v>42.45</v>
          </cell>
          <cell r="E18">
            <v>51.04</v>
          </cell>
          <cell r="F18">
            <v>49.51</v>
          </cell>
          <cell r="G18">
            <v>50.46</v>
          </cell>
          <cell r="H18">
            <v>51.11</v>
          </cell>
          <cell r="I18">
            <v>50.14</v>
          </cell>
          <cell r="J18">
            <v>50.14</v>
          </cell>
          <cell r="K18">
            <v>50.14</v>
          </cell>
          <cell r="L18">
            <v>50.14</v>
          </cell>
          <cell r="M18">
            <v>50.14</v>
          </cell>
          <cell r="N18">
            <v>43.74</v>
          </cell>
          <cell r="O18">
            <v>43.74</v>
          </cell>
          <cell r="Q18">
            <v>34.82</v>
          </cell>
          <cell r="R18">
            <v>42.39</v>
          </cell>
          <cell r="S18">
            <v>42.39</v>
          </cell>
          <cell r="T18">
            <v>51.03</v>
          </cell>
          <cell r="U18">
            <v>49.52</v>
          </cell>
          <cell r="V18">
            <v>50.45</v>
          </cell>
          <cell r="W18">
            <v>51.16</v>
          </cell>
          <cell r="X18">
            <v>50.14</v>
          </cell>
          <cell r="Y18">
            <v>50.15</v>
          </cell>
          <cell r="AC18">
            <v>43.65</v>
          </cell>
          <cell r="AD18">
            <v>43.65</v>
          </cell>
          <cell r="AG18">
            <v>1982</v>
          </cell>
          <cell r="AH18">
            <v>0.51039999999999996</v>
          </cell>
          <cell r="AI18">
            <v>0.43740000000000001</v>
          </cell>
          <cell r="AJ18">
            <v>0.51029999999999998</v>
          </cell>
          <cell r="AK18">
            <v>0.4365</v>
          </cell>
          <cell r="AL18" t="str">
            <v>1982</v>
          </cell>
          <cell r="AM18">
            <v>3223700</v>
          </cell>
          <cell r="AN18">
            <v>0.48330000000000001</v>
          </cell>
          <cell r="AO18">
            <v>0.49653994787453937</v>
          </cell>
          <cell r="AP18">
            <v>0.55249999999999999</v>
          </cell>
        </row>
        <row r="19">
          <cell r="A19">
            <v>1983</v>
          </cell>
          <cell r="B19">
            <v>36.47</v>
          </cell>
          <cell r="C19">
            <v>43.73</v>
          </cell>
          <cell r="D19">
            <v>43.73</v>
          </cell>
          <cell r="E19">
            <v>53.61</v>
          </cell>
          <cell r="F19">
            <v>51.49</v>
          </cell>
          <cell r="G19">
            <v>51.72</v>
          </cell>
          <cell r="H19">
            <v>51.99</v>
          </cell>
          <cell r="I19">
            <v>52.15</v>
          </cell>
          <cell r="J19">
            <v>52.15</v>
          </cell>
          <cell r="K19">
            <v>52.15</v>
          </cell>
          <cell r="L19">
            <v>52.15</v>
          </cell>
          <cell r="M19">
            <v>52.15</v>
          </cell>
          <cell r="N19">
            <v>45.91</v>
          </cell>
          <cell r="O19">
            <v>45.91</v>
          </cell>
          <cell r="Q19">
            <v>36.46</v>
          </cell>
          <cell r="R19">
            <v>43.76</v>
          </cell>
          <cell r="S19">
            <v>43.76</v>
          </cell>
          <cell r="T19">
            <v>53.59</v>
          </cell>
          <cell r="U19">
            <v>51.49</v>
          </cell>
          <cell r="V19">
            <v>51.58</v>
          </cell>
          <cell r="W19">
            <v>51.93</v>
          </cell>
          <cell r="X19">
            <v>52.15</v>
          </cell>
          <cell r="Y19">
            <v>52.16</v>
          </cell>
          <cell r="AC19">
            <v>45.8</v>
          </cell>
          <cell r="AD19">
            <v>45.8</v>
          </cell>
          <cell r="AG19">
            <v>1983</v>
          </cell>
          <cell r="AH19">
            <v>0.53610000000000002</v>
          </cell>
          <cell r="AI19">
            <v>0.45909999999999995</v>
          </cell>
          <cell r="AJ19">
            <v>0.53590000000000004</v>
          </cell>
          <cell r="AK19">
            <v>0.45799999999999996</v>
          </cell>
          <cell r="AL19" t="str">
            <v>1983</v>
          </cell>
          <cell r="AM19">
            <v>3440700</v>
          </cell>
          <cell r="AN19">
            <v>0.50450000000000006</v>
          </cell>
          <cell r="AO19">
            <v>0.51837871843264127</v>
          </cell>
          <cell r="AP19">
            <v>0.57679999999999998</v>
          </cell>
        </row>
        <row r="20">
          <cell r="A20">
            <v>1984</v>
          </cell>
          <cell r="B20">
            <v>38.200000000000003</v>
          </cell>
          <cell r="C20">
            <v>44.64</v>
          </cell>
          <cell r="D20">
            <v>44.64</v>
          </cell>
          <cell r="E20">
            <v>55.44</v>
          </cell>
          <cell r="F20">
            <v>53.4</v>
          </cell>
          <cell r="G20">
            <v>53.3</v>
          </cell>
          <cell r="H20">
            <v>53.34</v>
          </cell>
          <cell r="I20">
            <v>54.13</v>
          </cell>
          <cell r="J20">
            <v>54.13</v>
          </cell>
          <cell r="K20">
            <v>54.13</v>
          </cell>
          <cell r="L20">
            <v>54.13</v>
          </cell>
          <cell r="M20">
            <v>54.13</v>
          </cell>
          <cell r="N20">
            <v>47.55</v>
          </cell>
          <cell r="O20">
            <v>47.55</v>
          </cell>
          <cell r="Q20">
            <v>38.15</v>
          </cell>
          <cell r="R20">
            <v>44.58</v>
          </cell>
          <cell r="S20">
            <v>44.58</v>
          </cell>
          <cell r="T20">
            <v>55.44</v>
          </cell>
          <cell r="U20">
            <v>53.4</v>
          </cell>
          <cell r="V20">
            <v>53.37</v>
          </cell>
          <cell r="W20">
            <v>53.31</v>
          </cell>
          <cell r="X20">
            <v>54.13</v>
          </cell>
          <cell r="Y20">
            <v>54.14</v>
          </cell>
          <cell r="AC20">
            <v>47.47</v>
          </cell>
          <cell r="AD20">
            <v>47.47</v>
          </cell>
          <cell r="AG20">
            <v>1984</v>
          </cell>
          <cell r="AH20">
            <v>0.5544</v>
          </cell>
          <cell r="AI20">
            <v>0.47549999999999998</v>
          </cell>
          <cell r="AJ20">
            <v>0.5544</v>
          </cell>
          <cell r="AK20">
            <v>0.47470000000000001</v>
          </cell>
          <cell r="AL20" t="str">
            <v>1984</v>
          </cell>
          <cell r="AM20">
            <v>3844400</v>
          </cell>
          <cell r="AN20">
            <v>0.5232</v>
          </cell>
          <cell r="AO20">
            <v>0.5375213444773973</v>
          </cell>
          <cell r="AP20">
            <v>0.59809999999999997</v>
          </cell>
        </row>
        <row r="21">
          <cell r="A21">
            <v>1985</v>
          </cell>
          <cell r="B21">
            <v>42.12</v>
          </cell>
          <cell r="C21">
            <v>45.98</v>
          </cell>
          <cell r="D21">
            <v>45.98</v>
          </cell>
          <cell r="E21">
            <v>57.12</v>
          </cell>
          <cell r="F21">
            <v>55.12</v>
          </cell>
          <cell r="G21">
            <v>55.26</v>
          </cell>
          <cell r="H21">
            <v>55.06</v>
          </cell>
          <cell r="I21">
            <v>55.97</v>
          </cell>
          <cell r="J21">
            <v>55.97</v>
          </cell>
          <cell r="K21">
            <v>55.97</v>
          </cell>
          <cell r="L21">
            <v>55.97</v>
          </cell>
          <cell r="M21">
            <v>55.97</v>
          </cell>
          <cell r="N21">
            <v>49.44</v>
          </cell>
          <cell r="O21">
            <v>49.44</v>
          </cell>
          <cell r="Q21">
            <v>42.17</v>
          </cell>
          <cell r="R21">
            <v>45.96</v>
          </cell>
          <cell r="S21">
            <v>45.96</v>
          </cell>
          <cell r="T21">
            <v>57.11</v>
          </cell>
          <cell r="U21">
            <v>55.09</v>
          </cell>
          <cell r="V21">
            <v>55.24</v>
          </cell>
          <cell r="W21">
            <v>55.02</v>
          </cell>
          <cell r="X21">
            <v>55.97</v>
          </cell>
          <cell r="Y21">
            <v>55.99</v>
          </cell>
          <cell r="AC21">
            <v>49.2</v>
          </cell>
          <cell r="AD21">
            <v>49.2</v>
          </cell>
          <cell r="AG21">
            <v>1985</v>
          </cell>
          <cell r="AH21">
            <v>0.57119999999999993</v>
          </cell>
          <cell r="AI21">
            <v>0.49439999999999995</v>
          </cell>
          <cell r="AJ21">
            <v>0.57109999999999994</v>
          </cell>
          <cell r="AK21">
            <v>0.49200000000000005</v>
          </cell>
          <cell r="AL21" t="str">
            <v>1985</v>
          </cell>
          <cell r="AM21">
            <v>4146300</v>
          </cell>
          <cell r="AN21">
            <v>0.54020000000000001</v>
          </cell>
          <cell r="AO21">
            <v>0.55495641233036763</v>
          </cell>
          <cell r="AP21">
            <v>0.61750000000000005</v>
          </cell>
        </row>
        <row r="22">
          <cell r="A22">
            <v>1986</v>
          </cell>
          <cell r="B22">
            <v>43.16</v>
          </cell>
          <cell r="C22">
            <v>46.09</v>
          </cell>
          <cell r="D22">
            <v>46.09</v>
          </cell>
          <cell r="E22">
            <v>58.89</v>
          </cell>
          <cell r="F22">
            <v>56.56</v>
          </cell>
          <cell r="G22">
            <v>56.79</v>
          </cell>
          <cell r="H22">
            <v>56.43</v>
          </cell>
          <cell r="I22">
            <v>57.54</v>
          </cell>
          <cell r="J22">
            <v>57.54</v>
          </cell>
          <cell r="K22">
            <v>57.54</v>
          </cell>
          <cell r="L22">
            <v>57.54</v>
          </cell>
          <cell r="M22">
            <v>57.54</v>
          </cell>
          <cell r="N22">
            <v>50.41</v>
          </cell>
          <cell r="O22">
            <v>50.41</v>
          </cell>
          <cell r="Q22">
            <v>43.76</v>
          </cell>
          <cell r="R22">
            <v>46.27</v>
          </cell>
          <cell r="S22">
            <v>46.27</v>
          </cell>
          <cell r="T22">
            <v>58.88</v>
          </cell>
          <cell r="U22">
            <v>56.56</v>
          </cell>
          <cell r="V22">
            <v>56.71</v>
          </cell>
          <cell r="W22">
            <v>56.36</v>
          </cell>
          <cell r="X22">
            <v>57.54</v>
          </cell>
          <cell r="Y22">
            <v>57.55</v>
          </cell>
          <cell r="AC22">
            <v>50.32</v>
          </cell>
          <cell r="AD22">
            <v>50.32</v>
          </cell>
          <cell r="AG22">
            <v>1986</v>
          </cell>
          <cell r="AH22">
            <v>0.58889999999999998</v>
          </cell>
          <cell r="AI22">
            <v>0.50409999999999999</v>
          </cell>
          <cell r="AJ22">
            <v>0.58879999999999999</v>
          </cell>
          <cell r="AK22">
            <v>0.50319999999999998</v>
          </cell>
          <cell r="AL22" t="str">
            <v>1986</v>
          </cell>
          <cell r="AM22">
            <v>4403900</v>
          </cell>
          <cell r="AN22">
            <v>0.55270000000000008</v>
          </cell>
          <cell r="AO22">
            <v>0.56780803451064976</v>
          </cell>
          <cell r="AP22">
            <v>0.63180000000000003</v>
          </cell>
        </row>
        <row r="23">
          <cell r="A23">
            <v>1987</v>
          </cell>
          <cell r="B23">
            <v>44.86</v>
          </cell>
          <cell r="C23">
            <v>47.9</v>
          </cell>
          <cell r="D23">
            <v>47.9</v>
          </cell>
          <cell r="E23">
            <v>60.86</v>
          </cell>
          <cell r="F23">
            <v>58.37</v>
          </cell>
          <cell r="G23">
            <v>58.89</v>
          </cell>
          <cell r="H23">
            <v>58.26</v>
          </cell>
          <cell r="I23">
            <v>59.09</v>
          </cell>
          <cell r="J23">
            <v>59.09</v>
          </cell>
          <cell r="K23">
            <v>59.09</v>
          </cell>
          <cell r="L23">
            <v>59.09</v>
          </cell>
          <cell r="M23">
            <v>59.09</v>
          </cell>
          <cell r="N23">
            <v>51.65</v>
          </cell>
          <cell r="O23">
            <v>51.65</v>
          </cell>
          <cell r="Q23">
            <v>44.93</v>
          </cell>
          <cell r="R23">
            <v>47.98</v>
          </cell>
          <cell r="S23">
            <v>47.98</v>
          </cell>
          <cell r="T23">
            <v>60.88</v>
          </cell>
          <cell r="U23">
            <v>58.38</v>
          </cell>
          <cell r="V23">
            <v>58.94</v>
          </cell>
          <cell r="W23">
            <v>58.28</v>
          </cell>
          <cell r="X23">
            <v>59.09</v>
          </cell>
          <cell r="Y23">
            <v>59.11</v>
          </cell>
          <cell r="AC23">
            <v>51.75</v>
          </cell>
          <cell r="AD23">
            <v>51.75</v>
          </cell>
          <cell r="AG23">
            <v>1987</v>
          </cell>
          <cell r="AH23">
            <v>0.60860000000000003</v>
          </cell>
          <cell r="AI23">
            <v>0.51649999999999996</v>
          </cell>
          <cell r="AJ23">
            <v>0.60880000000000001</v>
          </cell>
          <cell r="AK23">
            <v>0.51749999999999996</v>
          </cell>
          <cell r="AL23" t="str">
            <v>1987</v>
          </cell>
          <cell r="AM23">
            <v>4651400</v>
          </cell>
          <cell r="AN23">
            <v>0.56740000000000002</v>
          </cell>
          <cell r="AO23">
            <v>0.58290644378538681</v>
          </cell>
          <cell r="AP23">
            <v>0.64859999999999995</v>
          </cell>
        </row>
        <row r="24">
          <cell r="A24">
            <v>1988</v>
          </cell>
          <cell r="B24">
            <v>46.71</v>
          </cell>
          <cell r="C24">
            <v>49.57</v>
          </cell>
          <cell r="D24">
            <v>49.57</v>
          </cell>
          <cell r="E24">
            <v>63.26</v>
          </cell>
          <cell r="F24">
            <v>60.73</v>
          </cell>
          <cell r="G24">
            <v>61.66</v>
          </cell>
          <cell r="H24">
            <v>60.45</v>
          </cell>
          <cell r="I24">
            <v>60.86</v>
          </cell>
          <cell r="K24">
            <v>60.86</v>
          </cell>
          <cell r="L24">
            <v>60.86</v>
          </cell>
          <cell r="M24">
            <v>60.86</v>
          </cell>
          <cell r="N24">
            <v>53.54</v>
          </cell>
          <cell r="O24">
            <v>53.54</v>
          </cell>
          <cell r="Q24">
            <v>46.71</v>
          </cell>
          <cell r="R24">
            <v>49.7</v>
          </cell>
          <cell r="S24">
            <v>49.7</v>
          </cell>
          <cell r="T24">
            <v>63.26</v>
          </cell>
          <cell r="U24">
            <v>60.74</v>
          </cell>
          <cell r="V24">
            <v>61.73</v>
          </cell>
          <cell r="W24">
            <v>60.49</v>
          </cell>
          <cell r="X24">
            <v>60.86</v>
          </cell>
          <cell r="AC24">
            <v>53.65</v>
          </cell>
          <cell r="AD24">
            <v>53.65</v>
          </cell>
          <cell r="AG24">
            <v>1988</v>
          </cell>
          <cell r="AH24">
            <v>0.63259999999999994</v>
          </cell>
          <cell r="AI24">
            <v>0.53539999999999999</v>
          </cell>
          <cell r="AJ24">
            <v>0.63259999999999994</v>
          </cell>
          <cell r="AK24">
            <v>0.53649999999999998</v>
          </cell>
          <cell r="AL24" t="str">
            <v>1988</v>
          </cell>
          <cell r="AM24">
            <v>5008500</v>
          </cell>
          <cell r="AN24">
            <v>0.58550000000000002</v>
          </cell>
          <cell r="AO24">
            <v>0.60159971241125187</v>
          </cell>
          <cell r="AP24">
            <v>0.6694</v>
          </cell>
        </row>
        <row r="25">
          <cell r="A25">
            <v>1989</v>
          </cell>
          <cell r="B25">
            <v>48.24</v>
          </cell>
          <cell r="C25">
            <v>51.88</v>
          </cell>
          <cell r="D25">
            <v>51.88</v>
          </cell>
          <cell r="E25">
            <v>65.650000000000006</v>
          </cell>
          <cell r="F25">
            <v>63.27</v>
          </cell>
          <cell r="G25">
            <v>64.17</v>
          </cell>
          <cell r="H25">
            <v>62.82</v>
          </cell>
          <cell r="I25">
            <v>63.42</v>
          </cell>
          <cell r="K25">
            <v>63.42</v>
          </cell>
          <cell r="L25">
            <v>63.42</v>
          </cell>
          <cell r="M25">
            <v>63.42</v>
          </cell>
          <cell r="N25">
            <v>55.55</v>
          </cell>
          <cell r="O25">
            <v>55.55</v>
          </cell>
          <cell r="Q25">
            <v>48.23</v>
          </cell>
          <cell r="R25">
            <v>51.93</v>
          </cell>
          <cell r="S25">
            <v>51.93</v>
          </cell>
          <cell r="T25">
            <v>65.66</v>
          </cell>
          <cell r="U25">
            <v>63.26</v>
          </cell>
          <cell r="V25">
            <v>64.180000000000007</v>
          </cell>
          <cell r="W25">
            <v>62.86</v>
          </cell>
          <cell r="X25">
            <v>63.42</v>
          </cell>
          <cell r="AC25">
            <v>55.57</v>
          </cell>
          <cell r="AD25">
            <v>55.57</v>
          </cell>
          <cell r="AG25">
            <v>1989</v>
          </cell>
          <cell r="AH25">
            <v>0.65650000000000008</v>
          </cell>
          <cell r="AI25">
            <v>0.55549999999999999</v>
          </cell>
          <cell r="AJ25">
            <v>0.65659999999999996</v>
          </cell>
          <cell r="AK25">
            <v>0.55569999999999997</v>
          </cell>
          <cell r="AL25" t="str">
            <v>1989</v>
          </cell>
          <cell r="AM25">
            <v>5399500</v>
          </cell>
          <cell r="AN25">
            <v>0.60829999999999995</v>
          </cell>
          <cell r="AO25">
            <v>0.62496629819358318</v>
          </cell>
          <cell r="AP25">
            <v>0.69540000000000002</v>
          </cell>
        </row>
        <row r="26">
          <cell r="A26">
            <v>1990</v>
          </cell>
          <cell r="B26">
            <v>49.02</v>
          </cell>
          <cell r="C26">
            <v>53.68</v>
          </cell>
          <cell r="D26">
            <v>53.68</v>
          </cell>
          <cell r="E26">
            <v>67.94</v>
          </cell>
          <cell r="F26">
            <v>65.709999999999994</v>
          </cell>
          <cell r="G26">
            <v>66.17</v>
          </cell>
          <cell r="H26">
            <v>65.209999999999994</v>
          </cell>
          <cell r="I26">
            <v>66.02</v>
          </cell>
          <cell r="K26">
            <v>66.02</v>
          </cell>
          <cell r="L26">
            <v>66.02</v>
          </cell>
          <cell r="M26">
            <v>66.02</v>
          </cell>
          <cell r="N26">
            <v>57.13</v>
          </cell>
          <cell r="O26">
            <v>57.13</v>
          </cell>
          <cell r="Q26">
            <v>49.02</v>
          </cell>
          <cell r="R26">
            <v>53.69</v>
          </cell>
          <cell r="S26">
            <v>53.69</v>
          </cell>
          <cell r="T26">
            <v>67.94</v>
          </cell>
          <cell r="U26">
            <v>65.680000000000007</v>
          </cell>
          <cell r="V26">
            <v>66.19</v>
          </cell>
          <cell r="W26">
            <v>65.209999999999994</v>
          </cell>
          <cell r="X26">
            <v>66.02</v>
          </cell>
          <cell r="AC26">
            <v>57.08</v>
          </cell>
          <cell r="AD26">
            <v>57.08</v>
          </cell>
          <cell r="AG26">
            <v>1990</v>
          </cell>
          <cell r="AH26">
            <v>0.6794</v>
          </cell>
          <cell r="AI26">
            <v>0.57130000000000003</v>
          </cell>
          <cell r="AJ26">
            <v>0.6794</v>
          </cell>
          <cell r="AK26">
            <v>0.57079999999999997</v>
          </cell>
          <cell r="AL26" t="str">
            <v>1990</v>
          </cell>
          <cell r="AM26">
            <v>5734500</v>
          </cell>
          <cell r="AN26">
            <v>0.63070000000000004</v>
          </cell>
          <cell r="AO26">
            <v>0.64797339804080156</v>
          </cell>
          <cell r="AP26">
            <v>0.72099999999999997</v>
          </cell>
        </row>
        <row r="27">
          <cell r="A27">
            <v>1991</v>
          </cell>
          <cell r="B27">
            <v>51.74</v>
          </cell>
          <cell r="C27">
            <v>59.85</v>
          </cell>
          <cell r="D27">
            <v>59.85</v>
          </cell>
          <cell r="E27">
            <v>69.89</v>
          </cell>
          <cell r="F27">
            <v>68.010000000000005</v>
          </cell>
          <cell r="G27">
            <v>68.14</v>
          </cell>
          <cell r="H27">
            <v>68.05</v>
          </cell>
          <cell r="I27">
            <v>68.86</v>
          </cell>
          <cell r="K27">
            <v>68.86</v>
          </cell>
          <cell r="L27">
            <v>68.86</v>
          </cell>
          <cell r="M27">
            <v>68.86</v>
          </cell>
          <cell r="N27">
            <v>59.21</v>
          </cell>
          <cell r="O27">
            <v>59.21</v>
          </cell>
          <cell r="Q27">
            <v>51.7</v>
          </cell>
          <cell r="R27">
            <v>59.32</v>
          </cell>
          <cell r="S27">
            <v>59.32</v>
          </cell>
          <cell r="T27">
            <v>69.89</v>
          </cell>
          <cell r="U27">
            <v>67.94</v>
          </cell>
          <cell r="V27">
            <v>68.25</v>
          </cell>
          <cell r="W27">
            <v>68.099999999999994</v>
          </cell>
          <cell r="X27">
            <v>68.86</v>
          </cell>
          <cell r="AC27">
            <v>60.14</v>
          </cell>
          <cell r="AD27">
            <v>60.14</v>
          </cell>
          <cell r="AG27">
            <v>1991</v>
          </cell>
          <cell r="AH27">
            <v>0.69889999999999997</v>
          </cell>
          <cell r="AI27">
            <v>0.59209999999999996</v>
          </cell>
          <cell r="AJ27">
            <v>0.69889999999999997</v>
          </cell>
          <cell r="AK27">
            <v>0.60140000000000005</v>
          </cell>
          <cell r="AL27" t="str">
            <v>1991</v>
          </cell>
          <cell r="AM27">
            <v>5930500</v>
          </cell>
          <cell r="AN27">
            <v>0.65459999999999996</v>
          </cell>
          <cell r="AO27">
            <v>0.67250831311224946</v>
          </cell>
          <cell r="AP27">
            <v>0.74829999999999997</v>
          </cell>
        </row>
        <row r="28">
          <cell r="A28">
            <v>1992</v>
          </cell>
          <cell r="B28">
            <v>52.95</v>
          </cell>
          <cell r="C28">
            <v>59.33</v>
          </cell>
          <cell r="D28">
            <v>59.33</v>
          </cell>
          <cell r="E28">
            <v>71.5</v>
          </cell>
          <cell r="F28">
            <v>69.819999999999993</v>
          </cell>
          <cell r="G28">
            <v>69.97</v>
          </cell>
          <cell r="H28">
            <v>69.83</v>
          </cell>
          <cell r="I28">
            <v>68.739999999999995</v>
          </cell>
          <cell r="K28">
            <v>70.92</v>
          </cell>
          <cell r="L28">
            <v>70.92</v>
          </cell>
          <cell r="M28">
            <v>70.92</v>
          </cell>
          <cell r="N28">
            <v>60.93</v>
          </cell>
          <cell r="O28">
            <v>60.93</v>
          </cell>
          <cell r="Q28">
            <v>52.93</v>
          </cell>
          <cell r="R28">
            <v>59.16</v>
          </cell>
          <cell r="S28">
            <v>59.16</v>
          </cell>
          <cell r="T28">
            <v>71.5</v>
          </cell>
          <cell r="U28">
            <v>69.87</v>
          </cell>
          <cell r="V28">
            <v>69.900000000000006</v>
          </cell>
          <cell r="W28">
            <v>69.81</v>
          </cell>
          <cell r="X28">
            <v>68.06</v>
          </cell>
          <cell r="AC28">
            <v>61.03</v>
          </cell>
          <cell r="AD28">
            <v>61.03</v>
          </cell>
          <cell r="AG28">
            <v>1992</v>
          </cell>
          <cell r="AH28">
            <v>0.71499999999999997</v>
          </cell>
          <cell r="AI28">
            <v>0.60929999999999995</v>
          </cell>
          <cell r="AJ28">
            <v>0.71499999999999997</v>
          </cell>
          <cell r="AK28">
            <v>0.61030000000000006</v>
          </cell>
          <cell r="AL28" t="str">
            <v>1992</v>
          </cell>
          <cell r="AM28">
            <v>6242000</v>
          </cell>
          <cell r="AN28">
            <v>0.67159999999999997</v>
          </cell>
          <cell r="AO28">
            <v>0.69003325244899794</v>
          </cell>
          <cell r="AP28">
            <v>0.76780000000000004</v>
          </cell>
        </row>
        <row r="29">
          <cell r="A29">
            <v>1993</v>
          </cell>
          <cell r="B29">
            <v>55.3</v>
          </cell>
          <cell r="C29">
            <v>57.28</v>
          </cell>
          <cell r="D29">
            <v>59.89</v>
          </cell>
          <cell r="E29">
            <v>72.930000000000007</v>
          </cell>
          <cell r="F29">
            <v>70.8</v>
          </cell>
          <cell r="G29">
            <v>71.23</v>
          </cell>
          <cell r="H29">
            <v>71.41</v>
          </cell>
          <cell r="I29">
            <v>70.239999999999995</v>
          </cell>
          <cell r="K29">
            <v>72.63</v>
          </cell>
          <cell r="L29">
            <v>72.63</v>
          </cell>
          <cell r="M29">
            <v>72.63</v>
          </cell>
          <cell r="N29">
            <v>62.49</v>
          </cell>
          <cell r="O29">
            <v>61.42</v>
          </cell>
          <cell r="Q29">
            <v>55.3</v>
          </cell>
          <cell r="R29">
            <v>57.5</v>
          </cell>
          <cell r="S29">
            <v>60.1</v>
          </cell>
          <cell r="T29">
            <v>72.930000000000007</v>
          </cell>
          <cell r="U29">
            <v>70.78</v>
          </cell>
          <cell r="V29">
            <v>70.959999999999994</v>
          </cell>
          <cell r="W29">
            <v>71.36</v>
          </cell>
          <cell r="X29">
            <v>69.87</v>
          </cell>
          <cell r="AC29">
            <v>62.57</v>
          </cell>
          <cell r="AD29">
            <v>61.5</v>
          </cell>
          <cell r="AG29">
            <v>1993</v>
          </cell>
          <cell r="AH29">
            <v>0.72930000000000006</v>
          </cell>
          <cell r="AI29">
            <v>0.62490000000000001</v>
          </cell>
          <cell r="AJ29">
            <v>0.72930000000000006</v>
          </cell>
          <cell r="AK29">
            <v>0.62570000000000003</v>
          </cell>
          <cell r="AL29" t="str">
            <v>1993</v>
          </cell>
          <cell r="AM29">
            <v>6587300</v>
          </cell>
          <cell r="AN29">
            <v>0.68650000000000011</v>
          </cell>
          <cell r="AO29">
            <v>0.7053114046912915</v>
          </cell>
          <cell r="AP29">
            <v>0.78480000000000005</v>
          </cell>
        </row>
        <row r="30">
          <cell r="A30">
            <v>1994</v>
          </cell>
          <cell r="B30">
            <v>56.67</v>
          </cell>
          <cell r="C30">
            <v>58.95</v>
          </cell>
          <cell r="D30">
            <v>61.64</v>
          </cell>
          <cell r="E30">
            <v>74.260000000000005</v>
          </cell>
          <cell r="F30">
            <v>72.209999999999994</v>
          </cell>
          <cell r="G30">
            <v>72.930000000000007</v>
          </cell>
          <cell r="H30">
            <v>72.92</v>
          </cell>
          <cell r="I30">
            <v>70.39</v>
          </cell>
          <cell r="K30">
            <v>74.08</v>
          </cell>
          <cell r="L30">
            <v>74.08</v>
          </cell>
          <cell r="M30">
            <v>74.08</v>
          </cell>
          <cell r="N30">
            <v>63.79</v>
          </cell>
          <cell r="O30">
            <v>62.66</v>
          </cell>
          <cell r="Q30">
            <v>56.66</v>
          </cell>
          <cell r="R30">
            <v>59.01</v>
          </cell>
          <cell r="S30">
            <v>61.7</v>
          </cell>
          <cell r="T30">
            <v>74.27</v>
          </cell>
          <cell r="U30">
            <v>72.2</v>
          </cell>
          <cell r="V30">
            <v>73.05</v>
          </cell>
          <cell r="W30">
            <v>72.94</v>
          </cell>
          <cell r="X30">
            <v>68.540000000000006</v>
          </cell>
          <cell r="AC30">
            <v>63.78</v>
          </cell>
          <cell r="AD30">
            <v>62.66</v>
          </cell>
          <cell r="AG30">
            <v>1994</v>
          </cell>
          <cell r="AH30">
            <v>0.74260000000000004</v>
          </cell>
          <cell r="AI30">
            <v>0.63790000000000002</v>
          </cell>
          <cell r="AJ30">
            <v>0.74269999999999992</v>
          </cell>
          <cell r="AK30">
            <v>0.63780000000000003</v>
          </cell>
          <cell r="AL30" t="str">
            <v>1994</v>
          </cell>
          <cell r="AM30">
            <v>6976600</v>
          </cell>
          <cell r="AN30">
            <v>0.70099999999999996</v>
          </cell>
          <cell r="AO30">
            <v>0.72023007099847214</v>
          </cell>
          <cell r="AP30">
            <v>0.8014</v>
          </cell>
        </row>
        <row r="31">
          <cell r="A31">
            <v>1995</v>
          </cell>
          <cell r="B31">
            <v>58.09</v>
          </cell>
          <cell r="C31">
            <v>60.68</v>
          </cell>
          <cell r="D31">
            <v>63.27</v>
          </cell>
          <cell r="E31">
            <v>75.52</v>
          </cell>
          <cell r="F31">
            <v>73.73</v>
          </cell>
          <cell r="G31">
            <v>74.08</v>
          </cell>
          <cell r="H31">
            <v>73.92</v>
          </cell>
          <cell r="I31">
            <v>72.66</v>
          </cell>
          <cell r="K31">
            <v>75.489999999999995</v>
          </cell>
          <cell r="L31">
            <v>75.489999999999995</v>
          </cell>
          <cell r="M31">
            <v>75.489999999999995</v>
          </cell>
          <cell r="N31">
            <v>65.2</v>
          </cell>
          <cell r="O31">
            <v>64.08</v>
          </cell>
          <cell r="Q31">
            <v>58.07</v>
          </cell>
          <cell r="R31">
            <v>60.7</v>
          </cell>
          <cell r="S31">
            <v>63.3</v>
          </cell>
          <cell r="T31">
            <v>75.53</v>
          </cell>
          <cell r="U31">
            <v>73.73</v>
          </cell>
          <cell r="V31">
            <v>74.19</v>
          </cell>
          <cell r="W31">
            <v>74.08</v>
          </cell>
          <cell r="X31">
            <v>67</v>
          </cell>
          <cell r="AC31">
            <v>65.14</v>
          </cell>
          <cell r="AD31">
            <v>64.03</v>
          </cell>
          <cell r="AG31">
            <v>1995</v>
          </cell>
          <cell r="AH31">
            <v>0.75519999999999998</v>
          </cell>
          <cell r="AI31">
            <v>0.65200000000000002</v>
          </cell>
          <cell r="AJ31">
            <v>0.75529999999999997</v>
          </cell>
          <cell r="AK31">
            <v>0.65139999999999998</v>
          </cell>
          <cell r="AL31" t="str">
            <v>1995</v>
          </cell>
          <cell r="AM31">
            <v>7341100</v>
          </cell>
          <cell r="AN31">
            <v>0.71589999999999998</v>
          </cell>
          <cell r="AO31">
            <v>0.7355082232407657</v>
          </cell>
          <cell r="AP31">
            <v>0.81840000000000002</v>
          </cell>
        </row>
        <row r="32">
          <cell r="A32">
            <v>1996</v>
          </cell>
          <cell r="B32">
            <v>59.36</v>
          </cell>
          <cell r="C32">
            <v>62.3</v>
          </cell>
          <cell r="D32">
            <v>64.91</v>
          </cell>
          <cell r="E32">
            <v>76.62</v>
          </cell>
          <cell r="F32">
            <v>75.2</v>
          </cell>
          <cell r="G32">
            <v>75.459999999999994</v>
          </cell>
          <cell r="H32">
            <v>75.67</v>
          </cell>
          <cell r="I32">
            <v>72.2</v>
          </cell>
          <cell r="K32">
            <v>77</v>
          </cell>
          <cell r="L32">
            <v>77</v>
          </cell>
          <cell r="M32">
            <v>77</v>
          </cell>
          <cell r="N32">
            <v>66.7</v>
          </cell>
          <cell r="O32">
            <v>65.58</v>
          </cell>
          <cell r="Q32">
            <v>59.35</v>
          </cell>
          <cell r="R32">
            <v>62.25</v>
          </cell>
          <cell r="S32">
            <v>64.87</v>
          </cell>
          <cell r="T32">
            <v>76.63</v>
          </cell>
          <cell r="U32">
            <v>75.2</v>
          </cell>
          <cell r="V32">
            <v>75.540000000000006</v>
          </cell>
          <cell r="W32">
            <v>75.69</v>
          </cell>
          <cell r="X32">
            <v>69.55</v>
          </cell>
          <cell r="AC32">
            <v>66.72</v>
          </cell>
          <cell r="AD32">
            <v>65.61</v>
          </cell>
          <cell r="AG32">
            <v>1996</v>
          </cell>
          <cell r="AH32">
            <v>0.76619999999999999</v>
          </cell>
          <cell r="AI32">
            <v>0.66700000000000004</v>
          </cell>
          <cell r="AJ32">
            <v>0.76629999999999998</v>
          </cell>
          <cell r="AK32">
            <v>0.66720000000000002</v>
          </cell>
          <cell r="AL32" t="str">
            <v>1996</v>
          </cell>
          <cell r="AM32">
            <v>7718300</v>
          </cell>
          <cell r="AN32">
            <v>0.72970000000000002</v>
          </cell>
          <cell r="AO32">
            <v>0.74970791767772094</v>
          </cell>
          <cell r="AP32">
            <v>0.83420000000000005</v>
          </cell>
        </row>
        <row r="33">
          <cell r="A33">
            <v>1997</v>
          </cell>
          <cell r="B33">
            <v>61.2</v>
          </cell>
          <cell r="C33">
            <v>63.78</v>
          </cell>
          <cell r="D33">
            <v>66.52</v>
          </cell>
          <cell r="E33">
            <v>77.48</v>
          </cell>
          <cell r="F33">
            <v>76.33</v>
          </cell>
          <cell r="G33">
            <v>76.23</v>
          </cell>
          <cell r="H33">
            <v>76.790000000000006</v>
          </cell>
          <cell r="I33">
            <v>76.319999999999993</v>
          </cell>
          <cell r="K33">
            <v>78.38</v>
          </cell>
          <cell r="L33">
            <v>78.38</v>
          </cell>
          <cell r="M33">
            <v>78.38</v>
          </cell>
          <cell r="N33">
            <v>68.36</v>
          </cell>
          <cell r="O33">
            <v>67.23</v>
          </cell>
          <cell r="Q33">
            <v>61.17</v>
          </cell>
          <cell r="R33">
            <v>63.77</v>
          </cell>
          <cell r="S33">
            <v>66.47</v>
          </cell>
          <cell r="T33">
            <v>77.48</v>
          </cell>
          <cell r="U33">
            <v>76.33</v>
          </cell>
          <cell r="V33">
            <v>76.28</v>
          </cell>
          <cell r="W33">
            <v>76.790000000000006</v>
          </cell>
          <cell r="X33">
            <v>72.47</v>
          </cell>
          <cell r="AC33">
            <v>68.23</v>
          </cell>
          <cell r="AD33">
            <v>67.11</v>
          </cell>
          <cell r="AG33">
            <v>1997</v>
          </cell>
          <cell r="AH33">
            <v>0.77480000000000004</v>
          </cell>
          <cell r="AI33">
            <v>0.68359999999999999</v>
          </cell>
          <cell r="AJ33">
            <v>0.77480000000000004</v>
          </cell>
          <cell r="AK33">
            <v>0.68230000000000002</v>
          </cell>
          <cell r="AL33" t="str">
            <v>1997</v>
          </cell>
          <cell r="AM33">
            <v>8211700</v>
          </cell>
          <cell r="AN33">
            <v>0.74309999999999998</v>
          </cell>
          <cell r="AO33">
            <v>0.76345825469578499</v>
          </cell>
          <cell r="AP33">
            <v>0.84950000000000003</v>
          </cell>
        </row>
        <row r="34">
          <cell r="A34">
            <v>1998</v>
          </cell>
          <cell r="B34">
            <v>63.94</v>
          </cell>
          <cell r="C34">
            <v>66.17</v>
          </cell>
          <cell r="D34">
            <v>68.900000000000006</v>
          </cell>
          <cell r="E34">
            <v>78.28</v>
          </cell>
          <cell r="F34">
            <v>77.3</v>
          </cell>
          <cell r="G34">
            <v>77.040000000000006</v>
          </cell>
          <cell r="H34">
            <v>77.45</v>
          </cell>
          <cell r="I34">
            <v>74</v>
          </cell>
          <cell r="K34">
            <v>78.930000000000007</v>
          </cell>
          <cell r="L34">
            <v>78.930000000000007</v>
          </cell>
          <cell r="M34">
            <v>78.930000000000007</v>
          </cell>
          <cell r="N34">
            <v>70.28</v>
          </cell>
          <cell r="O34">
            <v>69.13</v>
          </cell>
          <cell r="Q34">
            <v>63.92</v>
          </cell>
          <cell r="R34">
            <v>66.03</v>
          </cell>
          <cell r="S34">
            <v>68.760000000000005</v>
          </cell>
          <cell r="T34">
            <v>78.28</v>
          </cell>
          <cell r="U34">
            <v>77.3</v>
          </cell>
          <cell r="V34">
            <v>77.03</v>
          </cell>
          <cell r="W34">
            <v>77.48</v>
          </cell>
          <cell r="X34">
            <v>72.989999999999995</v>
          </cell>
          <cell r="AC34">
            <v>70.3</v>
          </cell>
          <cell r="AD34">
            <v>69.150000000000006</v>
          </cell>
          <cell r="AG34">
            <v>1998</v>
          </cell>
          <cell r="AH34">
            <v>0.78280000000000005</v>
          </cell>
          <cell r="AI34">
            <v>0.70279999999999998</v>
          </cell>
          <cell r="AJ34">
            <v>0.78280000000000005</v>
          </cell>
          <cell r="AK34">
            <v>0.70299999999999996</v>
          </cell>
          <cell r="AL34" t="str">
            <v>1998</v>
          </cell>
          <cell r="AM34">
            <v>8663000</v>
          </cell>
          <cell r="AN34">
            <v>0.75249999999999995</v>
          </cell>
          <cell r="AO34">
            <v>0.77316437494383028</v>
          </cell>
          <cell r="AP34">
            <v>0.86029999999999995</v>
          </cell>
        </row>
        <row r="35">
          <cell r="A35">
            <v>1999</v>
          </cell>
          <cell r="B35">
            <v>65.900000000000006</v>
          </cell>
          <cell r="C35">
            <v>67.97</v>
          </cell>
          <cell r="D35">
            <v>70.53</v>
          </cell>
          <cell r="E35">
            <v>79.33</v>
          </cell>
          <cell r="F35">
            <v>78.16</v>
          </cell>
          <cell r="G35">
            <v>78.27</v>
          </cell>
          <cell r="H35">
            <v>78.47</v>
          </cell>
          <cell r="I35">
            <v>79.52</v>
          </cell>
          <cell r="K35">
            <v>79.56</v>
          </cell>
          <cell r="L35">
            <v>79.56</v>
          </cell>
          <cell r="M35">
            <v>79.56</v>
          </cell>
          <cell r="N35">
            <v>72.11</v>
          </cell>
          <cell r="O35">
            <v>71.02</v>
          </cell>
          <cell r="Q35">
            <v>65.91</v>
          </cell>
          <cell r="R35">
            <v>67.739999999999995</v>
          </cell>
          <cell r="S35">
            <v>70.33</v>
          </cell>
          <cell r="T35">
            <v>79.33</v>
          </cell>
          <cell r="U35">
            <v>78.16</v>
          </cell>
          <cell r="V35">
            <v>78.23</v>
          </cell>
          <cell r="W35">
            <v>78.47</v>
          </cell>
          <cell r="X35">
            <v>79.459999999999994</v>
          </cell>
          <cell r="AC35">
            <v>71.959999999999994</v>
          </cell>
          <cell r="AD35">
            <v>70.849999999999994</v>
          </cell>
          <cell r="AG35">
            <v>1999</v>
          </cell>
          <cell r="AH35">
            <v>0.79330000000000001</v>
          </cell>
          <cell r="AI35">
            <v>0.72109999999999996</v>
          </cell>
          <cell r="AJ35">
            <v>0.79330000000000001</v>
          </cell>
          <cell r="AK35">
            <v>0.71959999999999991</v>
          </cell>
          <cell r="AL35" t="str">
            <v>1999</v>
          </cell>
          <cell r="AM35">
            <v>9208400</v>
          </cell>
          <cell r="AN35">
            <v>0.76249999999999996</v>
          </cell>
          <cell r="AO35">
            <v>0.78340972409454479</v>
          </cell>
          <cell r="AP35">
            <v>0.87170000000000003</v>
          </cell>
        </row>
        <row r="36">
          <cell r="A36">
            <v>2000</v>
          </cell>
          <cell r="B36">
            <v>69.14</v>
          </cell>
          <cell r="C36">
            <v>69.13</v>
          </cell>
          <cell r="D36">
            <v>71.989999999999995</v>
          </cell>
          <cell r="E36">
            <v>80.5</v>
          </cell>
          <cell r="F36">
            <v>79.650000000000006</v>
          </cell>
          <cell r="G36">
            <v>79.42</v>
          </cell>
          <cell r="H36">
            <v>79.53</v>
          </cell>
          <cell r="I36">
            <v>80.7</v>
          </cell>
          <cell r="K36">
            <v>80.680000000000007</v>
          </cell>
          <cell r="L36">
            <v>80.680000000000007</v>
          </cell>
          <cell r="M36">
            <v>80.680000000000007</v>
          </cell>
          <cell r="N36">
            <v>74.099999999999994</v>
          </cell>
          <cell r="O36">
            <v>72.849999999999994</v>
          </cell>
          <cell r="Q36">
            <v>69.099999999999994</v>
          </cell>
          <cell r="R36">
            <v>69.03</v>
          </cell>
          <cell r="S36">
            <v>71.84</v>
          </cell>
          <cell r="T36">
            <v>80.5</v>
          </cell>
          <cell r="U36">
            <v>79.650000000000006</v>
          </cell>
          <cell r="V36">
            <v>79.47</v>
          </cell>
          <cell r="W36">
            <v>79.540000000000006</v>
          </cell>
          <cell r="X36">
            <v>80.680000000000007</v>
          </cell>
          <cell r="AC36">
            <v>74.02</v>
          </cell>
          <cell r="AD36">
            <v>72.790000000000006</v>
          </cell>
          <cell r="AG36">
            <v>2000</v>
          </cell>
          <cell r="AH36">
            <v>0.80500000000000005</v>
          </cell>
          <cell r="AI36">
            <v>0.74099999999999999</v>
          </cell>
          <cell r="AJ36">
            <v>0.80500000000000005</v>
          </cell>
          <cell r="AK36">
            <v>0.74019999999999997</v>
          </cell>
          <cell r="AL36" t="str">
            <v>2000</v>
          </cell>
          <cell r="AM36">
            <v>9821000</v>
          </cell>
          <cell r="AN36">
            <v>0.77760000000000007</v>
          </cell>
          <cell r="AO36">
            <v>0.79886761930439476</v>
          </cell>
          <cell r="AP36">
            <v>0.88890000000000002</v>
          </cell>
        </row>
        <row r="37">
          <cell r="A37">
            <v>2001</v>
          </cell>
          <cell r="B37">
            <v>71.44</v>
          </cell>
          <cell r="C37">
            <v>72.09</v>
          </cell>
          <cell r="D37">
            <v>75.12</v>
          </cell>
          <cell r="E37">
            <v>81.63</v>
          </cell>
          <cell r="F37">
            <v>81</v>
          </cell>
          <cell r="G37">
            <v>80.650000000000006</v>
          </cell>
          <cell r="H37">
            <v>81.03</v>
          </cell>
          <cell r="I37">
            <v>82.09</v>
          </cell>
          <cell r="K37">
            <v>82.21</v>
          </cell>
          <cell r="L37">
            <v>82.21</v>
          </cell>
          <cell r="M37">
            <v>82.21</v>
          </cell>
          <cell r="N37">
            <v>76.42</v>
          </cell>
          <cell r="O37">
            <v>75.16</v>
          </cell>
          <cell r="Q37">
            <v>71.48</v>
          </cell>
          <cell r="R37">
            <v>72.03</v>
          </cell>
          <cell r="S37">
            <v>75.040000000000006</v>
          </cell>
          <cell r="T37">
            <v>81.64</v>
          </cell>
          <cell r="U37">
            <v>81</v>
          </cell>
          <cell r="V37">
            <v>80.63</v>
          </cell>
          <cell r="W37">
            <v>81.05</v>
          </cell>
          <cell r="X37">
            <v>82.05</v>
          </cell>
          <cell r="AC37">
            <v>76.36</v>
          </cell>
          <cell r="AD37">
            <v>75.11</v>
          </cell>
          <cell r="AG37">
            <v>2001</v>
          </cell>
          <cell r="AH37">
            <v>0.81629999999999991</v>
          </cell>
          <cell r="AI37">
            <v>0.76419999999999999</v>
          </cell>
          <cell r="AJ37">
            <v>0.81640000000000001</v>
          </cell>
          <cell r="AK37">
            <v>0.76359999999999995</v>
          </cell>
          <cell r="AL37" t="str">
            <v>2001</v>
          </cell>
          <cell r="AM37">
            <v>10225300</v>
          </cell>
          <cell r="AN37">
            <v>0.79590000000000005</v>
          </cell>
          <cell r="AO37">
            <v>0.81774063089781612</v>
          </cell>
          <cell r="AP37">
            <v>0.90990000000000004</v>
          </cell>
        </row>
        <row r="38">
          <cell r="A38">
            <v>2002</v>
          </cell>
          <cell r="B38">
            <v>75.59</v>
          </cell>
          <cell r="C38">
            <v>73.680000000000007</v>
          </cell>
          <cell r="D38">
            <v>76.63</v>
          </cell>
          <cell r="E38">
            <v>82.9</v>
          </cell>
          <cell r="F38">
            <v>82.19</v>
          </cell>
          <cell r="G38">
            <v>82.35</v>
          </cell>
          <cell r="H38">
            <v>81.98</v>
          </cell>
          <cell r="I38">
            <v>82.84</v>
          </cell>
          <cell r="K38">
            <v>82.87</v>
          </cell>
          <cell r="L38">
            <v>82.87</v>
          </cell>
          <cell r="M38">
            <v>82.87</v>
          </cell>
          <cell r="N38">
            <v>78.489999999999995</v>
          </cell>
          <cell r="O38">
            <v>77.17</v>
          </cell>
          <cell r="Q38">
            <v>75.61</v>
          </cell>
          <cell r="R38">
            <v>74.209999999999994</v>
          </cell>
          <cell r="S38">
            <v>77.05</v>
          </cell>
          <cell r="T38">
            <v>82.9</v>
          </cell>
          <cell r="U38">
            <v>82.19</v>
          </cell>
          <cell r="V38">
            <v>82.36</v>
          </cell>
          <cell r="W38">
            <v>81.93</v>
          </cell>
          <cell r="X38">
            <v>82.88</v>
          </cell>
          <cell r="AC38">
            <v>78.61</v>
          </cell>
          <cell r="AD38">
            <v>77.319999999999993</v>
          </cell>
          <cell r="AG38">
            <v>2002</v>
          </cell>
          <cell r="AH38">
            <v>0.82900000000000007</v>
          </cell>
          <cell r="AI38">
            <v>0.78489999999999993</v>
          </cell>
          <cell r="AJ38">
            <v>0.82900000000000007</v>
          </cell>
          <cell r="AK38">
            <v>0.78610000000000002</v>
          </cell>
          <cell r="AL38" t="str">
            <v>2002</v>
          </cell>
          <cell r="AM38">
            <v>10543900</v>
          </cell>
          <cell r="AN38">
            <v>0.80900000000000005</v>
          </cell>
          <cell r="AO38">
            <v>0.83122135346454573</v>
          </cell>
          <cell r="AP38">
            <v>0.92490000000000006</v>
          </cell>
        </row>
        <row r="39">
          <cell r="A39">
            <v>2003</v>
          </cell>
          <cell r="B39">
            <v>78.400000000000006</v>
          </cell>
          <cell r="C39">
            <v>77.209999999999994</v>
          </cell>
          <cell r="D39">
            <v>78.91</v>
          </cell>
          <cell r="E39">
            <v>84.63</v>
          </cell>
          <cell r="F39">
            <v>83.72</v>
          </cell>
          <cell r="G39">
            <v>84.43</v>
          </cell>
          <cell r="H39">
            <v>83.15</v>
          </cell>
          <cell r="I39">
            <v>83.91</v>
          </cell>
          <cell r="K39">
            <v>83.7</v>
          </cell>
          <cell r="L39">
            <v>83.7</v>
          </cell>
          <cell r="M39">
            <v>83.7</v>
          </cell>
          <cell r="N39">
            <v>80.58</v>
          </cell>
          <cell r="O39">
            <v>79.790000000000006</v>
          </cell>
          <cell r="Q39">
            <v>78.400000000000006</v>
          </cell>
          <cell r="R39">
            <v>77.010000000000005</v>
          </cell>
          <cell r="S39">
            <v>78.739999999999995</v>
          </cell>
          <cell r="T39">
            <v>84.63</v>
          </cell>
          <cell r="U39">
            <v>83.72</v>
          </cell>
          <cell r="V39">
            <v>84.42</v>
          </cell>
          <cell r="W39">
            <v>83.14</v>
          </cell>
          <cell r="X39">
            <v>83.99</v>
          </cell>
          <cell r="AC39">
            <v>80.55</v>
          </cell>
          <cell r="AD39">
            <v>79.75</v>
          </cell>
          <cell r="AG39">
            <v>2003</v>
          </cell>
          <cell r="AH39">
            <v>0.84629999999999994</v>
          </cell>
          <cell r="AI39">
            <v>0.80579999999999996</v>
          </cell>
          <cell r="AJ39">
            <v>0.84629999999999994</v>
          </cell>
          <cell r="AK39">
            <v>0.80549999999999999</v>
          </cell>
          <cell r="AL39" t="str">
            <v>2003</v>
          </cell>
          <cell r="AM39">
            <v>10979800</v>
          </cell>
          <cell r="AN39">
            <v>0.82590000000000008</v>
          </cell>
          <cell r="AO39">
            <v>0.8485665498337378</v>
          </cell>
          <cell r="AP39">
            <v>0.94420000000000004</v>
          </cell>
        </row>
        <row r="40">
          <cell r="A40">
            <v>2004</v>
          </cell>
          <cell r="B40">
            <v>80.78</v>
          </cell>
          <cell r="C40">
            <v>80.180000000000007</v>
          </cell>
          <cell r="D40">
            <v>81.89</v>
          </cell>
          <cell r="E40">
            <v>86.83</v>
          </cell>
          <cell r="F40">
            <v>85.93</v>
          </cell>
          <cell r="G40">
            <v>86.83</v>
          </cell>
          <cell r="H40">
            <v>85.21</v>
          </cell>
          <cell r="I40">
            <v>85.63</v>
          </cell>
          <cell r="K40">
            <v>85.37</v>
          </cell>
          <cell r="L40">
            <v>85.37</v>
          </cell>
          <cell r="M40">
            <v>85.37</v>
          </cell>
          <cell r="N40">
            <v>83.17</v>
          </cell>
          <cell r="O40">
            <v>82.4</v>
          </cell>
          <cell r="Q40">
            <v>80.75</v>
          </cell>
          <cell r="R40">
            <v>79.819999999999993</v>
          </cell>
          <cell r="S40">
            <v>81.59</v>
          </cell>
          <cell r="T40">
            <v>86.84</v>
          </cell>
          <cell r="U40">
            <v>85.93</v>
          </cell>
          <cell r="V40">
            <v>86.87</v>
          </cell>
          <cell r="W40">
            <v>85.32</v>
          </cell>
          <cell r="X40">
            <v>85.71</v>
          </cell>
          <cell r="AC40">
            <v>83.08</v>
          </cell>
          <cell r="AD40">
            <v>82.3</v>
          </cell>
          <cell r="AG40">
            <v>2004</v>
          </cell>
          <cell r="AH40">
            <v>0.86829999999999996</v>
          </cell>
          <cell r="AI40">
            <v>0.83169999999999999</v>
          </cell>
          <cell r="AJ40">
            <v>0.86840000000000006</v>
          </cell>
          <cell r="AK40">
            <v>0.83079999999999998</v>
          </cell>
          <cell r="AL40" t="str">
            <v>2004</v>
          </cell>
          <cell r="AM40">
            <v>11685600</v>
          </cell>
          <cell r="AN40">
            <v>0.84709999999999996</v>
          </cell>
          <cell r="AO40">
            <v>0.87031544890806145</v>
          </cell>
          <cell r="AP40">
            <v>0.96840000000000004</v>
          </cell>
        </row>
        <row r="41">
          <cell r="A41">
            <v>2005</v>
          </cell>
          <cell r="B41">
            <v>83.49</v>
          </cell>
          <cell r="C41">
            <v>84.45</v>
          </cell>
          <cell r="D41">
            <v>86.3</v>
          </cell>
          <cell r="E41">
            <v>89.2</v>
          </cell>
          <cell r="F41">
            <v>88.48</v>
          </cell>
          <cell r="G41">
            <v>89.32</v>
          </cell>
          <cell r="H41">
            <v>88.56</v>
          </cell>
          <cell r="I41">
            <v>88.07</v>
          </cell>
          <cell r="K41">
            <v>87.76</v>
          </cell>
          <cell r="L41">
            <v>87.76</v>
          </cell>
          <cell r="M41">
            <v>87.76</v>
          </cell>
          <cell r="N41">
            <v>86.53</v>
          </cell>
          <cell r="O41">
            <v>85.83</v>
          </cell>
          <cell r="Q41">
            <v>83.49</v>
          </cell>
          <cell r="R41">
            <v>84.84</v>
          </cell>
          <cell r="S41">
            <v>86.54</v>
          </cell>
          <cell r="T41">
            <v>89.2</v>
          </cell>
          <cell r="U41">
            <v>88.48</v>
          </cell>
          <cell r="V41">
            <v>89.32</v>
          </cell>
          <cell r="W41">
            <v>88.52</v>
          </cell>
          <cell r="X41">
            <v>88.18</v>
          </cell>
          <cell r="AC41">
            <v>86.62</v>
          </cell>
          <cell r="AD41">
            <v>85.93</v>
          </cell>
          <cell r="AG41">
            <v>2005</v>
          </cell>
          <cell r="AH41">
            <v>0.89200000000000002</v>
          </cell>
          <cell r="AI41">
            <v>0.86529999999999996</v>
          </cell>
          <cell r="AJ41">
            <v>0.89200000000000002</v>
          </cell>
          <cell r="AK41">
            <v>0.86620000000000008</v>
          </cell>
          <cell r="AL41" t="str">
            <v>2005</v>
          </cell>
          <cell r="AM41">
            <v>12445700</v>
          </cell>
          <cell r="AN41">
            <v>0.87470000000000003</v>
          </cell>
          <cell r="AO41">
            <v>0.89871483778197181</v>
          </cell>
          <cell r="AP41">
            <v>1</v>
          </cell>
        </row>
        <row r="42">
          <cell r="A42">
            <v>2006</v>
          </cell>
          <cell r="B42">
            <v>86.31</v>
          </cell>
          <cell r="C42">
            <v>87.9</v>
          </cell>
          <cell r="D42">
            <v>89.55</v>
          </cell>
          <cell r="E42">
            <v>91.4</v>
          </cell>
          <cell r="F42">
            <v>90.93</v>
          </cell>
          <cell r="G42">
            <v>91.36</v>
          </cell>
          <cell r="H42">
            <v>90.96</v>
          </cell>
          <cell r="I42">
            <v>90.71</v>
          </cell>
          <cell r="K42">
            <v>90.48</v>
          </cell>
          <cell r="L42">
            <v>90.48</v>
          </cell>
          <cell r="M42">
            <v>90.48</v>
          </cell>
          <cell r="N42">
            <v>89.33</v>
          </cell>
          <cell r="O42">
            <v>88.67</v>
          </cell>
          <cell r="Q42">
            <v>86.26</v>
          </cell>
          <cell r="R42">
            <v>87.9</v>
          </cell>
          <cell r="S42">
            <v>89.54</v>
          </cell>
          <cell r="T42">
            <v>91.4</v>
          </cell>
          <cell r="U42">
            <v>90.93</v>
          </cell>
          <cell r="V42">
            <v>91.36</v>
          </cell>
          <cell r="W42">
            <v>90.96</v>
          </cell>
          <cell r="X42">
            <v>90.72</v>
          </cell>
          <cell r="AC42">
            <v>89.33</v>
          </cell>
          <cell r="AD42">
            <v>88.68</v>
          </cell>
          <cell r="AG42">
            <v>2006</v>
          </cell>
          <cell r="AH42">
            <v>0.91400000000000003</v>
          </cell>
          <cell r="AI42">
            <v>0.89329999999999998</v>
          </cell>
          <cell r="AJ42">
            <v>0.91400000000000003</v>
          </cell>
          <cell r="AK42">
            <v>0.89329999999999998</v>
          </cell>
          <cell r="AL42" t="str">
            <v>2006</v>
          </cell>
          <cell r="AM42">
            <v>13224900</v>
          </cell>
          <cell r="AN42">
            <v>0.90469999999999995</v>
          </cell>
          <cell r="AO42">
            <v>0.92945088523411523</v>
          </cell>
          <cell r="AP42">
            <v>1.0342</v>
          </cell>
        </row>
        <row r="43">
          <cell r="A43">
            <v>2007</v>
          </cell>
          <cell r="B43">
            <v>88.66</v>
          </cell>
          <cell r="C43">
            <v>90.49</v>
          </cell>
          <cell r="D43">
            <v>91.84</v>
          </cell>
          <cell r="E43">
            <v>93.25</v>
          </cell>
          <cell r="F43">
            <v>93.08</v>
          </cell>
          <cell r="G43">
            <v>93.08</v>
          </cell>
          <cell r="H43">
            <v>92.76</v>
          </cell>
          <cell r="I43">
            <v>93.04</v>
          </cell>
          <cell r="K43">
            <v>92.92</v>
          </cell>
          <cell r="L43">
            <v>92.92</v>
          </cell>
          <cell r="M43">
            <v>92.92</v>
          </cell>
          <cell r="N43">
            <v>91.61</v>
          </cell>
          <cell r="O43">
            <v>91.08</v>
          </cell>
          <cell r="Q43">
            <v>88.62</v>
          </cell>
          <cell r="R43">
            <v>90.5</v>
          </cell>
          <cell r="S43">
            <v>91.84</v>
          </cell>
          <cell r="T43">
            <v>93.25</v>
          </cell>
          <cell r="U43">
            <v>93.08</v>
          </cell>
          <cell r="V43">
            <v>93.08</v>
          </cell>
          <cell r="W43">
            <v>92.78</v>
          </cell>
          <cell r="X43">
            <v>93.03</v>
          </cell>
          <cell r="AC43">
            <v>91.62</v>
          </cell>
          <cell r="AD43">
            <v>91.09</v>
          </cell>
          <cell r="AG43">
            <v>2007</v>
          </cell>
          <cell r="AH43">
            <v>0.9325</v>
          </cell>
          <cell r="AI43">
            <v>0.91610000000000003</v>
          </cell>
          <cell r="AJ43">
            <v>0.9325</v>
          </cell>
          <cell r="AK43">
            <v>0.91620000000000001</v>
          </cell>
          <cell r="AL43" t="str">
            <v>2007</v>
          </cell>
          <cell r="AM43">
            <v>13891800</v>
          </cell>
          <cell r="AN43">
            <v>0.93189999999999995</v>
          </cell>
          <cell r="AO43">
            <v>0.95749078817291267</v>
          </cell>
          <cell r="AP43">
            <v>1.0653999999999999</v>
          </cell>
        </row>
        <row r="44">
          <cell r="A44">
            <v>2008</v>
          </cell>
          <cell r="B44">
            <v>91.54</v>
          </cell>
          <cell r="C44">
            <v>93.93</v>
          </cell>
          <cell r="D44">
            <v>95.04</v>
          </cell>
          <cell r="E44">
            <v>94.64</v>
          </cell>
          <cell r="F44">
            <v>94.91</v>
          </cell>
          <cell r="G44">
            <v>94.53</v>
          </cell>
          <cell r="H44">
            <v>94.83</v>
          </cell>
          <cell r="I44">
            <v>95.09</v>
          </cell>
          <cell r="K44">
            <v>95.15</v>
          </cell>
          <cell r="L44">
            <v>95.15</v>
          </cell>
          <cell r="M44">
            <v>95.15</v>
          </cell>
          <cell r="N44">
            <v>94.13</v>
          </cell>
          <cell r="O44">
            <v>93.75</v>
          </cell>
          <cell r="Q44">
            <v>91.55</v>
          </cell>
          <cell r="R44">
            <v>93.94</v>
          </cell>
          <cell r="S44">
            <v>95.04</v>
          </cell>
          <cell r="T44">
            <v>94.64</v>
          </cell>
          <cell r="U44">
            <v>94.91</v>
          </cell>
          <cell r="V44">
            <v>94.53</v>
          </cell>
          <cell r="W44">
            <v>94.86</v>
          </cell>
          <cell r="X44">
            <v>95.04</v>
          </cell>
          <cell r="AC44">
            <v>94.13</v>
          </cell>
          <cell r="AD44">
            <v>93.75</v>
          </cell>
          <cell r="AG44">
            <v>2008</v>
          </cell>
          <cell r="AH44">
            <v>0.94640000000000002</v>
          </cell>
          <cell r="AI44">
            <v>0.94129999999999991</v>
          </cell>
          <cell r="AJ44">
            <v>0.94640000000000002</v>
          </cell>
          <cell r="AK44">
            <v>0.94129999999999991</v>
          </cell>
          <cell r="AL44" t="str">
            <v>2008</v>
          </cell>
          <cell r="AM44">
            <v>14394100</v>
          </cell>
          <cell r="AN44">
            <v>0.95330000000000004</v>
          </cell>
          <cell r="AO44">
            <v>0.97941943021479294</v>
          </cell>
          <cell r="AP44">
            <v>1.0898000000000001</v>
          </cell>
        </row>
        <row r="45">
          <cell r="A45">
            <v>2009</v>
          </cell>
          <cell r="B45">
            <v>94.45</v>
          </cell>
          <cell r="C45">
            <v>94.5</v>
          </cell>
          <cell r="D45">
            <v>95.1</v>
          </cell>
          <cell r="E45">
            <v>95.77</v>
          </cell>
          <cell r="F45">
            <v>96.21</v>
          </cell>
          <cell r="G45">
            <v>95.85</v>
          </cell>
          <cell r="H45">
            <v>96.09</v>
          </cell>
          <cell r="I45">
            <v>97.21</v>
          </cell>
          <cell r="K45">
            <v>96.58</v>
          </cell>
          <cell r="L45">
            <v>96.58</v>
          </cell>
          <cell r="M45">
            <v>96.58</v>
          </cell>
          <cell r="N45">
            <v>95.26</v>
          </cell>
          <cell r="O45">
            <v>95.01</v>
          </cell>
          <cell r="Q45">
            <v>94.4</v>
          </cell>
          <cell r="R45">
            <v>94.5</v>
          </cell>
          <cell r="S45">
            <v>95.09</v>
          </cell>
          <cell r="T45">
            <v>95.77</v>
          </cell>
          <cell r="U45">
            <v>96.21</v>
          </cell>
          <cell r="V45">
            <v>95.85</v>
          </cell>
          <cell r="W45">
            <v>96.03</v>
          </cell>
          <cell r="X45">
            <v>96.26</v>
          </cell>
          <cell r="AC45">
            <v>95.26</v>
          </cell>
          <cell r="AD45">
            <v>95.01</v>
          </cell>
          <cell r="AG45">
            <v>2009</v>
          </cell>
          <cell r="AH45">
            <v>0.9577</v>
          </cell>
          <cell r="AI45">
            <v>0.9526</v>
          </cell>
          <cell r="AJ45">
            <v>0.9577</v>
          </cell>
          <cell r="AK45">
            <v>0.9526</v>
          </cell>
          <cell r="AL45" t="str">
            <v>2009</v>
          </cell>
          <cell r="AM45">
            <v>14097500</v>
          </cell>
          <cell r="AN45">
            <v>0.96599999999999997</v>
          </cell>
          <cell r="AO45">
            <v>0.99245079536263148</v>
          </cell>
          <cell r="AP45">
            <v>1.1043000000000001</v>
          </cell>
        </row>
        <row r="46">
          <cell r="A46">
            <v>2010</v>
          </cell>
          <cell r="B46">
            <v>96.93</v>
          </cell>
          <cell r="C46">
            <v>96.98</v>
          </cell>
          <cell r="D46">
            <v>97.31</v>
          </cell>
          <cell r="E46">
            <v>96.99</v>
          </cell>
          <cell r="F46">
            <v>97.36</v>
          </cell>
          <cell r="G46">
            <v>96.96</v>
          </cell>
          <cell r="H46">
            <v>97.04</v>
          </cell>
          <cell r="I46">
            <v>96.12</v>
          </cell>
          <cell r="K46">
            <v>97.35</v>
          </cell>
          <cell r="L46">
            <v>97.35</v>
          </cell>
          <cell r="M46">
            <v>97.35</v>
          </cell>
          <cell r="N46">
            <v>97.14</v>
          </cell>
          <cell r="O46">
            <v>97.01</v>
          </cell>
          <cell r="Q46">
            <v>96.92</v>
          </cell>
          <cell r="R46">
            <v>96.98</v>
          </cell>
          <cell r="S46">
            <v>97.31</v>
          </cell>
          <cell r="T46">
            <v>96.99</v>
          </cell>
          <cell r="U46">
            <v>97.36</v>
          </cell>
          <cell r="V46">
            <v>96.96</v>
          </cell>
          <cell r="W46">
            <v>97.08</v>
          </cell>
          <cell r="X46">
            <v>95.88</v>
          </cell>
          <cell r="AC46">
            <v>97.14</v>
          </cell>
          <cell r="AD46">
            <v>97</v>
          </cell>
          <cell r="AG46">
            <v>2010</v>
          </cell>
          <cell r="AH46">
            <v>0.96989999999999998</v>
          </cell>
          <cell r="AI46">
            <v>0.97140000000000004</v>
          </cell>
          <cell r="AJ46">
            <v>0.96989999999999998</v>
          </cell>
          <cell r="AK46">
            <v>0.97140000000000004</v>
          </cell>
          <cell r="AL46" t="str">
            <v>2010</v>
          </cell>
          <cell r="AM46">
            <v>14508200</v>
          </cell>
          <cell r="AN46">
            <v>0.97329999999999994</v>
          </cell>
          <cell r="AO46">
            <v>1</v>
          </cell>
          <cell r="AP46">
            <v>1.1127</v>
          </cell>
        </row>
        <row r="47">
          <cell r="A47">
            <v>2011</v>
          </cell>
          <cell r="B47">
            <v>98.35</v>
          </cell>
          <cell r="C47">
            <v>98.59</v>
          </cell>
          <cell r="D47">
            <v>98.77</v>
          </cell>
          <cell r="E47">
            <v>98.44</v>
          </cell>
          <cell r="F47">
            <v>98.62</v>
          </cell>
          <cell r="G47">
            <v>98.41</v>
          </cell>
          <cell r="H47">
            <v>98.53</v>
          </cell>
          <cell r="I47">
            <v>98.55</v>
          </cell>
          <cell r="K47">
            <v>98.62</v>
          </cell>
          <cell r="L47">
            <v>98.62</v>
          </cell>
          <cell r="M47">
            <v>98.62</v>
          </cell>
          <cell r="N47">
            <v>98.57</v>
          </cell>
          <cell r="O47">
            <v>98.5</v>
          </cell>
          <cell r="Q47">
            <v>98.34</v>
          </cell>
          <cell r="R47">
            <v>98.59</v>
          </cell>
          <cell r="S47">
            <v>98.77</v>
          </cell>
          <cell r="T47">
            <v>98.44</v>
          </cell>
          <cell r="U47">
            <v>98.62</v>
          </cell>
          <cell r="V47">
            <v>98.41</v>
          </cell>
          <cell r="W47">
            <v>98.56</v>
          </cell>
          <cell r="X47">
            <v>98.55</v>
          </cell>
          <cell r="AC47">
            <v>98.57</v>
          </cell>
          <cell r="AD47">
            <v>98.5</v>
          </cell>
          <cell r="AG47">
            <v>2011</v>
          </cell>
          <cell r="AH47">
            <v>0.98439999999999994</v>
          </cell>
          <cell r="AI47">
            <v>0.98569999999999991</v>
          </cell>
          <cell r="AJ47">
            <v>0.98439999999999994</v>
          </cell>
          <cell r="AK47">
            <v>0.98569999999999991</v>
          </cell>
          <cell r="AL47" t="str">
            <v>2011 estimate</v>
          </cell>
          <cell r="AM47">
            <v>15079600</v>
          </cell>
          <cell r="AN47">
            <v>0.98629999999999995</v>
          </cell>
          <cell r="AO47">
            <v>1.0133009795991732</v>
          </cell>
          <cell r="AP47">
            <v>1.1274999999999999</v>
          </cell>
        </row>
        <row r="48">
          <cell r="A48">
            <v>2012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AC48">
            <v>100</v>
          </cell>
          <cell r="AD48">
            <v>100</v>
          </cell>
          <cell r="AG48">
            <v>2012</v>
          </cell>
          <cell r="AH48">
            <v>1</v>
          </cell>
          <cell r="AI48">
            <v>1</v>
          </cell>
          <cell r="AJ48">
            <v>1</v>
          </cell>
          <cell r="AK48">
            <v>1</v>
          </cell>
          <cell r="AL48" t="str">
            <v>2012 estimate</v>
          </cell>
          <cell r="AM48">
            <v>15812500</v>
          </cell>
          <cell r="AN48">
            <v>1</v>
          </cell>
          <cell r="AO48">
            <v>1.0274108025523501</v>
          </cell>
          <cell r="AP48">
            <v>1.1432</v>
          </cell>
        </row>
        <row r="49">
          <cell r="A49">
            <v>2013</v>
          </cell>
          <cell r="B49">
            <v>102.19</v>
          </cell>
          <cell r="C49">
            <v>102.18</v>
          </cell>
          <cell r="D49">
            <v>101.94</v>
          </cell>
          <cell r="E49">
            <v>101.69</v>
          </cell>
          <cell r="F49">
            <v>101.72</v>
          </cell>
          <cell r="G49">
            <v>101.7</v>
          </cell>
          <cell r="H49">
            <v>101.74</v>
          </cell>
          <cell r="I49">
            <v>101.65</v>
          </cell>
          <cell r="K49">
            <v>101.6</v>
          </cell>
          <cell r="L49">
            <v>101.6</v>
          </cell>
          <cell r="M49">
            <v>101.6</v>
          </cell>
          <cell r="N49">
            <v>101.92</v>
          </cell>
          <cell r="O49">
            <v>102.01</v>
          </cell>
          <cell r="Q49">
            <v>102.21</v>
          </cell>
          <cell r="R49">
            <v>102.18</v>
          </cell>
          <cell r="S49">
            <v>101.94</v>
          </cell>
          <cell r="T49">
            <v>101.69</v>
          </cell>
          <cell r="U49">
            <v>101.72</v>
          </cell>
          <cell r="V49">
            <v>101.7</v>
          </cell>
          <cell r="W49">
            <v>101.74</v>
          </cell>
          <cell r="X49">
            <v>101.65</v>
          </cell>
          <cell r="AC49">
            <v>101.92</v>
          </cell>
          <cell r="AD49">
            <v>102.01</v>
          </cell>
          <cell r="AG49">
            <v>2013</v>
          </cell>
          <cell r="AH49">
            <v>1.0168999999999999</v>
          </cell>
          <cell r="AI49">
            <v>1.0192000000000001</v>
          </cell>
          <cell r="AJ49">
            <v>1.0168999999999999</v>
          </cell>
          <cell r="AK49">
            <v>1.0192000000000001</v>
          </cell>
          <cell r="AL49" t="str">
            <v>2013 estimate</v>
          </cell>
          <cell r="AM49">
            <v>16752400</v>
          </cell>
          <cell r="AN49">
            <v>1.0163</v>
          </cell>
          <cell r="AO49">
            <v>1.0441268985350947</v>
          </cell>
          <cell r="AP49">
            <v>1.1617999999999999</v>
          </cell>
        </row>
        <row r="50">
          <cell r="A50">
            <v>2014</v>
          </cell>
          <cell r="B50">
            <v>104.78</v>
          </cell>
          <cell r="C50">
            <v>104.32</v>
          </cell>
          <cell r="D50">
            <v>103.79</v>
          </cell>
          <cell r="E50">
            <v>103.43</v>
          </cell>
          <cell r="F50">
            <v>103.51</v>
          </cell>
          <cell r="G50">
            <v>103.46</v>
          </cell>
          <cell r="H50">
            <v>103.49</v>
          </cell>
          <cell r="I50">
            <v>103.4</v>
          </cell>
          <cell r="K50">
            <v>103.33</v>
          </cell>
          <cell r="L50">
            <v>103.33</v>
          </cell>
          <cell r="M50">
            <v>103.33</v>
          </cell>
          <cell r="N50">
            <v>103.94</v>
          </cell>
          <cell r="O50">
            <v>104.13</v>
          </cell>
          <cell r="Q50">
            <v>104.83</v>
          </cell>
          <cell r="R50">
            <v>104.32</v>
          </cell>
          <cell r="S50">
            <v>103.79</v>
          </cell>
          <cell r="T50">
            <v>103.43</v>
          </cell>
          <cell r="U50">
            <v>103.51</v>
          </cell>
          <cell r="V50">
            <v>103.46</v>
          </cell>
          <cell r="W50">
            <v>103.49</v>
          </cell>
          <cell r="X50">
            <v>103.4</v>
          </cell>
          <cell r="AC50">
            <v>103.94</v>
          </cell>
          <cell r="AD50">
            <v>104.13</v>
          </cell>
          <cell r="AG50">
            <v>2014</v>
          </cell>
          <cell r="AL50" t="str">
            <v>2014 estimate</v>
          </cell>
          <cell r="AM50">
            <v>17782200</v>
          </cell>
          <cell r="AN50">
            <v>1.0331000000000001</v>
          </cell>
          <cell r="AO50">
            <v>1.0613822234205086</v>
          </cell>
          <cell r="AP50">
            <v>1.181</v>
          </cell>
        </row>
        <row r="51">
          <cell r="A51">
            <v>2015</v>
          </cell>
          <cell r="B51">
            <v>107.44</v>
          </cell>
          <cell r="C51">
            <v>106.5</v>
          </cell>
          <cell r="D51">
            <v>105.67</v>
          </cell>
          <cell r="E51">
            <v>105.24</v>
          </cell>
          <cell r="F51">
            <v>105.35</v>
          </cell>
          <cell r="G51">
            <v>105.28</v>
          </cell>
          <cell r="H51">
            <v>105.28</v>
          </cell>
          <cell r="I51">
            <v>105.19</v>
          </cell>
          <cell r="K51">
            <v>105.08</v>
          </cell>
          <cell r="L51">
            <v>105.08</v>
          </cell>
          <cell r="M51">
            <v>105.08</v>
          </cell>
          <cell r="N51">
            <v>106.01</v>
          </cell>
          <cell r="O51">
            <v>106.3</v>
          </cell>
          <cell r="Q51">
            <v>107.53</v>
          </cell>
          <cell r="R51">
            <v>106.51</v>
          </cell>
          <cell r="S51">
            <v>105.67</v>
          </cell>
          <cell r="T51">
            <v>105.24</v>
          </cell>
          <cell r="U51">
            <v>105.35</v>
          </cell>
          <cell r="V51">
            <v>105.28</v>
          </cell>
          <cell r="W51">
            <v>105.28</v>
          </cell>
          <cell r="X51">
            <v>105.19</v>
          </cell>
          <cell r="AC51">
            <v>106.01</v>
          </cell>
          <cell r="AD51">
            <v>106.31</v>
          </cell>
          <cell r="AG51">
            <v>2015</v>
          </cell>
          <cell r="AL51" t="str">
            <v>2015 estimate</v>
          </cell>
          <cell r="AM51">
            <v>18804100</v>
          </cell>
          <cell r="AN51">
            <v>1.0510999999999999</v>
          </cell>
          <cell r="AO51">
            <v>1.0798957490788172</v>
          </cell>
          <cell r="AP51">
            <v>1.2016</v>
          </cell>
        </row>
        <row r="52">
          <cell r="A52">
            <v>2016</v>
          </cell>
          <cell r="B52">
            <v>110.18</v>
          </cell>
          <cell r="C52">
            <v>108.84</v>
          </cell>
          <cell r="D52">
            <v>107.66</v>
          </cell>
          <cell r="E52">
            <v>107.11</v>
          </cell>
          <cell r="F52">
            <v>107.27</v>
          </cell>
          <cell r="G52">
            <v>107.17</v>
          </cell>
          <cell r="H52">
            <v>107.15</v>
          </cell>
          <cell r="I52">
            <v>107.02</v>
          </cell>
          <cell r="K52">
            <v>106.87</v>
          </cell>
          <cell r="L52">
            <v>106.87</v>
          </cell>
          <cell r="M52">
            <v>106.87</v>
          </cell>
          <cell r="N52">
            <v>108.16</v>
          </cell>
          <cell r="O52">
            <v>108.57</v>
          </cell>
          <cell r="Q52">
            <v>110.3</v>
          </cell>
          <cell r="R52">
            <v>108.85</v>
          </cell>
          <cell r="S52">
            <v>107.66</v>
          </cell>
          <cell r="T52">
            <v>107.11</v>
          </cell>
          <cell r="U52">
            <v>107.27</v>
          </cell>
          <cell r="V52">
            <v>107.17</v>
          </cell>
          <cell r="W52">
            <v>107.15</v>
          </cell>
          <cell r="X52">
            <v>107.02</v>
          </cell>
          <cell r="AC52">
            <v>108.17</v>
          </cell>
          <cell r="AD52">
            <v>108.59</v>
          </cell>
          <cell r="AG52">
            <v>2016</v>
          </cell>
          <cell r="AL52" t="str">
            <v>2016 estimate</v>
          </cell>
          <cell r="AM52">
            <v>19790500</v>
          </cell>
          <cell r="AN52">
            <v>1.0693000000000001</v>
          </cell>
          <cell r="AO52">
            <v>1.0985890177046822</v>
          </cell>
          <cell r="AP52">
            <v>1.2223999999999999</v>
          </cell>
        </row>
      </sheetData>
      <sheetData sheetId="14"/>
      <sheetData sheetId="15">
        <row r="2">
          <cell r="C2" t="str">
            <v>Fiscal Year</v>
          </cell>
        </row>
        <row r="3">
          <cell r="A3" t="str">
            <v>Weapon Code</v>
          </cell>
          <cell r="B3" t="str">
            <v>Agency</v>
          </cell>
          <cell r="C3" t="str">
            <v>FY2000</v>
          </cell>
          <cell r="D3" t="str">
            <v>FY2001</v>
          </cell>
          <cell r="E3" t="str">
            <v>FY2002</v>
          </cell>
          <cell r="F3" t="str">
            <v>FY2003</v>
          </cell>
          <cell r="G3" t="str">
            <v>FY2004</v>
          </cell>
          <cell r="H3" t="str">
            <v>FY2005</v>
          </cell>
          <cell r="I3" t="str">
            <v>FY2006</v>
          </cell>
          <cell r="J3" t="str">
            <v>FY2007</v>
          </cell>
          <cell r="K3" t="str">
            <v>FY2008</v>
          </cell>
          <cell r="L3" t="str">
            <v>FY2009</v>
          </cell>
          <cell r="M3" t="str">
            <v>FY2010</v>
          </cell>
          <cell r="N3" t="str">
            <v>FY2011</v>
          </cell>
          <cell r="O3" t="str">
            <v>TOTAL</v>
          </cell>
        </row>
        <row r="4">
          <cell r="A4" t="str">
            <v>000 / NOT DISCERNABLE OR CLASSIFIED</v>
          </cell>
          <cell r="B4" t="str">
            <v>DEPARTMENT OF DEFENSE / DOD</v>
          </cell>
          <cell r="C4" t="str">
            <v xml:space="preserve"> - </v>
          </cell>
          <cell r="D4" t="str">
            <v xml:space="preserve"> - </v>
          </cell>
          <cell r="E4" t="str">
            <v xml:space="preserve"> - </v>
          </cell>
          <cell r="F4" t="str">
            <v xml:space="preserve"> - </v>
          </cell>
          <cell r="G4" t="str">
            <v xml:space="preserve"> - </v>
          </cell>
          <cell r="H4" t="str">
            <v xml:space="preserve"> - </v>
          </cell>
          <cell r="I4" t="str">
            <v xml:space="preserve"> - </v>
          </cell>
          <cell r="J4" t="str">
            <v xml:space="preserve"> - </v>
          </cell>
          <cell r="K4" t="str">
            <v xml:space="preserve"> - </v>
          </cell>
          <cell r="L4" t="str">
            <v xml:space="preserve"> - </v>
          </cell>
          <cell r="M4" t="str">
            <v xml:space="preserve"> - </v>
          </cell>
          <cell r="N4" t="str">
            <v xml:space="preserve"> - </v>
          </cell>
          <cell r="O4" t="str">
            <v xml:space="preserve"> - </v>
          </cell>
        </row>
        <row r="5">
          <cell r="B5" t="str">
            <v>GENERAL SERVICES ADMINISTRATION / GSA</v>
          </cell>
          <cell r="C5" t="str">
            <v xml:space="preserve"> - </v>
          </cell>
          <cell r="D5" t="str">
            <v xml:space="preserve"> - </v>
          </cell>
          <cell r="E5" t="str">
            <v xml:space="preserve"> - </v>
          </cell>
          <cell r="F5" t="str">
            <v xml:space="preserve"> - </v>
          </cell>
          <cell r="G5" t="str">
            <v xml:space="preserve"> - </v>
          </cell>
          <cell r="H5" t="str">
            <v xml:space="preserve"> - </v>
          </cell>
          <cell r="I5" t="str">
            <v xml:space="preserve"> - </v>
          </cell>
          <cell r="J5" t="str">
            <v xml:space="preserve"> - </v>
          </cell>
          <cell r="K5" t="str">
            <v xml:space="preserve"> - </v>
          </cell>
          <cell r="L5" t="str">
            <v xml:space="preserve"> - </v>
          </cell>
          <cell r="M5" t="str">
            <v xml:space="preserve"> - </v>
          </cell>
          <cell r="N5" t="str">
            <v xml:space="preserve"> - </v>
          </cell>
          <cell r="O5" t="str">
            <v xml:space="preserve"> - </v>
          </cell>
        </row>
        <row r="6">
          <cell r="B6" t="str">
            <v>UNKnown / UNKN</v>
          </cell>
          <cell r="C6" t="str">
            <v xml:space="preserve"> - </v>
          </cell>
          <cell r="D6" t="str">
            <v xml:space="preserve"> - </v>
          </cell>
          <cell r="E6" t="str">
            <v xml:space="preserve"> - </v>
          </cell>
          <cell r="F6" t="str">
            <v xml:space="preserve"> - </v>
          </cell>
          <cell r="G6" t="str">
            <v xml:space="preserve"> - </v>
          </cell>
          <cell r="H6" t="str">
            <v xml:space="preserve"> - </v>
          </cell>
          <cell r="I6" t="str">
            <v xml:space="preserve"> - </v>
          </cell>
          <cell r="J6" t="str">
            <v xml:space="preserve"> - </v>
          </cell>
          <cell r="K6" t="str">
            <v xml:space="preserve"> - </v>
          </cell>
          <cell r="L6" t="str">
            <v xml:space="preserve"> - </v>
          </cell>
          <cell r="M6" t="str">
            <v xml:space="preserve"> - </v>
          </cell>
          <cell r="N6" t="str">
            <v xml:space="preserve"> - </v>
          </cell>
          <cell r="O6" t="str">
            <v xml:space="preserve"> - </v>
          </cell>
        </row>
        <row r="7">
          <cell r="A7" t="str">
            <v>100 / GLOBAL PROTECTION AGAINST LIMITED STRIKES MISSILE DEFENSE</v>
          </cell>
          <cell r="B7" t="str">
            <v>DEPARTMENT OF DEFENSE / DOD</v>
          </cell>
          <cell r="C7" t="str">
            <v xml:space="preserve"> - </v>
          </cell>
          <cell r="D7" t="str">
            <v xml:space="preserve"> - </v>
          </cell>
          <cell r="E7" t="str">
            <v xml:space="preserve"> - </v>
          </cell>
          <cell r="F7" t="str">
            <v xml:space="preserve"> - </v>
          </cell>
          <cell r="G7" t="str">
            <v xml:space="preserve"> - </v>
          </cell>
          <cell r="H7" t="str">
            <v xml:space="preserve"> - </v>
          </cell>
          <cell r="I7" t="str">
            <v xml:space="preserve"> - </v>
          </cell>
          <cell r="J7" t="str">
            <v xml:space="preserve"> - </v>
          </cell>
          <cell r="K7" t="str">
            <v xml:space="preserve"> - </v>
          </cell>
          <cell r="L7" t="str">
            <v xml:space="preserve"> - </v>
          </cell>
          <cell r="M7" t="str">
            <v xml:space="preserve"> - </v>
          </cell>
          <cell r="N7" t="str">
            <v xml:space="preserve"> - </v>
          </cell>
          <cell r="O7" t="str">
            <v xml:space="preserve"> - </v>
          </cell>
        </row>
        <row r="8">
          <cell r="A8" t="str">
            <v>1000 / NOT DISCERNABLE OR CLASSIFIED</v>
          </cell>
          <cell r="B8" t="str">
            <v>DEPARTMENT OF DEFENSE / DOD</v>
          </cell>
          <cell r="C8" t="str">
            <v xml:space="preserve"> - </v>
          </cell>
          <cell r="D8" t="str">
            <v xml:space="preserve"> - </v>
          </cell>
          <cell r="E8" t="str">
            <v xml:space="preserve"> - </v>
          </cell>
          <cell r="F8" t="str">
            <v xml:space="preserve"> - </v>
          </cell>
          <cell r="G8" t="str">
            <v xml:space="preserve"> - </v>
          </cell>
          <cell r="H8" t="str">
            <v xml:space="preserve"> - </v>
          </cell>
          <cell r="I8" t="str">
            <v xml:space="preserve"> - </v>
          </cell>
          <cell r="J8" t="str">
            <v xml:space="preserve"> - </v>
          </cell>
          <cell r="K8" t="str">
            <v xml:space="preserve"> - </v>
          </cell>
          <cell r="L8" t="str">
            <v xml:space="preserve"> - </v>
          </cell>
          <cell r="M8" t="str">
            <v xml:space="preserve"> - </v>
          </cell>
          <cell r="N8" t="str">
            <v xml:space="preserve"> - </v>
          </cell>
          <cell r="O8" t="str">
            <v xml:space="preserve"> - </v>
          </cell>
        </row>
        <row r="9">
          <cell r="A9" t="str">
            <v>101 / USMC MID-LIFE UPGRADE TO AH-1W ATTACK HELICOPTER AND UH-1N UTILITY HELICOPTER</v>
          </cell>
          <cell r="B9" t="str">
            <v>DEPARTMENT OF DEFENSE / DOD</v>
          </cell>
          <cell r="C9" t="str">
            <v xml:space="preserve"> - </v>
          </cell>
          <cell r="D9" t="str">
            <v xml:space="preserve"> - </v>
          </cell>
          <cell r="E9" t="str">
            <v xml:space="preserve"> - </v>
          </cell>
          <cell r="F9" t="str">
            <v xml:space="preserve"> - </v>
          </cell>
          <cell r="G9" t="str">
            <v xml:space="preserve"> - </v>
          </cell>
          <cell r="H9" t="str">
            <v xml:space="preserve"> - </v>
          </cell>
          <cell r="I9" t="str">
            <v xml:space="preserve"> - </v>
          </cell>
          <cell r="J9" t="str">
            <v xml:space="preserve"> - </v>
          </cell>
          <cell r="K9" t="str">
            <v xml:space="preserve"> - </v>
          </cell>
          <cell r="L9" t="str">
            <v xml:space="preserve"> - </v>
          </cell>
          <cell r="M9" t="str">
            <v xml:space="preserve"> - </v>
          </cell>
          <cell r="N9" t="str">
            <v xml:space="preserve"> - </v>
          </cell>
          <cell r="O9" t="str">
            <v xml:space="preserve"> - </v>
          </cell>
        </row>
        <row r="10">
          <cell r="A10" t="str">
            <v>102 / A-10 THUNDERBOLT II SINGLE-SEAT TWIN-ENGINE STRAIGHT-WING JET</v>
          </cell>
          <cell r="B10" t="str">
            <v>DEPARTMENT OF DEFENSE / DOD</v>
          </cell>
          <cell r="C10" t="str">
            <v xml:space="preserve"> - </v>
          </cell>
          <cell r="D10" t="str">
            <v xml:space="preserve"> - </v>
          </cell>
          <cell r="E10" t="str">
            <v xml:space="preserve"> - </v>
          </cell>
          <cell r="F10" t="str">
            <v xml:space="preserve"> - </v>
          </cell>
          <cell r="G10" t="str">
            <v xml:space="preserve"> - </v>
          </cell>
          <cell r="H10" t="str">
            <v xml:space="preserve"> - </v>
          </cell>
          <cell r="I10" t="str">
            <v xml:space="preserve"> - </v>
          </cell>
          <cell r="J10" t="str">
            <v xml:space="preserve"> - </v>
          </cell>
          <cell r="K10" t="str">
            <v xml:space="preserve"> - </v>
          </cell>
          <cell r="L10" t="str">
            <v xml:space="preserve"> - </v>
          </cell>
          <cell r="M10" t="str">
            <v xml:space="preserve"> - </v>
          </cell>
          <cell r="N10" t="str">
            <v xml:space="preserve"> - </v>
          </cell>
          <cell r="O10" t="str">
            <v xml:space="preserve"> - </v>
          </cell>
        </row>
        <row r="11">
          <cell r="A11" t="str">
            <v>103 / E-3A AIRBORNE WARNING &amp; CONTROL SYSTEM (AWACS)</v>
          </cell>
          <cell r="B11" t="str">
            <v>DEPARTMENT OF DEFENSE / DOD</v>
          </cell>
          <cell r="C11" t="str">
            <v xml:space="preserve"> - </v>
          </cell>
          <cell r="D11" t="str">
            <v xml:space="preserve"> - </v>
          </cell>
          <cell r="E11" t="str">
            <v xml:space="preserve"> - </v>
          </cell>
          <cell r="F11" t="str">
            <v xml:space="preserve"> - </v>
          </cell>
          <cell r="G11" t="str">
            <v xml:space="preserve"> - </v>
          </cell>
          <cell r="H11" t="str">
            <v xml:space="preserve"> - </v>
          </cell>
          <cell r="I11" t="str">
            <v xml:space="preserve"> - </v>
          </cell>
          <cell r="J11" t="str">
            <v xml:space="preserve"> - </v>
          </cell>
          <cell r="K11" t="str">
            <v xml:space="preserve"> - </v>
          </cell>
          <cell r="L11" t="str">
            <v xml:space="preserve"> - </v>
          </cell>
          <cell r="M11" t="str">
            <v xml:space="preserve"> - </v>
          </cell>
          <cell r="N11" t="str">
            <v xml:space="preserve"> - </v>
          </cell>
          <cell r="O11" t="str">
            <v xml:space="preserve"> - </v>
          </cell>
        </row>
        <row r="12">
          <cell r="A12" t="str">
            <v>104 / RAVEN ELECTRONIC WARFARE</v>
          </cell>
          <cell r="B12" t="str">
            <v>DEPARTMENT OF DEFENSE / DOD</v>
          </cell>
          <cell r="C12" t="str">
            <v xml:space="preserve"> - </v>
          </cell>
          <cell r="D12" t="str">
            <v xml:space="preserve"> - </v>
          </cell>
          <cell r="E12" t="str">
            <v xml:space="preserve"> - </v>
          </cell>
          <cell r="F12" t="str">
            <v xml:space="preserve"> - </v>
          </cell>
          <cell r="G12" t="str">
            <v xml:space="preserve"> - </v>
          </cell>
          <cell r="H12" t="str">
            <v xml:space="preserve"> - </v>
          </cell>
          <cell r="I12" t="str">
            <v xml:space="preserve"> - </v>
          </cell>
          <cell r="J12" t="str">
            <v xml:space="preserve"> - </v>
          </cell>
          <cell r="K12" t="str">
            <v xml:space="preserve"> - </v>
          </cell>
          <cell r="L12" t="str">
            <v xml:space="preserve"> - </v>
          </cell>
          <cell r="M12" t="str">
            <v xml:space="preserve"> - </v>
          </cell>
          <cell r="N12" t="str">
            <v xml:space="preserve"> - </v>
          </cell>
          <cell r="O12" t="str">
            <v xml:space="preserve"> - </v>
          </cell>
        </row>
        <row r="13">
          <cell r="A13" t="str">
            <v>105 / AN/BQS SONAR FOR OHIO CLASS SUBMARINES</v>
          </cell>
          <cell r="B13" t="str">
            <v>DEPARTMENT OF DEFENSE / DOD</v>
          </cell>
          <cell r="C13" t="str">
            <v xml:space="preserve"> - </v>
          </cell>
          <cell r="D13" t="str">
            <v xml:space="preserve"> - </v>
          </cell>
          <cell r="E13" t="str">
            <v xml:space="preserve"> - </v>
          </cell>
          <cell r="F13" t="str">
            <v xml:space="preserve"> - </v>
          </cell>
          <cell r="G13" t="str">
            <v xml:space="preserve"> - </v>
          </cell>
          <cell r="H13" t="str">
            <v xml:space="preserve"> - </v>
          </cell>
          <cell r="I13" t="str">
            <v xml:space="preserve"> - </v>
          </cell>
          <cell r="J13" t="str">
            <v xml:space="preserve"> - </v>
          </cell>
          <cell r="K13" t="str">
            <v xml:space="preserve"> - </v>
          </cell>
          <cell r="L13" t="str">
            <v xml:space="preserve"> - </v>
          </cell>
          <cell r="M13" t="str">
            <v xml:space="preserve"> - </v>
          </cell>
          <cell r="N13" t="str">
            <v xml:space="preserve"> - </v>
          </cell>
          <cell r="O13" t="str">
            <v xml:space="preserve"> - </v>
          </cell>
        </row>
        <row r="14">
          <cell r="A14" t="str">
            <v>106 / ADVANCED SURFACE TO AIR GUIDED MISSILE</v>
          </cell>
          <cell r="B14" t="str">
            <v>DEPARTMENT OF DEFENSE / DOD</v>
          </cell>
          <cell r="C14" t="str">
            <v xml:space="preserve"> - </v>
          </cell>
          <cell r="D14" t="str">
            <v xml:space="preserve"> - </v>
          </cell>
          <cell r="E14" t="str">
            <v xml:space="preserve"> - </v>
          </cell>
          <cell r="F14" t="str">
            <v xml:space="preserve"> - </v>
          </cell>
          <cell r="G14" t="str">
            <v xml:space="preserve"> - </v>
          </cell>
          <cell r="H14" t="str">
            <v xml:space="preserve"> - </v>
          </cell>
          <cell r="I14" t="str">
            <v xml:space="preserve"> - </v>
          </cell>
          <cell r="J14" t="str">
            <v xml:space="preserve"> - </v>
          </cell>
          <cell r="K14" t="str">
            <v xml:space="preserve"> - </v>
          </cell>
          <cell r="L14" t="str">
            <v xml:space="preserve"> - </v>
          </cell>
          <cell r="M14" t="str">
            <v xml:space="preserve"> - </v>
          </cell>
          <cell r="N14" t="str">
            <v xml:space="preserve"> - </v>
          </cell>
          <cell r="O14" t="str">
            <v xml:space="preserve"> - </v>
          </cell>
        </row>
        <row r="15">
          <cell r="A15" t="str">
            <v>107 / PERSHING II MISSLE</v>
          </cell>
          <cell r="B15" t="str">
            <v>DEPARTMENT OF DEFENSE / DOD</v>
          </cell>
          <cell r="C15" t="str">
            <v xml:space="preserve"> - </v>
          </cell>
          <cell r="D15" t="str">
            <v xml:space="preserve"> - </v>
          </cell>
          <cell r="E15" t="str">
            <v xml:space="preserve"> - </v>
          </cell>
          <cell r="F15" t="str">
            <v xml:space="preserve"> - </v>
          </cell>
          <cell r="G15" t="str">
            <v xml:space="preserve"> - </v>
          </cell>
          <cell r="H15" t="str">
            <v xml:space="preserve"> - </v>
          </cell>
          <cell r="I15" t="str">
            <v xml:space="preserve"> - </v>
          </cell>
          <cell r="J15" t="str">
            <v xml:space="preserve"> - </v>
          </cell>
          <cell r="K15" t="str">
            <v xml:space="preserve"> - </v>
          </cell>
          <cell r="L15" t="str">
            <v xml:space="preserve"> - </v>
          </cell>
          <cell r="M15" t="str">
            <v xml:space="preserve"> - </v>
          </cell>
          <cell r="N15" t="str">
            <v xml:space="preserve"> - </v>
          </cell>
          <cell r="O15" t="str">
            <v xml:space="preserve"> - </v>
          </cell>
        </row>
        <row r="16">
          <cell r="A16" t="str">
            <v>108 / ADVANCED MISSILE ARMAMENT FOR ARMY AH-64 APACHE AND USMC AH-1W HELIPCOPTERS</v>
          </cell>
          <cell r="B16" t="str">
            <v>DEPARTMENT OF DEFENSE / DOD</v>
          </cell>
          <cell r="C16" t="str">
            <v xml:space="preserve"> - </v>
          </cell>
          <cell r="D16" t="str">
            <v xml:space="preserve"> - </v>
          </cell>
          <cell r="E16" t="str">
            <v xml:space="preserve"> - </v>
          </cell>
          <cell r="F16" t="str">
            <v xml:space="preserve"> - </v>
          </cell>
          <cell r="G16" t="str">
            <v xml:space="preserve"> - </v>
          </cell>
          <cell r="H16" t="str">
            <v xml:space="preserve"> - </v>
          </cell>
          <cell r="I16" t="str">
            <v xml:space="preserve"> - </v>
          </cell>
          <cell r="J16" t="str">
            <v xml:space="preserve"> - </v>
          </cell>
          <cell r="K16" t="str">
            <v xml:space="preserve"> - </v>
          </cell>
          <cell r="L16" t="str">
            <v xml:space="preserve"> - </v>
          </cell>
          <cell r="M16" t="str">
            <v xml:space="preserve"> - </v>
          </cell>
          <cell r="N16" t="str">
            <v xml:space="preserve"> - </v>
          </cell>
          <cell r="O16" t="str">
            <v xml:space="preserve"> - </v>
          </cell>
        </row>
        <row r="17">
          <cell r="A17" t="str">
            <v>109 / 5-INCH GUIDED PROJECTILE</v>
          </cell>
          <cell r="B17" t="str">
            <v>DEPARTMENT OF DEFENSE / DOD</v>
          </cell>
          <cell r="C17" t="str">
            <v xml:space="preserve"> - </v>
          </cell>
          <cell r="D17" t="str">
            <v xml:space="preserve"> - </v>
          </cell>
          <cell r="E17" t="str">
            <v xml:space="preserve"> - </v>
          </cell>
          <cell r="F17" t="str">
            <v xml:space="preserve"> - </v>
          </cell>
          <cell r="G17" t="str">
            <v xml:space="preserve"> - </v>
          </cell>
          <cell r="H17" t="str">
            <v xml:space="preserve"> - </v>
          </cell>
          <cell r="I17" t="str">
            <v xml:space="preserve"> - </v>
          </cell>
          <cell r="J17" t="str">
            <v xml:space="preserve"> - </v>
          </cell>
          <cell r="K17" t="str">
            <v xml:space="preserve"> - </v>
          </cell>
          <cell r="L17" t="str">
            <v xml:space="preserve"> - </v>
          </cell>
          <cell r="M17" t="str">
            <v xml:space="preserve"> - </v>
          </cell>
          <cell r="N17" t="str">
            <v xml:space="preserve"> - </v>
          </cell>
          <cell r="O17" t="str">
            <v xml:space="preserve"> - </v>
          </cell>
        </row>
        <row r="18">
          <cell r="A18" t="str">
            <v>110 / INTEGRATED MISSILE COMBAT SYSTEM FOR SURFACE SHIPS</v>
          </cell>
          <cell r="B18" t="str">
            <v>DEPARTMENT OF DEFENSE / DOD</v>
          </cell>
          <cell r="C18" t="str">
            <v xml:space="preserve"> - </v>
          </cell>
          <cell r="D18" t="str">
            <v xml:space="preserve"> - </v>
          </cell>
          <cell r="E18" t="str">
            <v xml:space="preserve"> - </v>
          </cell>
          <cell r="F18" t="str">
            <v xml:space="preserve"> - </v>
          </cell>
          <cell r="G18" t="str">
            <v xml:space="preserve"> - </v>
          </cell>
          <cell r="H18" t="str">
            <v xml:space="preserve"> - </v>
          </cell>
          <cell r="I18" t="str">
            <v xml:space="preserve"> - </v>
          </cell>
          <cell r="J18" t="str">
            <v xml:space="preserve"> - </v>
          </cell>
          <cell r="K18" t="str">
            <v xml:space="preserve"> - </v>
          </cell>
          <cell r="L18" t="str">
            <v xml:space="preserve"> - </v>
          </cell>
          <cell r="M18" t="str">
            <v xml:space="preserve"> - </v>
          </cell>
          <cell r="N18" t="str">
            <v xml:space="preserve"> - </v>
          </cell>
          <cell r="O18" t="str">
            <v xml:space="preserve"> - </v>
          </cell>
        </row>
        <row r="19">
          <cell r="A19" t="str">
            <v>111 / AIR LAUNCHED CRUISE MISSILE</v>
          </cell>
          <cell r="B19" t="str">
            <v>DEPARTMENT OF DEFENSE / DOD</v>
          </cell>
          <cell r="C19" t="str">
            <v xml:space="preserve"> - </v>
          </cell>
          <cell r="D19" t="str">
            <v xml:space="preserve"> - </v>
          </cell>
          <cell r="E19" t="str">
            <v xml:space="preserve"> - </v>
          </cell>
          <cell r="F19" t="str">
            <v xml:space="preserve"> - </v>
          </cell>
          <cell r="G19" t="str">
            <v xml:space="preserve"> - </v>
          </cell>
          <cell r="H19" t="str">
            <v xml:space="preserve"> - </v>
          </cell>
          <cell r="I19" t="str">
            <v xml:space="preserve"> - </v>
          </cell>
          <cell r="J19" t="str">
            <v xml:space="preserve"> - </v>
          </cell>
          <cell r="K19" t="str">
            <v xml:space="preserve"> - </v>
          </cell>
          <cell r="L19" t="str">
            <v xml:space="preserve"> - </v>
          </cell>
          <cell r="M19" t="str">
            <v xml:space="preserve"> - </v>
          </cell>
          <cell r="N19" t="str">
            <v xml:space="preserve"> - </v>
          </cell>
          <cell r="O19" t="str">
            <v xml:space="preserve"> - </v>
          </cell>
        </row>
        <row r="20">
          <cell r="A20" t="str">
            <v>112 / DIGITAL CIRCUIT SWITCH FOR TACTICAL COMMUNICATIONS</v>
          </cell>
          <cell r="B20" t="str">
            <v>DEPARTMENT OF DEFENSE / DOD</v>
          </cell>
          <cell r="C20" t="str">
            <v xml:space="preserve"> - </v>
          </cell>
          <cell r="D20" t="str">
            <v xml:space="preserve"> - </v>
          </cell>
          <cell r="E20" t="str">
            <v xml:space="preserve"> - </v>
          </cell>
          <cell r="F20" t="str">
            <v xml:space="preserve"> - </v>
          </cell>
          <cell r="G20" t="str">
            <v xml:space="preserve"> - </v>
          </cell>
          <cell r="H20" t="str">
            <v xml:space="preserve"> - </v>
          </cell>
          <cell r="I20" t="str">
            <v xml:space="preserve"> - </v>
          </cell>
          <cell r="J20" t="str">
            <v xml:space="preserve"> - </v>
          </cell>
          <cell r="K20" t="str">
            <v xml:space="preserve"> - </v>
          </cell>
          <cell r="L20" t="str">
            <v xml:space="preserve"> - </v>
          </cell>
          <cell r="M20" t="str">
            <v xml:space="preserve"> - </v>
          </cell>
          <cell r="N20" t="str">
            <v xml:space="preserve"> - </v>
          </cell>
          <cell r="O20" t="str">
            <v xml:space="preserve"> - </v>
          </cell>
        </row>
        <row r="21">
          <cell r="A21" t="str">
            <v>114 / VIRGIN-CLASS NUCLEAR GUIDED MISSILE CRUISER</v>
          </cell>
          <cell r="B21" t="str">
            <v>DEPARTMENT OF DEFENSE / DOD</v>
          </cell>
          <cell r="C21" t="str">
            <v xml:space="preserve"> - </v>
          </cell>
          <cell r="D21" t="str">
            <v xml:space="preserve"> - </v>
          </cell>
          <cell r="E21" t="str">
            <v xml:space="preserve"> - </v>
          </cell>
          <cell r="F21" t="str">
            <v xml:space="preserve"> - </v>
          </cell>
          <cell r="G21" t="str">
            <v xml:space="preserve"> - </v>
          </cell>
          <cell r="H21" t="str">
            <v xml:space="preserve"> - </v>
          </cell>
          <cell r="I21" t="str">
            <v xml:space="preserve"> - </v>
          </cell>
          <cell r="J21" t="str">
            <v xml:space="preserve"> - </v>
          </cell>
          <cell r="K21" t="str">
            <v xml:space="preserve"> - </v>
          </cell>
          <cell r="L21" t="str">
            <v xml:space="preserve"> - </v>
          </cell>
          <cell r="M21" t="str">
            <v xml:space="preserve"> - </v>
          </cell>
          <cell r="N21" t="str">
            <v xml:space="preserve"> - </v>
          </cell>
          <cell r="O21" t="str">
            <v xml:space="preserve"> - </v>
          </cell>
        </row>
        <row r="22">
          <cell r="A22" t="str">
            <v>115 / CHINOOK HEAVY LIFT TRANSPORT HELICOPTER</v>
          </cell>
          <cell r="B22" t="str">
            <v>DEPARTMENT OF DEFENSE / DOD</v>
          </cell>
          <cell r="C22" t="str">
            <v xml:space="preserve"> - </v>
          </cell>
          <cell r="D22" t="str">
            <v xml:space="preserve"> - </v>
          </cell>
          <cell r="E22" t="str">
            <v xml:space="preserve"> - </v>
          </cell>
          <cell r="F22" t="str">
            <v xml:space="preserve"> - </v>
          </cell>
          <cell r="G22" t="str">
            <v xml:space="preserve"> - </v>
          </cell>
          <cell r="H22" t="str">
            <v xml:space="preserve"> - </v>
          </cell>
          <cell r="I22" t="str">
            <v xml:space="preserve"> - </v>
          </cell>
          <cell r="J22" t="str">
            <v xml:space="preserve"> - </v>
          </cell>
          <cell r="K22" t="str">
            <v xml:space="preserve"> - </v>
          </cell>
          <cell r="L22" t="str">
            <v xml:space="preserve"> - </v>
          </cell>
          <cell r="M22" t="str">
            <v xml:space="preserve"> - </v>
          </cell>
          <cell r="N22" t="str">
            <v xml:space="preserve"> - </v>
          </cell>
          <cell r="O22" t="str">
            <v xml:space="preserve"> - </v>
          </cell>
        </row>
        <row r="23">
          <cell r="A23" t="str">
            <v>116 / SEA DRAGON HELICOPTER FOR AIRBORNE MINE COUNTERMEASURES</v>
          </cell>
          <cell r="B23" t="str">
            <v>DEPARTMENT OF DEFENSE / DOD</v>
          </cell>
          <cell r="C23" t="str">
            <v xml:space="preserve"> - </v>
          </cell>
          <cell r="D23" t="str">
            <v xml:space="preserve"> - </v>
          </cell>
          <cell r="E23" t="str">
            <v xml:space="preserve"> - </v>
          </cell>
          <cell r="F23" t="str">
            <v xml:space="preserve"> - </v>
          </cell>
          <cell r="G23" t="str">
            <v xml:space="preserve"> - </v>
          </cell>
          <cell r="H23" t="str">
            <v xml:space="preserve"> - </v>
          </cell>
          <cell r="I23" t="str">
            <v xml:space="preserve"> - </v>
          </cell>
          <cell r="J23" t="str">
            <v xml:space="preserve"> - </v>
          </cell>
          <cell r="K23" t="str">
            <v xml:space="preserve"> - </v>
          </cell>
          <cell r="L23" t="str">
            <v xml:space="preserve"> - </v>
          </cell>
          <cell r="M23" t="str">
            <v xml:space="preserve"> - </v>
          </cell>
          <cell r="N23" t="str">
            <v xml:space="preserve"> - </v>
          </cell>
          <cell r="O23" t="str">
            <v xml:space="preserve"> - </v>
          </cell>
        </row>
        <row r="24">
          <cell r="A24" t="str">
            <v>117 / CHEYENNE ATTACK HELICOPTER</v>
          </cell>
          <cell r="B24" t="str">
            <v>DEPARTMENT OF DEFENSE / DOD</v>
          </cell>
          <cell r="C24" t="str">
            <v xml:space="preserve"> - </v>
          </cell>
          <cell r="D24" t="str">
            <v xml:space="preserve"> - </v>
          </cell>
          <cell r="E24" t="str">
            <v xml:space="preserve"> - </v>
          </cell>
          <cell r="F24" t="str">
            <v xml:space="preserve"> - </v>
          </cell>
          <cell r="G24" t="str">
            <v xml:space="preserve"> - </v>
          </cell>
          <cell r="H24" t="str">
            <v xml:space="preserve"> - </v>
          </cell>
          <cell r="I24" t="str">
            <v xml:space="preserve"> - </v>
          </cell>
          <cell r="J24" t="str">
            <v xml:space="preserve"> - </v>
          </cell>
          <cell r="K24" t="str">
            <v xml:space="preserve"> - </v>
          </cell>
          <cell r="L24" t="str">
            <v xml:space="preserve"> - </v>
          </cell>
          <cell r="M24" t="str">
            <v xml:space="preserve"> - </v>
          </cell>
          <cell r="N24" t="str">
            <v xml:space="preserve"> - </v>
          </cell>
          <cell r="O24" t="str">
            <v xml:space="preserve"> - </v>
          </cell>
        </row>
        <row r="25">
          <cell r="A25" t="str">
            <v>119 / UNKNOWN</v>
          </cell>
          <cell r="B25" t="str">
            <v>DEPARTMENT OF DEFENSE / DOD</v>
          </cell>
          <cell r="C25" t="str">
            <v xml:space="preserve"> - </v>
          </cell>
          <cell r="D25" t="str">
            <v xml:space="preserve"> - </v>
          </cell>
          <cell r="E25" t="str">
            <v xml:space="preserve"> - </v>
          </cell>
          <cell r="F25" t="str">
            <v xml:space="preserve"> - </v>
          </cell>
          <cell r="G25" t="str">
            <v xml:space="preserve"> - </v>
          </cell>
          <cell r="H25" t="str">
            <v xml:space="preserve"> - </v>
          </cell>
          <cell r="I25" t="str">
            <v xml:space="preserve"> - </v>
          </cell>
          <cell r="J25" t="str">
            <v xml:space="preserve"> - </v>
          </cell>
          <cell r="K25" t="str">
            <v xml:space="preserve"> - </v>
          </cell>
          <cell r="L25" t="str">
            <v xml:space="preserve"> - </v>
          </cell>
          <cell r="M25" t="str">
            <v xml:space="preserve"> - </v>
          </cell>
          <cell r="N25" t="str">
            <v xml:space="preserve"> - </v>
          </cell>
          <cell r="O25" t="str">
            <v xml:space="preserve"> - </v>
          </cell>
        </row>
        <row r="26">
          <cell r="A26" t="str">
            <v>120 / DEFENSE SATELLITE COMMUNICATIONS SYSTEM</v>
          </cell>
          <cell r="B26" t="str">
            <v>DEPARTMENT OF DEFENSE / DOD</v>
          </cell>
          <cell r="C26" t="str">
            <v xml:space="preserve"> - </v>
          </cell>
          <cell r="D26" t="str">
            <v xml:space="preserve"> - </v>
          </cell>
          <cell r="E26" t="str">
            <v xml:space="preserve"> - </v>
          </cell>
          <cell r="F26" t="str">
            <v xml:space="preserve"> - </v>
          </cell>
          <cell r="G26" t="str">
            <v xml:space="preserve"> - </v>
          </cell>
          <cell r="H26" t="str">
            <v xml:space="preserve"> - </v>
          </cell>
          <cell r="I26" t="str">
            <v xml:space="preserve"> - </v>
          </cell>
          <cell r="J26" t="str">
            <v xml:space="preserve"> - </v>
          </cell>
          <cell r="K26" t="str">
            <v xml:space="preserve"> - </v>
          </cell>
          <cell r="L26" t="str">
            <v xml:space="preserve"> - </v>
          </cell>
          <cell r="M26" t="str">
            <v xml:space="preserve"> - </v>
          </cell>
          <cell r="N26" t="str">
            <v xml:space="preserve"> - </v>
          </cell>
          <cell r="O26" t="str">
            <v xml:space="preserve"> - </v>
          </cell>
        </row>
        <row r="27">
          <cell r="A27" t="str">
            <v>121 / APS</v>
          </cell>
          <cell r="B27" t="str">
            <v>DEPARTMENT OF DEFENSE / DOD</v>
          </cell>
          <cell r="C27" t="str">
            <v xml:space="preserve"> - </v>
          </cell>
          <cell r="D27" t="str">
            <v xml:space="preserve"> - </v>
          </cell>
          <cell r="E27" t="str">
            <v xml:space="preserve"> - </v>
          </cell>
          <cell r="F27" t="str">
            <v xml:space="preserve"> - </v>
          </cell>
          <cell r="G27" t="str">
            <v xml:space="preserve"> - </v>
          </cell>
          <cell r="H27" t="str">
            <v xml:space="preserve"> - </v>
          </cell>
          <cell r="I27" t="str">
            <v xml:space="preserve"> - </v>
          </cell>
          <cell r="J27" t="str">
            <v xml:space="preserve"> - </v>
          </cell>
          <cell r="K27" t="str">
            <v xml:space="preserve"> - </v>
          </cell>
          <cell r="L27" t="str">
            <v xml:space="preserve"> - </v>
          </cell>
          <cell r="M27" t="str">
            <v xml:space="preserve"> - </v>
          </cell>
          <cell r="N27" t="str">
            <v xml:space="preserve"> - </v>
          </cell>
          <cell r="O27" t="str">
            <v xml:space="preserve"> - </v>
          </cell>
        </row>
        <row r="28">
          <cell r="A28" t="str">
            <v>122 / E-4 ADVANCED AIRBORNE MOBILE COMMAND POST</v>
          </cell>
          <cell r="B28" t="str">
            <v>DEPARTMENT OF DEFENSE / DOD</v>
          </cell>
          <cell r="C28" t="str">
            <v xml:space="preserve"> - </v>
          </cell>
          <cell r="D28" t="str">
            <v xml:space="preserve"> - </v>
          </cell>
          <cell r="E28" t="str">
            <v xml:space="preserve"> - </v>
          </cell>
          <cell r="F28" t="str">
            <v xml:space="preserve"> - </v>
          </cell>
          <cell r="G28" t="str">
            <v xml:space="preserve"> - </v>
          </cell>
          <cell r="H28" t="str">
            <v xml:space="preserve"> - </v>
          </cell>
          <cell r="I28" t="str">
            <v xml:space="preserve"> - </v>
          </cell>
          <cell r="J28" t="str">
            <v xml:space="preserve"> - </v>
          </cell>
          <cell r="K28" t="str">
            <v xml:space="preserve"> - </v>
          </cell>
          <cell r="L28" t="str">
            <v xml:space="preserve"> - </v>
          </cell>
          <cell r="M28" t="str">
            <v xml:space="preserve"> - </v>
          </cell>
          <cell r="N28" t="str">
            <v xml:space="preserve"> - </v>
          </cell>
          <cell r="O28" t="str">
            <v xml:space="preserve"> - </v>
          </cell>
        </row>
        <row r="29">
          <cell r="A29" t="str">
            <v>123 / TOMCAT FIGHTER</v>
          </cell>
          <cell r="B29" t="str">
            <v>DEPARTMENT OF DEFENSE / DOD</v>
          </cell>
          <cell r="C29" t="str">
            <v xml:space="preserve"> - </v>
          </cell>
          <cell r="D29" t="str">
            <v xml:space="preserve"> - </v>
          </cell>
          <cell r="E29" t="str">
            <v xml:space="preserve"> - </v>
          </cell>
          <cell r="F29" t="str">
            <v xml:space="preserve"> - </v>
          </cell>
          <cell r="G29" t="str">
            <v xml:space="preserve"> - </v>
          </cell>
          <cell r="H29" t="str">
            <v xml:space="preserve"> - </v>
          </cell>
          <cell r="I29" t="str">
            <v xml:space="preserve"> - </v>
          </cell>
          <cell r="J29" t="str">
            <v xml:space="preserve"> - </v>
          </cell>
          <cell r="K29" t="str">
            <v xml:space="preserve"> - </v>
          </cell>
          <cell r="L29" t="str">
            <v xml:space="preserve"> - </v>
          </cell>
          <cell r="M29" t="str">
            <v xml:space="preserve"> - </v>
          </cell>
          <cell r="N29" t="str">
            <v xml:space="preserve"> - </v>
          </cell>
          <cell r="O29" t="str">
            <v xml:space="preserve"> - </v>
          </cell>
        </row>
        <row r="30">
          <cell r="A30" t="str">
            <v>124 / F-15 EAGLE TACTICAL FIGHTER</v>
          </cell>
          <cell r="B30" t="str">
            <v>DEPARTMENT OF DEFENSE / DOD</v>
          </cell>
          <cell r="C30" t="str">
            <v xml:space="preserve"> - </v>
          </cell>
          <cell r="D30" t="str">
            <v xml:space="preserve"> - </v>
          </cell>
          <cell r="E30" t="str">
            <v xml:space="preserve"> - </v>
          </cell>
          <cell r="F30" t="str">
            <v xml:space="preserve"> - </v>
          </cell>
          <cell r="G30" t="str">
            <v xml:space="preserve"> - </v>
          </cell>
          <cell r="H30" t="str">
            <v xml:space="preserve"> - </v>
          </cell>
          <cell r="I30" t="str">
            <v xml:space="preserve"> - </v>
          </cell>
          <cell r="J30" t="str">
            <v xml:space="preserve"> - </v>
          </cell>
          <cell r="K30" t="str">
            <v xml:space="preserve"> - </v>
          </cell>
          <cell r="L30" t="str">
            <v xml:space="preserve"> - </v>
          </cell>
          <cell r="M30" t="str">
            <v xml:space="preserve"> - </v>
          </cell>
          <cell r="N30" t="str">
            <v xml:space="preserve"> - </v>
          </cell>
          <cell r="O30" t="str">
            <v xml:space="preserve"> - </v>
          </cell>
        </row>
        <row r="31">
          <cell r="A31" t="str">
            <v>125 / F-16 FIGHTING FALCON MULTIROLE JET FIGHTER/BOMBER</v>
          </cell>
          <cell r="B31" t="str">
            <v>DEPARTMENT OF DEFENSE / DOD</v>
          </cell>
          <cell r="C31" t="str">
            <v xml:space="preserve"> - </v>
          </cell>
          <cell r="D31" t="str">
            <v xml:space="preserve"> - </v>
          </cell>
          <cell r="E31" t="str">
            <v xml:space="preserve"> - </v>
          </cell>
          <cell r="F31" t="str">
            <v xml:space="preserve"> - </v>
          </cell>
          <cell r="G31" t="str">
            <v xml:space="preserve"> - </v>
          </cell>
          <cell r="H31" t="str">
            <v xml:space="preserve"> - </v>
          </cell>
          <cell r="I31" t="str">
            <v xml:space="preserve"> - </v>
          </cell>
          <cell r="J31" t="str">
            <v xml:space="preserve"> - </v>
          </cell>
          <cell r="K31" t="str">
            <v xml:space="preserve"> - </v>
          </cell>
          <cell r="L31" t="str">
            <v xml:space="preserve"> - </v>
          </cell>
          <cell r="M31" t="str">
            <v xml:space="preserve"> - </v>
          </cell>
          <cell r="N31" t="str">
            <v xml:space="preserve"> - </v>
          </cell>
          <cell r="O31" t="str">
            <v xml:space="preserve"> - </v>
          </cell>
        </row>
        <row r="32">
          <cell r="A32" t="str">
            <v>126 / F/A-18A/B/C/D HORNET MULTIROLE JET FIGHTER/BOMBER</v>
          </cell>
          <cell r="B32" t="str">
            <v>DEPARTMENT OF DEFENSE / DOD</v>
          </cell>
          <cell r="C32" t="str">
            <v xml:space="preserve"> - </v>
          </cell>
          <cell r="D32" t="str">
            <v xml:space="preserve"> - </v>
          </cell>
          <cell r="E32" t="str">
            <v xml:space="preserve"> - </v>
          </cell>
          <cell r="F32" t="str">
            <v xml:space="preserve"> - </v>
          </cell>
          <cell r="G32" t="str">
            <v xml:space="preserve"> - </v>
          </cell>
          <cell r="H32" t="str">
            <v xml:space="preserve"> - </v>
          </cell>
          <cell r="I32" t="str">
            <v xml:space="preserve"> - </v>
          </cell>
          <cell r="J32" t="str">
            <v xml:space="preserve"> - </v>
          </cell>
          <cell r="K32" t="str">
            <v xml:space="preserve"> - </v>
          </cell>
          <cell r="L32" t="str">
            <v xml:space="preserve"> - </v>
          </cell>
          <cell r="M32" t="str">
            <v xml:space="preserve"> - </v>
          </cell>
          <cell r="N32" t="str">
            <v xml:space="preserve"> - </v>
          </cell>
          <cell r="O32" t="str">
            <v xml:space="preserve"> - </v>
          </cell>
        </row>
        <row r="33">
          <cell r="A33" t="str">
            <v>127 / OLIVER HAZARD PERRY CLASS FRIGATE/SURFACE COMBATANT</v>
          </cell>
          <cell r="B33" t="str">
            <v>DEPARTMENT OF DEFENSE / DOD</v>
          </cell>
          <cell r="C33" t="str">
            <v xml:space="preserve"> - </v>
          </cell>
          <cell r="D33" t="str">
            <v xml:space="preserve"> - </v>
          </cell>
          <cell r="E33" t="str">
            <v xml:space="preserve"> - </v>
          </cell>
          <cell r="F33" t="str">
            <v xml:space="preserve"> - </v>
          </cell>
          <cell r="G33" t="str">
            <v xml:space="preserve"> - </v>
          </cell>
          <cell r="H33" t="str">
            <v xml:space="preserve"> - </v>
          </cell>
          <cell r="I33" t="str">
            <v xml:space="preserve"> - </v>
          </cell>
          <cell r="J33" t="str">
            <v xml:space="preserve"> - </v>
          </cell>
          <cell r="K33" t="str">
            <v xml:space="preserve"> - </v>
          </cell>
          <cell r="L33" t="str">
            <v xml:space="preserve"> - </v>
          </cell>
          <cell r="M33" t="str">
            <v xml:space="preserve"> - </v>
          </cell>
          <cell r="N33" t="str">
            <v xml:space="preserve"> - </v>
          </cell>
          <cell r="O33" t="str">
            <v xml:space="preserve"> - </v>
          </cell>
        </row>
        <row r="34">
          <cell r="A34" t="str">
            <v>128 / BRADLEY FIGHTING VEHICLE SYSTEM</v>
          </cell>
          <cell r="B34" t="str">
            <v>DEPARTMENT OF DEFENSE / DOD</v>
          </cell>
          <cell r="C34" t="str">
            <v xml:space="preserve"> - </v>
          </cell>
          <cell r="D34" t="str">
            <v xml:space="preserve"> - </v>
          </cell>
          <cell r="E34" t="str">
            <v xml:space="preserve"> - </v>
          </cell>
          <cell r="F34" t="str">
            <v xml:space="preserve"> - </v>
          </cell>
          <cell r="G34" t="str">
            <v xml:space="preserve"> - </v>
          </cell>
          <cell r="H34" t="str">
            <v xml:space="preserve"> - </v>
          </cell>
          <cell r="I34" t="str">
            <v xml:space="preserve"> - </v>
          </cell>
          <cell r="J34" t="str">
            <v xml:space="preserve"> - </v>
          </cell>
          <cell r="K34" t="str">
            <v xml:space="preserve"> - </v>
          </cell>
          <cell r="L34" t="str">
            <v xml:space="preserve"> - </v>
          </cell>
          <cell r="M34" t="str">
            <v xml:space="preserve"> - </v>
          </cell>
          <cell r="N34" t="str">
            <v xml:space="preserve"> - </v>
          </cell>
          <cell r="O34" t="str">
            <v xml:space="preserve"> - </v>
          </cell>
        </row>
        <row r="35">
          <cell r="A35" t="str">
            <v>130 / MULTIPLE LAUNCH ROCKET SYSTEM</v>
          </cell>
          <cell r="B35" t="str">
            <v>DEPARTMENT OF DEFENSE / DOD</v>
          </cell>
          <cell r="C35" t="str">
            <v xml:space="preserve"> - </v>
          </cell>
          <cell r="D35" t="str">
            <v xml:space="preserve"> - </v>
          </cell>
          <cell r="E35" t="str">
            <v xml:space="preserve"> - </v>
          </cell>
          <cell r="F35" t="str">
            <v xml:space="preserve"> - </v>
          </cell>
          <cell r="G35" t="str">
            <v xml:space="preserve"> - </v>
          </cell>
          <cell r="H35" t="str">
            <v xml:space="preserve"> - </v>
          </cell>
          <cell r="I35" t="str">
            <v xml:space="preserve"> - </v>
          </cell>
          <cell r="J35" t="str">
            <v xml:space="preserve"> - </v>
          </cell>
          <cell r="K35" t="str">
            <v xml:space="preserve"> - </v>
          </cell>
          <cell r="L35" t="str">
            <v xml:space="preserve"> - </v>
          </cell>
          <cell r="M35" t="str">
            <v xml:space="preserve"> - </v>
          </cell>
          <cell r="N35" t="str">
            <v xml:space="preserve"> - </v>
          </cell>
          <cell r="O35" t="str">
            <v xml:space="preserve"> - </v>
          </cell>
        </row>
        <row r="36">
          <cell r="A36" t="str">
            <v>131 / HIGH SPEED ANTI-RADIATION MISSLE (NAVY)</v>
          </cell>
          <cell r="B36" t="str">
            <v>DEPARTMENT OF DEFENSE / DOD</v>
          </cell>
          <cell r="C36" t="str">
            <v xml:space="preserve"> - </v>
          </cell>
          <cell r="D36" t="str">
            <v xml:space="preserve"> - </v>
          </cell>
          <cell r="E36" t="str">
            <v xml:space="preserve"> - </v>
          </cell>
          <cell r="F36" t="str">
            <v xml:space="preserve"> - </v>
          </cell>
          <cell r="G36" t="str">
            <v xml:space="preserve"> - </v>
          </cell>
          <cell r="H36" t="str">
            <v xml:space="preserve"> - </v>
          </cell>
          <cell r="I36" t="str">
            <v xml:space="preserve"> - </v>
          </cell>
          <cell r="J36" t="str">
            <v xml:space="preserve"> - </v>
          </cell>
          <cell r="K36" t="str">
            <v xml:space="preserve"> - </v>
          </cell>
          <cell r="L36" t="str">
            <v xml:space="preserve"> - </v>
          </cell>
          <cell r="M36" t="str">
            <v xml:space="preserve"> - </v>
          </cell>
          <cell r="N36" t="str">
            <v xml:space="preserve"> - </v>
          </cell>
          <cell r="O36" t="str">
            <v xml:space="preserve"> - </v>
          </cell>
        </row>
        <row r="37">
          <cell r="A37" t="str">
            <v>132 / HIGH SPEED ANTI-RADIATION MISSLE (AIR FORCE)</v>
          </cell>
          <cell r="B37" t="str">
            <v>DEPARTMENT OF DEFENSE / DOD</v>
          </cell>
          <cell r="C37" t="str">
            <v xml:space="preserve"> - </v>
          </cell>
          <cell r="D37" t="str">
            <v xml:space="preserve"> - </v>
          </cell>
          <cell r="E37" t="str">
            <v xml:space="preserve"> - </v>
          </cell>
          <cell r="F37" t="str">
            <v xml:space="preserve"> - </v>
          </cell>
          <cell r="G37" t="str">
            <v xml:space="preserve"> - </v>
          </cell>
          <cell r="H37" t="str">
            <v xml:space="preserve"> - </v>
          </cell>
          <cell r="I37" t="str">
            <v xml:space="preserve"> - </v>
          </cell>
          <cell r="J37" t="str">
            <v xml:space="preserve"> - </v>
          </cell>
          <cell r="K37" t="str">
            <v xml:space="preserve"> - </v>
          </cell>
          <cell r="L37" t="str">
            <v xml:space="preserve"> - </v>
          </cell>
          <cell r="M37" t="str">
            <v xml:space="preserve"> - </v>
          </cell>
          <cell r="N37" t="str">
            <v xml:space="preserve"> - </v>
          </cell>
          <cell r="O37" t="str">
            <v xml:space="preserve"> - </v>
          </cell>
        </row>
        <row r="38">
          <cell r="A38" t="str">
            <v>133 / HARPOON MISSILE</v>
          </cell>
          <cell r="B38" t="str">
            <v>DEPARTMENT OF DEFENSE / DOD</v>
          </cell>
          <cell r="C38" t="str">
            <v xml:space="preserve"> - </v>
          </cell>
          <cell r="D38" t="str">
            <v xml:space="preserve"> - </v>
          </cell>
          <cell r="E38" t="str">
            <v xml:space="preserve"> - </v>
          </cell>
          <cell r="F38" t="str">
            <v xml:space="preserve"> - </v>
          </cell>
          <cell r="G38" t="str">
            <v xml:space="preserve"> - </v>
          </cell>
          <cell r="H38" t="str">
            <v xml:space="preserve"> - </v>
          </cell>
          <cell r="I38" t="str">
            <v xml:space="preserve"> - </v>
          </cell>
          <cell r="J38" t="str">
            <v xml:space="preserve"> - </v>
          </cell>
          <cell r="K38" t="str">
            <v xml:space="preserve"> - </v>
          </cell>
          <cell r="L38" t="str">
            <v xml:space="preserve"> - </v>
          </cell>
          <cell r="M38" t="str">
            <v xml:space="preserve"> - </v>
          </cell>
          <cell r="N38" t="str">
            <v xml:space="preserve"> - </v>
          </cell>
          <cell r="O38" t="str">
            <v xml:space="preserve"> - </v>
          </cell>
        </row>
        <row r="39">
          <cell r="A39" t="str">
            <v>134 / LIGHT AIRBORNE MULTIPURPOSE SYSTEM SH-60 SEAHAWK HELICOPTER</v>
          </cell>
          <cell r="B39" t="str">
            <v>DEPARTMENT OF DEFENSE / DOD</v>
          </cell>
          <cell r="C39" t="str">
            <v xml:space="preserve"> - </v>
          </cell>
          <cell r="D39" t="str">
            <v xml:space="preserve"> - </v>
          </cell>
          <cell r="E39" t="str">
            <v xml:space="preserve"> - </v>
          </cell>
          <cell r="F39" t="str">
            <v xml:space="preserve"> - </v>
          </cell>
          <cell r="G39" t="str">
            <v xml:space="preserve"> - </v>
          </cell>
          <cell r="H39" t="str">
            <v xml:space="preserve"> - </v>
          </cell>
          <cell r="I39" t="str">
            <v xml:space="preserve"> - </v>
          </cell>
          <cell r="J39" t="str">
            <v xml:space="preserve"> - </v>
          </cell>
          <cell r="K39" t="str">
            <v xml:space="preserve"> - </v>
          </cell>
          <cell r="L39" t="str">
            <v xml:space="preserve"> - </v>
          </cell>
          <cell r="M39" t="str">
            <v xml:space="preserve"> - </v>
          </cell>
          <cell r="N39" t="str">
            <v xml:space="preserve"> - </v>
          </cell>
          <cell r="O39" t="str">
            <v xml:space="preserve"> - </v>
          </cell>
        </row>
        <row r="40">
          <cell r="A40" t="str">
            <v>135 / LANDING HELICOPTER ASSAULT (A HULL CLASSIFICATION) FOR TARAWA AND LHA-6 AMPHIBIOUS ASSAULT S</v>
          </cell>
          <cell r="B40" t="str">
            <v>DEPARTMENT OF DEFENSE / DOD</v>
          </cell>
          <cell r="C40" t="str">
            <v xml:space="preserve"> - </v>
          </cell>
          <cell r="D40" t="str">
            <v xml:space="preserve"> - </v>
          </cell>
          <cell r="E40" t="str">
            <v xml:space="preserve"> - </v>
          </cell>
          <cell r="F40" t="str">
            <v xml:space="preserve"> - </v>
          </cell>
          <cell r="G40" t="str">
            <v xml:space="preserve"> - </v>
          </cell>
          <cell r="H40" t="str">
            <v xml:space="preserve"> - </v>
          </cell>
          <cell r="I40" t="str">
            <v xml:space="preserve"> - </v>
          </cell>
          <cell r="J40" t="str">
            <v xml:space="preserve"> - </v>
          </cell>
          <cell r="K40" t="str">
            <v xml:space="preserve"> - </v>
          </cell>
          <cell r="L40" t="str">
            <v xml:space="preserve"> - </v>
          </cell>
          <cell r="M40" t="str">
            <v xml:space="preserve"> - </v>
          </cell>
          <cell r="N40" t="str">
            <v xml:space="preserve"> - </v>
          </cell>
          <cell r="O40" t="str">
            <v xml:space="preserve"> - </v>
          </cell>
        </row>
        <row r="41">
          <cell r="A41" t="str">
            <v>136 / M198 TOWED HOWITZER (155MM)</v>
          </cell>
          <cell r="B41" t="str">
            <v>DEPARTMENT OF DEFENSE / DOD</v>
          </cell>
          <cell r="C41" t="str">
            <v xml:space="preserve"> - </v>
          </cell>
          <cell r="D41" t="str">
            <v xml:space="preserve"> - </v>
          </cell>
          <cell r="E41" t="str">
            <v xml:space="preserve"> - </v>
          </cell>
          <cell r="F41" t="str">
            <v xml:space="preserve"> - </v>
          </cell>
          <cell r="G41" t="str">
            <v xml:space="preserve"> - </v>
          </cell>
          <cell r="H41" t="str">
            <v xml:space="preserve"> - </v>
          </cell>
          <cell r="I41" t="str">
            <v xml:space="preserve"> - </v>
          </cell>
          <cell r="J41" t="str">
            <v xml:space="preserve"> - </v>
          </cell>
          <cell r="K41" t="str">
            <v xml:space="preserve"> - </v>
          </cell>
          <cell r="L41" t="str">
            <v xml:space="preserve"> - </v>
          </cell>
          <cell r="M41" t="str">
            <v xml:space="preserve"> - </v>
          </cell>
          <cell r="N41" t="str">
            <v xml:space="preserve"> - </v>
          </cell>
          <cell r="O41" t="str">
            <v xml:space="preserve"> - </v>
          </cell>
        </row>
        <row r="42">
          <cell r="A42" t="str">
            <v>137 / AGM-65 AR-GROUND MISSILE</v>
          </cell>
          <cell r="B42" t="str">
            <v>DEPARTMENT OF DEFENSE / DOD</v>
          </cell>
          <cell r="C42" t="str">
            <v xml:space="preserve"> - </v>
          </cell>
          <cell r="D42" t="str">
            <v xml:space="preserve"> - </v>
          </cell>
          <cell r="E42" t="str">
            <v xml:space="preserve"> - </v>
          </cell>
          <cell r="F42" t="str">
            <v xml:space="preserve"> - </v>
          </cell>
          <cell r="G42" t="str">
            <v xml:space="preserve"> - </v>
          </cell>
          <cell r="H42" t="str">
            <v xml:space="preserve"> - </v>
          </cell>
          <cell r="I42" t="str">
            <v xml:space="preserve"> - </v>
          </cell>
          <cell r="J42" t="str">
            <v xml:space="preserve"> - </v>
          </cell>
          <cell r="K42" t="str">
            <v xml:space="preserve"> - </v>
          </cell>
          <cell r="L42" t="str">
            <v xml:space="preserve"> - </v>
          </cell>
          <cell r="M42" t="str">
            <v xml:space="preserve"> - </v>
          </cell>
          <cell r="N42" t="str">
            <v xml:space="preserve"> - </v>
          </cell>
          <cell r="O42" t="str">
            <v xml:space="preserve"> - </v>
          </cell>
        </row>
        <row r="43">
          <cell r="A43" t="str">
            <v>138 / UNKNOWN</v>
          </cell>
          <cell r="B43" t="str">
            <v>DEPARTMENT OF DEFENSE / DOD</v>
          </cell>
          <cell r="C43" t="str">
            <v xml:space="preserve"> - </v>
          </cell>
          <cell r="D43" t="str">
            <v xml:space="preserve"> - </v>
          </cell>
          <cell r="E43" t="str">
            <v xml:space="preserve"> - </v>
          </cell>
          <cell r="F43" t="str">
            <v xml:space="preserve"> - </v>
          </cell>
          <cell r="G43" t="str">
            <v xml:space="preserve"> - </v>
          </cell>
          <cell r="H43" t="str">
            <v xml:space="preserve"> - </v>
          </cell>
          <cell r="I43" t="str">
            <v xml:space="preserve"> - </v>
          </cell>
          <cell r="J43" t="str">
            <v xml:space="preserve"> - </v>
          </cell>
          <cell r="K43" t="str">
            <v xml:space="preserve"> - </v>
          </cell>
          <cell r="L43" t="str">
            <v xml:space="preserve"> - </v>
          </cell>
          <cell r="M43" t="str">
            <v xml:space="preserve"> - </v>
          </cell>
          <cell r="N43" t="str">
            <v xml:space="preserve"> - </v>
          </cell>
          <cell r="O43" t="str">
            <v xml:space="preserve"> - </v>
          </cell>
        </row>
        <row r="44">
          <cell r="A44" t="str">
            <v>139 / MK48 TORPEDO</v>
          </cell>
          <cell r="B44" t="str">
            <v>DEPARTMENT OF DEFENSE / DOD</v>
          </cell>
          <cell r="C44" t="str">
            <v xml:space="preserve"> - </v>
          </cell>
          <cell r="D44" t="str">
            <v xml:space="preserve"> - </v>
          </cell>
          <cell r="E44" t="str">
            <v xml:space="preserve"> - </v>
          </cell>
          <cell r="F44" t="str">
            <v xml:space="preserve"> - </v>
          </cell>
          <cell r="G44" t="str">
            <v xml:space="preserve"> - </v>
          </cell>
          <cell r="H44" t="str">
            <v xml:space="preserve"> - </v>
          </cell>
          <cell r="I44" t="str">
            <v xml:space="preserve"> - </v>
          </cell>
          <cell r="J44" t="str">
            <v xml:space="preserve"> - </v>
          </cell>
          <cell r="K44" t="str">
            <v xml:space="preserve"> - </v>
          </cell>
          <cell r="L44" t="str">
            <v xml:space="preserve"> - </v>
          </cell>
          <cell r="M44" t="str">
            <v xml:space="preserve"> - </v>
          </cell>
          <cell r="N44" t="str">
            <v xml:space="preserve"> - </v>
          </cell>
          <cell r="O44" t="str">
            <v xml:space="preserve"> - </v>
          </cell>
        </row>
        <row r="45">
          <cell r="A45" t="str">
            <v>142 / PHOENIX LONG-RANGE AIR-TO-AIR MISSILE</v>
          </cell>
          <cell r="B45" t="str">
            <v>DEPARTMENT OF DEFENSE / DOD</v>
          </cell>
          <cell r="C45" t="str">
            <v xml:space="preserve"> - </v>
          </cell>
          <cell r="D45" t="str">
            <v xml:space="preserve"> - </v>
          </cell>
          <cell r="E45" t="str">
            <v xml:space="preserve"> - </v>
          </cell>
          <cell r="F45" t="str">
            <v xml:space="preserve"> - </v>
          </cell>
          <cell r="G45" t="str">
            <v xml:space="preserve"> - </v>
          </cell>
          <cell r="H45" t="str">
            <v xml:space="preserve"> - </v>
          </cell>
          <cell r="I45" t="str">
            <v xml:space="preserve"> - </v>
          </cell>
          <cell r="J45" t="str">
            <v xml:space="preserve"> - </v>
          </cell>
          <cell r="K45" t="str">
            <v xml:space="preserve"> - </v>
          </cell>
          <cell r="L45" t="str">
            <v xml:space="preserve"> - </v>
          </cell>
          <cell r="M45" t="str">
            <v xml:space="preserve"> - </v>
          </cell>
          <cell r="N45" t="str">
            <v xml:space="preserve"> - </v>
          </cell>
          <cell r="O45" t="str">
            <v xml:space="preserve"> - </v>
          </cell>
        </row>
        <row r="46">
          <cell r="A46" t="str">
            <v>144 / SIDEWINDER (AIM-9L) (NAVY)</v>
          </cell>
          <cell r="B46" t="str">
            <v>DEPARTMENT OF DEFENSE / DOD</v>
          </cell>
          <cell r="C46" t="str">
            <v xml:space="preserve"> - </v>
          </cell>
          <cell r="D46" t="str">
            <v xml:space="preserve"> - </v>
          </cell>
          <cell r="E46" t="str">
            <v xml:space="preserve"> - </v>
          </cell>
          <cell r="F46" t="str">
            <v xml:space="preserve"> - </v>
          </cell>
          <cell r="G46" t="str">
            <v xml:space="preserve"> - </v>
          </cell>
          <cell r="H46" t="str">
            <v xml:space="preserve"> - </v>
          </cell>
          <cell r="I46" t="str">
            <v xml:space="preserve"> - </v>
          </cell>
          <cell r="J46" t="str">
            <v xml:space="preserve"> - </v>
          </cell>
          <cell r="K46" t="str">
            <v xml:space="preserve"> - </v>
          </cell>
          <cell r="L46" t="str">
            <v xml:space="preserve"> - </v>
          </cell>
          <cell r="M46" t="str">
            <v xml:space="preserve"> - </v>
          </cell>
          <cell r="N46" t="str">
            <v xml:space="preserve"> - </v>
          </cell>
          <cell r="O46" t="str">
            <v xml:space="preserve"> - </v>
          </cell>
        </row>
        <row r="47">
          <cell r="A47" t="str">
            <v>145 / UNKNOWN</v>
          </cell>
          <cell r="B47" t="str">
            <v>DEPARTMENT OF DEFENSE / DOD</v>
          </cell>
          <cell r="C47" t="str">
            <v xml:space="preserve"> - </v>
          </cell>
          <cell r="D47" t="str">
            <v xml:space="preserve"> - </v>
          </cell>
          <cell r="E47" t="str">
            <v xml:space="preserve"> - </v>
          </cell>
          <cell r="F47" t="str">
            <v xml:space="preserve"> - </v>
          </cell>
          <cell r="G47" t="str">
            <v xml:space="preserve"> - </v>
          </cell>
          <cell r="H47" t="str">
            <v xml:space="preserve"> - </v>
          </cell>
          <cell r="I47" t="str">
            <v xml:space="preserve"> - </v>
          </cell>
          <cell r="J47" t="str">
            <v xml:space="preserve"> - </v>
          </cell>
          <cell r="K47" t="str">
            <v xml:space="preserve"> - </v>
          </cell>
          <cell r="L47" t="str">
            <v xml:space="preserve"> - </v>
          </cell>
          <cell r="M47" t="str">
            <v xml:space="preserve"> - </v>
          </cell>
          <cell r="N47" t="str">
            <v xml:space="preserve"> - </v>
          </cell>
          <cell r="O47" t="str">
            <v xml:space="preserve"> - </v>
          </cell>
        </row>
        <row r="48">
          <cell r="A48" t="str">
            <v>147 / SPARROW AIM-7 AIR-TO-AIR MISSILE</v>
          </cell>
          <cell r="B48" t="str">
            <v>DEPARTMENT OF DEFENSE / DOD</v>
          </cell>
          <cell r="C48" t="str">
            <v xml:space="preserve"> - </v>
          </cell>
          <cell r="D48" t="str">
            <v xml:space="preserve"> - </v>
          </cell>
          <cell r="E48" t="str">
            <v xml:space="preserve"> - </v>
          </cell>
          <cell r="F48" t="str">
            <v xml:space="preserve"> - </v>
          </cell>
          <cell r="G48" t="str">
            <v xml:space="preserve"> - </v>
          </cell>
          <cell r="H48" t="str">
            <v xml:space="preserve"> - </v>
          </cell>
          <cell r="I48" t="str">
            <v xml:space="preserve"> - </v>
          </cell>
          <cell r="J48" t="str">
            <v xml:space="preserve"> - </v>
          </cell>
          <cell r="K48" t="str">
            <v xml:space="preserve"> - </v>
          </cell>
          <cell r="L48" t="str">
            <v xml:space="preserve"> - </v>
          </cell>
          <cell r="M48" t="str">
            <v xml:space="preserve"> - </v>
          </cell>
          <cell r="N48" t="str">
            <v xml:space="preserve"> - </v>
          </cell>
          <cell r="O48" t="str">
            <v xml:space="preserve"> - </v>
          </cell>
        </row>
        <row r="49">
          <cell r="A49" t="str">
            <v>148 / PATRIOT PAC-3 ADVANCED SURFACE-TO-AIR GUIDED MISSILE</v>
          </cell>
          <cell r="B49" t="str">
            <v>DEPARTMENT OF DEFENSE / DOD</v>
          </cell>
          <cell r="C49" t="str">
            <v xml:space="preserve"> - </v>
          </cell>
          <cell r="D49" t="str">
            <v xml:space="preserve"> - </v>
          </cell>
          <cell r="E49" t="str">
            <v xml:space="preserve"> - </v>
          </cell>
          <cell r="F49" t="str">
            <v xml:space="preserve"> - </v>
          </cell>
          <cell r="G49" t="str">
            <v xml:space="preserve"> - </v>
          </cell>
          <cell r="H49" t="str">
            <v xml:space="preserve"> - </v>
          </cell>
          <cell r="I49" t="str">
            <v xml:space="preserve"> - </v>
          </cell>
          <cell r="J49" t="str">
            <v xml:space="preserve"> - </v>
          </cell>
          <cell r="K49" t="str">
            <v xml:space="preserve"> - </v>
          </cell>
          <cell r="L49" t="str">
            <v xml:space="preserve"> - </v>
          </cell>
          <cell r="M49" t="str">
            <v xml:space="preserve"> - </v>
          </cell>
          <cell r="N49" t="str">
            <v xml:space="preserve"> - </v>
          </cell>
          <cell r="O49" t="str">
            <v xml:space="preserve"> - </v>
          </cell>
        </row>
        <row r="50">
          <cell r="A50" t="str">
            <v>149 / SSN 688 LOS ANGELES CLASS SUBMARINE</v>
          </cell>
          <cell r="B50" t="str">
            <v>DEPARTMENT OF DEFENSE / DOD</v>
          </cell>
          <cell r="C50" t="str">
            <v xml:space="preserve"> - </v>
          </cell>
          <cell r="D50" t="str">
            <v xml:space="preserve"> - </v>
          </cell>
          <cell r="E50" t="str">
            <v xml:space="preserve"> - </v>
          </cell>
          <cell r="F50" t="str">
            <v xml:space="preserve"> - </v>
          </cell>
          <cell r="G50" t="str">
            <v xml:space="preserve"> - </v>
          </cell>
          <cell r="H50" t="str">
            <v xml:space="preserve"> - </v>
          </cell>
          <cell r="I50" t="str">
            <v xml:space="preserve"> - </v>
          </cell>
          <cell r="J50" t="str">
            <v xml:space="preserve"> - </v>
          </cell>
          <cell r="K50" t="str">
            <v xml:space="preserve"> - </v>
          </cell>
          <cell r="L50" t="str">
            <v xml:space="preserve"> - </v>
          </cell>
          <cell r="M50" t="str">
            <v xml:space="preserve"> - </v>
          </cell>
          <cell r="N50" t="str">
            <v xml:space="preserve"> - </v>
          </cell>
          <cell r="O50" t="str">
            <v xml:space="preserve"> - </v>
          </cell>
        </row>
        <row r="51">
          <cell r="A51" t="str">
            <v>150 / STINGER SHORT-RANGE AIR DEFENSE MISSILE</v>
          </cell>
          <cell r="B51" t="str">
            <v>DEPARTMENT OF DEFENSE / DOD</v>
          </cell>
          <cell r="C51" t="str">
            <v xml:space="preserve"> - </v>
          </cell>
          <cell r="D51" t="str">
            <v xml:space="preserve"> - </v>
          </cell>
          <cell r="E51" t="str">
            <v xml:space="preserve"> - </v>
          </cell>
          <cell r="F51" t="str">
            <v xml:space="preserve"> - </v>
          </cell>
          <cell r="G51" t="str">
            <v xml:space="preserve"> - </v>
          </cell>
          <cell r="H51" t="str">
            <v xml:space="preserve"> - </v>
          </cell>
          <cell r="I51" t="str">
            <v xml:space="preserve"> - </v>
          </cell>
          <cell r="J51" t="str">
            <v xml:space="preserve"> - </v>
          </cell>
          <cell r="K51" t="str">
            <v xml:space="preserve"> - </v>
          </cell>
          <cell r="L51" t="str">
            <v xml:space="preserve"> - </v>
          </cell>
          <cell r="M51" t="str">
            <v xml:space="preserve"> - </v>
          </cell>
          <cell r="N51" t="str">
            <v xml:space="preserve"> - </v>
          </cell>
          <cell r="O51" t="str">
            <v xml:space="preserve"> - </v>
          </cell>
        </row>
        <row r="52">
          <cell r="A52" t="str">
            <v>151 / SURVEILLANCE TOWED ARRAY SENSOR SYSTEM (SONAR)</v>
          </cell>
          <cell r="B52" t="str">
            <v>DEPARTMENT OF DEFENSE / DOD</v>
          </cell>
          <cell r="C52" t="str">
            <v xml:space="preserve"> - </v>
          </cell>
          <cell r="D52" t="str">
            <v xml:space="preserve"> - </v>
          </cell>
          <cell r="E52" t="str">
            <v xml:space="preserve"> - </v>
          </cell>
          <cell r="F52" t="str">
            <v xml:space="preserve"> - </v>
          </cell>
          <cell r="G52" t="str">
            <v xml:space="preserve"> - </v>
          </cell>
          <cell r="H52" t="str">
            <v xml:space="preserve"> - </v>
          </cell>
          <cell r="I52" t="str">
            <v xml:space="preserve"> - </v>
          </cell>
          <cell r="J52" t="str">
            <v xml:space="preserve"> - </v>
          </cell>
          <cell r="K52" t="str">
            <v xml:space="preserve"> - </v>
          </cell>
          <cell r="L52" t="str">
            <v xml:space="preserve"> - </v>
          </cell>
          <cell r="M52" t="str">
            <v xml:space="preserve"> - </v>
          </cell>
          <cell r="N52" t="str">
            <v xml:space="preserve"> - </v>
          </cell>
          <cell r="O52" t="str">
            <v xml:space="preserve"> - </v>
          </cell>
        </row>
        <row r="53">
          <cell r="A53" t="str">
            <v>152 / AN/GSG-10 AUTOMATED FIELD ARTILLERY COMMAND AND CONTROL</v>
          </cell>
          <cell r="B53" t="str">
            <v>DEPARTMENT OF DEFENSE / DOD</v>
          </cell>
          <cell r="C53" t="str">
            <v xml:space="preserve"> - </v>
          </cell>
          <cell r="D53" t="str">
            <v xml:space="preserve"> - </v>
          </cell>
          <cell r="E53" t="str">
            <v xml:space="preserve"> - </v>
          </cell>
          <cell r="F53" t="str">
            <v xml:space="preserve"> - </v>
          </cell>
          <cell r="G53" t="str">
            <v xml:space="preserve"> - </v>
          </cell>
          <cell r="H53" t="str">
            <v xml:space="preserve"> - </v>
          </cell>
          <cell r="I53" t="str">
            <v xml:space="preserve"> - </v>
          </cell>
          <cell r="J53" t="str">
            <v xml:space="preserve"> - </v>
          </cell>
          <cell r="K53" t="str">
            <v xml:space="preserve"> - </v>
          </cell>
          <cell r="L53" t="str">
            <v xml:space="preserve"> - </v>
          </cell>
          <cell r="M53" t="str">
            <v xml:space="preserve"> - </v>
          </cell>
          <cell r="N53" t="str">
            <v xml:space="preserve"> - </v>
          </cell>
          <cell r="O53" t="str">
            <v xml:space="preserve"> - </v>
          </cell>
        </row>
        <row r="54">
          <cell r="A54" t="str">
            <v>153 / ANTI-SUBMARINE WARFARE COMBAT SYSTEM</v>
          </cell>
          <cell r="B54" t="str">
            <v>DEPARTMENT OF DEFENSE / DOD</v>
          </cell>
          <cell r="C54" t="str">
            <v xml:space="preserve"> - </v>
          </cell>
          <cell r="D54" t="str">
            <v xml:space="preserve"> - </v>
          </cell>
          <cell r="E54" t="str">
            <v xml:space="preserve"> - </v>
          </cell>
          <cell r="F54" t="str">
            <v xml:space="preserve"> - </v>
          </cell>
          <cell r="G54" t="str">
            <v xml:space="preserve"> - </v>
          </cell>
          <cell r="H54" t="str">
            <v xml:space="preserve"> - </v>
          </cell>
          <cell r="I54" t="str">
            <v xml:space="preserve"> - </v>
          </cell>
          <cell r="J54" t="str">
            <v xml:space="preserve"> - </v>
          </cell>
          <cell r="K54" t="str">
            <v xml:space="preserve"> - </v>
          </cell>
          <cell r="L54" t="str">
            <v xml:space="preserve"> - </v>
          </cell>
          <cell r="M54" t="str">
            <v xml:space="preserve"> - </v>
          </cell>
          <cell r="N54" t="str">
            <v xml:space="preserve"> - </v>
          </cell>
          <cell r="O54" t="str">
            <v xml:space="preserve"> - </v>
          </cell>
        </row>
        <row r="55">
          <cell r="A55" t="str">
            <v>154 / TOMAHAWK CRUISE MISSILE</v>
          </cell>
          <cell r="B55" t="str">
            <v>DEPARTMENT OF DEFENSE / DOD</v>
          </cell>
          <cell r="C55" t="str">
            <v xml:space="preserve"> - </v>
          </cell>
          <cell r="D55" t="str">
            <v xml:space="preserve"> - </v>
          </cell>
          <cell r="E55" t="str">
            <v xml:space="preserve"> - </v>
          </cell>
          <cell r="F55" t="str">
            <v xml:space="preserve"> - </v>
          </cell>
          <cell r="G55" t="str">
            <v xml:space="preserve"> - </v>
          </cell>
          <cell r="H55" t="str">
            <v xml:space="preserve"> - </v>
          </cell>
          <cell r="I55" t="str">
            <v xml:space="preserve"> - </v>
          </cell>
          <cell r="J55" t="str">
            <v xml:space="preserve"> - </v>
          </cell>
          <cell r="K55" t="str">
            <v xml:space="preserve"> - </v>
          </cell>
          <cell r="L55" t="str">
            <v xml:space="preserve"> - </v>
          </cell>
          <cell r="M55" t="str">
            <v xml:space="preserve"> - </v>
          </cell>
          <cell r="N55" t="str">
            <v xml:space="preserve"> - </v>
          </cell>
          <cell r="O55" t="str">
            <v xml:space="preserve"> - </v>
          </cell>
        </row>
        <row r="56">
          <cell r="A56" t="str">
            <v>155 / TRIDENT-MISSILE ARMED SUBMARINE</v>
          </cell>
          <cell r="B56" t="str">
            <v>DEPARTMENT OF DEFENSE / DOD</v>
          </cell>
          <cell r="C56" t="str">
            <v xml:space="preserve"> - </v>
          </cell>
          <cell r="D56" t="str">
            <v xml:space="preserve"> - </v>
          </cell>
          <cell r="E56" t="str">
            <v xml:space="preserve"> - </v>
          </cell>
          <cell r="F56" t="str">
            <v xml:space="preserve"> - </v>
          </cell>
          <cell r="G56" t="str">
            <v xml:space="preserve"> - </v>
          </cell>
          <cell r="H56" t="str">
            <v xml:space="preserve"> - </v>
          </cell>
          <cell r="I56" t="str">
            <v xml:space="preserve"> - </v>
          </cell>
          <cell r="J56" t="str">
            <v xml:space="preserve"> - </v>
          </cell>
          <cell r="K56" t="str">
            <v xml:space="preserve"> - </v>
          </cell>
          <cell r="L56" t="str">
            <v xml:space="preserve"> - </v>
          </cell>
          <cell r="M56" t="str">
            <v xml:space="preserve"> - </v>
          </cell>
          <cell r="N56" t="str">
            <v xml:space="preserve"> - </v>
          </cell>
          <cell r="O56" t="str">
            <v xml:space="preserve"> - </v>
          </cell>
        </row>
        <row r="57">
          <cell r="A57" t="str">
            <v>156 / UH-60 BLACK HAWK HELICOPTER</v>
          </cell>
          <cell r="B57" t="str">
            <v>DEPARTMENT OF DEFENSE / DOD</v>
          </cell>
          <cell r="C57" t="str">
            <v xml:space="preserve"> - </v>
          </cell>
          <cell r="D57" t="str">
            <v xml:space="preserve"> - </v>
          </cell>
          <cell r="E57" t="str">
            <v xml:space="preserve"> - </v>
          </cell>
          <cell r="F57" t="str">
            <v xml:space="preserve"> - </v>
          </cell>
          <cell r="G57" t="str">
            <v xml:space="preserve"> - </v>
          </cell>
          <cell r="H57" t="str">
            <v xml:space="preserve"> - </v>
          </cell>
          <cell r="I57" t="str">
            <v xml:space="preserve"> - </v>
          </cell>
          <cell r="J57" t="str">
            <v xml:space="preserve"> - </v>
          </cell>
          <cell r="K57" t="str">
            <v xml:space="preserve"> - </v>
          </cell>
          <cell r="L57" t="str">
            <v xml:space="preserve"> - </v>
          </cell>
          <cell r="M57" t="str">
            <v xml:space="preserve"> - </v>
          </cell>
          <cell r="N57" t="str">
            <v xml:space="preserve"> - </v>
          </cell>
          <cell r="O57" t="str">
            <v xml:space="preserve"> - </v>
          </cell>
        </row>
        <row r="58">
          <cell r="A58" t="str">
            <v>157 / M1/M1A1 ABRAMS TANK</v>
          </cell>
          <cell r="B58" t="str">
            <v>DEPARTMENT OF DEFENSE / DOD</v>
          </cell>
          <cell r="C58" t="str">
            <v xml:space="preserve"> - </v>
          </cell>
          <cell r="D58" t="str">
            <v xml:space="preserve"> - </v>
          </cell>
          <cell r="E58" t="str">
            <v xml:space="preserve"> - </v>
          </cell>
          <cell r="F58" t="str">
            <v xml:space="preserve"> - </v>
          </cell>
          <cell r="G58" t="str">
            <v xml:space="preserve"> - </v>
          </cell>
          <cell r="H58" t="str">
            <v xml:space="preserve"> - </v>
          </cell>
          <cell r="I58" t="str">
            <v xml:space="preserve"> - </v>
          </cell>
          <cell r="J58" t="str">
            <v xml:space="preserve"> - </v>
          </cell>
          <cell r="K58" t="str">
            <v xml:space="preserve"> - </v>
          </cell>
          <cell r="L58" t="str">
            <v xml:space="preserve"> - </v>
          </cell>
          <cell r="M58" t="str">
            <v xml:space="preserve"> - </v>
          </cell>
          <cell r="N58" t="str">
            <v xml:space="preserve"> - </v>
          </cell>
          <cell r="O58" t="str">
            <v xml:space="preserve"> - </v>
          </cell>
        </row>
        <row r="59">
          <cell r="A59" t="str">
            <v>158 / APACHE AH-64 ATTACK HELICOPTER</v>
          </cell>
          <cell r="B59" t="str">
            <v>DEPARTMENT OF DEFENSE / DOD</v>
          </cell>
          <cell r="C59" t="str">
            <v xml:space="preserve"> - </v>
          </cell>
          <cell r="D59" t="str">
            <v xml:space="preserve"> - </v>
          </cell>
          <cell r="E59" t="str">
            <v xml:space="preserve"> - </v>
          </cell>
          <cell r="F59" t="str">
            <v xml:space="preserve"> - </v>
          </cell>
          <cell r="G59" t="str">
            <v xml:space="preserve"> - </v>
          </cell>
          <cell r="H59" t="str">
            <v xml:space="preserve"> - </v>
          </cell>
          <cell r="I59" t="str">
            <v xml:space="preserve"> - </v>
          </cell>
          <cell r="J59" t="str">
            <v xml:space="preserve"> - </v>
          </cell>
          <cell r="K59" t="str">
            <v xml:space="preserve"> - </v>
          </cell>
          <cell r="L59" t="str">
            <v xml:space="preserve"> - </v>
          </cell>
          <cell r="M59" t="str">
            <v xml:space="preserve"> - </v>
          </cell>
          <cell r="N59" t="str">
            <v xml:space="preserve"> - </v>
          </cell>
          <cell r="O59" t="str">
            <v xml:space="preserve"> - </v>
          </cell>
        </row>
        <row r="60">
          <cell r="A60" t="str">
            <v>159 / USS TICONDEROGA</v>
          </cell>
          <cell r="B60" t="str">
            <v>DEPARTMENT OF DEFENSE / DOD</v>
          </cell>
          <cell r="C60" t="str">
            <v xml:space="preserve"> - </v>
          </cell>
          <cell r="D60" t="str">
            <v xml:space="preserve"> - </v>
          </cell>
          <cell r="E60" t="str">
            <v xml:space="preserve"> - </v>
          </cell>
          <cell r="F60" t="str">
            <v xml:space="preserve"> - </v>
          </cell>
          <cell r="G60" t="str">
            <v xml:space="preserve"> - </v>
          </cell>
          <cell r="H60" t="str">
            <v xml:space="preserve"> - </v>
          </cell>
          <cell r="I60" t="str">
            <v xml:space="preserve"> - </v>
          </cell>
          <cell r="J60" t="str">
            <v xml:space="preserve"> - </v>
          </cell>
          <cell r="K60" t="str">
            <v xml:space="preserve"> - </v>
          </cell>
          <cell r="L60" t="str">
            <v xml:space="preserve"> - </v>
          </cell>
          <cell r="M60" t="str">
            <v xml:space="preserve"> - </v>
          </cell>
          <cell r="N60" t="str">
            <v xml:space="preserve"> - </v>
          </cell>
          <cell r="O60" t="str">
            <v xml:space="preserve"> - </v>
          </cell>
        </row>
        <row r="61">
          <cell r="A61" t="str">
            <v>160 / AN/SQR-19 TACTICAL TOWED ARRAY SONAR</v>
          </cell>
          <cell r="B61" t="str">
            <v>DEPARTMENT OF DEFENSE / DOD</v>
          </cell>
          <cell r="C61" t="str">
            <v xml:space="preserve"> - </v>
          </cell>
          <cell r="D61" t="str">
            <v xml:space="preserve"> - </v>
          </cell>
          <cell r="E61" t="str">
            <v xml:space="preserve"> - </v>
          </cell>
          <cell r="F61" t="str">
            <v xml:space="preserve"> - </v>
          </cell>
          <cell r="G61" t="str">
            <v xml:space="preserve"> - </v>
          </cell>
          <cell r="H61" t="str">
            <v xml:space="preserve"> - </v>
          </cell>
          <cell r="I61" t="str">
            <v xml:space="preserve"> - </v>
          </cell>
          <cell r="J61" t="str">
            <v xml:space="preserve"> - </v>
          </cell>
          <cell r="K61" t="str">
            <v xml:space="preserve"> - </v>
          </cell>
          <cell r="L61" t="str">
            <v xml:space="preserve"> - </v>
          </cell>
          <cell r="M61" t="str">
            <v xml:space="preserve"> - </v>
          </cell>
          <cell r="N61" t="str">
            <v xml:space="preserve"> - </v>
          </cell>
          <cell r="O61" t="str">
            <v xml:space="preserve"> - </v>
          </cell>
        </row>
        <row r="62">
          <cell r="A62" t="str">
            <v>161 / NIMITZ CLASS NUCLEAR POWERED AIRCRAFT CARRIERS</v>
          </cell>
          <cell r="B62" t="str">
            <v>DEPARTMENT OF DEFENSE / DOD</v>
          </cell>
          <cell r="C62" t="str">
            <v xml:space="preserve"> - </v>
          </cell>
          <cell r="D62" t="str">
            <v xml:space="preserve"> - </v>
          </cell>
          <cell r="E62" t="str">
            <v xml:space="preserve"> - </v>
          </cell>
          <cell r="F62" t="str">
            <v xml:space="preserve"> - </v>
          </cell>
          <cell r="G62" t="str">
            <v xml:space="preserve"> - </v>
          </cell>
          <cell r="H62" t="str">
            <v xml:space="preserve"> - </v>
          </cell>
          <cell r="I62" t="str">
            <v xml:space="preserve"> - </v>
          </cell>
          <cell r="J62" t="str">
            <v xml:space="preserve"> - </v>
          </cell>
          <cell r="K62" t="str">
            <v xml:space="preserve"> - </v>
          </cell>
          <cell r="L62" t="str">
            <v xml:space="preserve"> - </v>
          </cell>
          <cell r="M62" t="str">
            <v xml:space="preserve"> - </v>
          </cell>
          <cell r="N62" t="str">
            <v xml:space="preserve"> - </v>
          </cell>
          <cell r="O62" t="str">
            <v xml:space="preserve"> - </v>
          </cell>
        </row>
        <row r="63">
          <cell r="A63" t="str">
            <v>162 / SIDEWINDER IR-AIR-TO-AIR MISSILE</v>
          </cell>
          <cell r="B63" t="str">
            <v>DEPARTMENT OF DEFENSE / DOD</v>
          </cell>
          <cell r="C63" t="str">
            <v xml:space="preserve"> - </v>
          </cell>
          <cell r="D63" t="str">
            <v xml:space="preserve"> - </v>
          </cell>
          <cell r="E63" t="str">
            <v xml:space="preserve"> - </v>
          </cell>
          <cell r="F63" t="str">
            <v xml:space="preserve"> - </v>
          </cell>
          <cell r="G63" t="str">
            <v xml:space="preserve"> - </v>
          </cell>
          <cell r="H63" t="str">
            <v xml:space="preserve"> - </v>
          </cell>
          <cell r="I63" t="str">
            <v xml:space="preserve"> - </v>
          </cell>
          <cell r="J63" t="str">
            <v xml:space="preserve"> - </v>
          </cell>
          <cell r="K63" t="str">
            <v xml:space="preserve"> - </v>
          </cell>
          <cell r="L63" t="str">
            <v xml:space="preserve"> - </v>
          </cell>
          <cell r="M63" t="str">
            <v xml:space="preserve"> - </v>
          </cell>
          <cell r="N63" t="str">
            <v xml:space="preserve"> - </v>
          </cell>
          <cell r="O63" t="str">
            <v xml:space="preserve"> - </v>
          </cell>
        </row>
        <row r="64">
          <cell r="A64" t="str">
            <v>163 / SIDEWINDER (AIM-9M) (AIR FORCE)</v>
          </cell>
          <cell r="B64" t="str">
            <v>DEPARTMENT OF DEFENSE / DOD</v>
          </cell>
          <cell r="C64" t="str">
            <v xml:space="preserve"> - </v>
          </cell>
          <cell r="D64" t="str">
            <v xml:space="preserve"> - </v>
          </cell>
          <cell r="E64" t="str">
            <v xml:space="preserve"> - </v>
          </cell>
          <cell r="F64" t="str">
            <v xml:space="preserve"> - </v>
          </cell>
          <cell r="G64" t="str">
            <v xml:space="preserve"> - </v>
          </cell>
          <cell r="H64" t="str">
            <v xml:space="preserve"> - </v>
          </cell>
          <cell r="I64" t="str">
            <v xml:space="preserve"> - </v>
          </cell>
          <cell r="J64" t="str">
            <v xml:space="preserve"> - </v>
          </cell>
          <cell r="K64" t="str">
            <v xml:space="preserve"> - </v>
          </cell>
          <cell r="L64" t="str">
            <v xml:space="preserve"> - </v>
          </cell>
          <cell r="M64" t="str">
            <v xml:space="preserve"> - </v>
          </cell>
          <cell r="N64" t="str">
            <v xml:space="preserve"> - </v>
          </cell>
          <cell r="O64" t="str">
            <v xml:space="preserve"> - </v>
          </cell>
        </row>
        <row r="65">
          <cell r="A65" t="str">
            <v>164 / SPARROW (AIM-7F) (N)</v>
          </cell>
          <cell r="B65" t="str">
            <v>DEPARTMENT OF DEFENSE / DOD</v>
          </cell>
          <cell r="C65" t="str">
            <v xml:space="preserve"> - </v>
          </cell>
          <cell r="D65" t="str">
            <v xml:space="preserve"> - </v>
          </cell>
          <cell r="E65" t="str">
            <v xml:space="preserve"> - </v>
          </cell>
          <cell r="F65" t="str">
            <v xml:space="preserve"> - </v>
          </cell>
          <cell r="G65" t="str">
            <v xml:space="preserve"> - </v>
          </cell>
          <cell r="H65" t="str">
            <v xml:space="preserve"> - </v>
          </cell>
          <cell r="I65" t="str">
            <v xml:space="preserve"> - </v>
          </cell>
          <cell r="J65" t="str">
            <v xml:space="preserve"> - </v>
          </cell>
          <cell r="K65" t="str">
            <v xml:space="preserve"> - </v>
          </cell>
          <cell r="L65" t="str">
            <v xml:space="preserve"> - </v>
          </cell>
          <cell r="M65" t="str">
            <v xml:space="preserve"> - </v>
          </cell>
          <cell r="N65" t="str">
            <v xml:space="preserve"> - </v>
          </cell>
          <cell r="O65" t="str">
            <v xml:space="preserve"> - </v>
          </cell>
        </row>
        <row r="66">
          <cell r="A66" t="str">
            <v>165 / UNKNOWN</v>
          </cell>
          <cell r="B66" t="str">
            <v>DEPARTMENT OF DEFENSE / DOD</v>
          </cell>
          <cell r="C66" t="str">
            <v xml:space="preserve"> - </v>
          </cell>
          <cell r="D66" t="str">
            <v xml:space="preserve"> - </v>
          </cell>
          <cell r="E66" t="str">
            <v xml:space="preserve"> - </v>
          </cell>
          <cell r="F66" t="str">
            <v xml:space="preserve"> - </v>
          </cell>
          <cell r="G66" t="str">
            <v xml:space="preserve"> - </v>
          </cell>
          <cell r="H66" t="str">
            <v xml:space="preserve"> - </v>
          </cell>
          <cell r="I66" t="str">
            <v xml:space="preserve"> - </v>
          </cell>
          <cell r="J66" t="str">
            <v xml:space="preserve"> - </v>
          </cell>
          <cell r="K66" t="str">
            <v xml:space="preserve"> - </v>
          </cell>
          <cell r="L66" t="str">
            <v xml:space="preserve"> - </v>
          </cell>
          <cell r="M66" t="str">
            <v xml:space="preserve"> - </v>
          </cell>
          <cell r="N66" t="str">
            <v xml:space="preserve"> - </v>
          </cell>
          <cell r="O66" t="str">
            <v xml:space="preserve"> - </v>
          </cell>
        </row>
        <row r="67">
          <cell r="A67" t="str">
            <v>166 / GLOBAL POSITIONING SYSTEM (SATELLITES, CONTROL, AND USER EQUIPMENT)</v>
          </cell>
          <cell r="B67" t="str">
            <v>DEPARTMENT OF DEFENSE / DOD</v>
          </cell>
          <cell r="C67" t="str">
            <v xml:space="preserve"> - </v>
          </cell>
          <cell r="D67" t="str">
            <v xml:space="preserve"> - </v>
          </cell>
          <cell r="E67" t="str">
            <v xml:space="preserve"> - </v>
          </cell>
          <cell r="F67" t="str">
            <v xml:space="preserve"> - </v>
          </cell>
          <cell r="G67" t="str">
            <v xml:space="preserve"> - </v>
          </cell>
          <cell r="H67" t="str">
            <v xml:space="preserve"> - </v>
          </cell>
          <cell r="I67" t="str">
            <v xml:space="preserve"> - </v>
          </cell>
          <cell r="J67" t="str">
            <v xml:space="preserve"> - </v>
          </cell>
          <cell r="K67" t="str">
            <v xml:space="preserve"> - </v>
          </cell>
          <cell r="L67" t="str">
            <v xml:space="preserve"> - </v>
          </cell>
          <cell r="M67" t="str">
            <v xml:space="preserve"> - </v>
          </cell>
          <cell r="N67" t="str">
            <v xml:space="preserve"> - </v>
          </cell>
          <cell r="O67" t="str">
            <v xml:space="preserve"> - </v>
          </cell>
        </row>
        <row r="68">
          <cell r="A68" t="str">
            <v>167 / AV-8B HARRIER JET</v>
          </cell>
          <cell r="B68" t="str">
            <v>DEPARTMENT OF DEFENSE / DOD</v>
          </cell>
          <cell r="C68" t="str">
            <v xml:space="preserve"> - </v>
          </cell>
          <cell r="D68" t="str">
            <v xml:space="preserve"> - </v>
          </cell>
          <cell r="E68" t="str">
            <v xml:space="preserve"> - </v>
          </cell>
          <cell r="F68" t="str">
            <v xml:space="preserve"> - </v>
          </cell>
          <cell r="G68" t="str">
            <v xml:space="preserve"> - </v>
          </cell>
          <cell r="H68" t="str">
            <v xml:space="preserve"> - </v>
          </cell>
          <cell r="I68" t="str">
            <v xml:space="preserve"> - </v>
          </cell>
          <cell r="J68" t="str">
            <v xml:space="preserve"> - </v>
          </cell>
          <cell r="K68" t="str">
            <v xml:space="preserve"> - </v>
          </cell>
          <cell r="L68" t="str">
            <v xml:space="preserve"> - </v>
          </cell>
          <cell r="M68" t="str">
            <v xml:space="preserve"> - </v>
          </cell>
          <cell r="N68" t="str">
            <v xml:space="preserve"> - </v>
          </cell>
          <cell r="O68" t="str">
            <v xml:space="preserve"> - </v>
          </cell>
        </row>
        <row r="69">
          <cell r="A69" t="str">
            <v>168 / B1-B LONG-RANGE STRATEGIC BOMBER</v>
          </cell>
          <cell r="B69" t="str">
            <v>DEPARTMENT OF DEFENSE / DOD</v>
          </cell>
          <cell r="C69" t="str">
            <v xml:space="preserve"> - </v>
          </cell>
          <cell r="D69" t="str">
            <v xml:space="preserve"> - </v>
          </cell>
          <cell r="E69" t="str">
            <v xml:space="preserve"> - </v>
          </cell>
          <cell r="F69" t="str">
            <v xml:space="preserve"> - </v>
          </cell>
          <cell r="G69" t="str">
            <v xml:space="preserve"> - </v>
          </cell>
          <cell r="H69" t="str">
            <v xml:space="preserve"> - </v>
          </cell>
          <cell r="I69" t="str">
            <v xml:space="preserve"> - </v>
          </cell>
          <cell r="J69" t="str">
            <v xml:space="preserve"> - </v>
          </cell>
          <cell r="K69" t="str">
            <v xml:space="preserve"> - </v>
          </cell>
          <cell r="L69" t="str">
            <v xml:space="preserve"> - </v>
          </cell>
          <cell r="M69" t="str">
            <v xml:space="preserve"> - </v>
          </cell>
          <cell r="N69" t="str">
            <v xml:space="preserve"> - </v>
          </cell>
          <cell r="O69" t="str">
            <v xml:space="preserve"> - </v>
          </cell>
        </row>
        <row r="70">
          <cell r="A70" t="str">
            <v>169 / UNKNOWN</v>
          </cell>
          <cell r="B70" t="str">
            <v>DEPARTMENT OF DEFENSE / DOD</v>
          </cell>
          <cell r="C70" t="str">
            <v xml:space="preserve"> - </v>
          </cell>
          <cell r="D70" t="str">
            <v xml:space="preserve"> - </v>
          </cell>
          <cell r="E70" t="str">
            <v xml:space="preserve"> - </v>
          </cell>
          <cell r="F70" t="str">
            <v xml:space="preserve"> - </v>
          </cell>
          <cell r="G70" t="str">
            <v xml:space="preserve"> - </v>
          </cell>
          <cell r="H70" t="str">
            <v xml:space="preserve"> - </v>
          </cell>
          <cell r="I70" t="str">
            <v xml:space="preserve"> - </v>
          </cell>
          <cell r="J70" t="str">
            <v xml:space="preserve"> - </v>
          </cell>
          <cell r="K70" t="str">
            <v xml:space="preserve"> - </v>
          </cell>
          <cell r="L70" t="str">
            <v xml:space="preserve"> - </v>
          </cell>
          <cell r="M70" t="str">
            <v xml:space="preserve"> - </v>
          </cell>
          <cell r="N70" t="str">
            <v xml:space="preserve"> - </v>
          </cell>
          <cell r="O70" t="str">
            <v xml:space="preserve"> - </v>
          </cell>
        </row>
        <row r="71">
          <cell r="A71" t="str">
            <v>170 / JOINT TACTICAL INFORMATION DISTRIBUTION SYSTEM (ARMY)</v>
          </cell>
          <cell r="B71" t="str">
            <v>DEPARTMENT OF DEFENSE / DOD</v>
          </cell>
          <cell r="C71" t="str">
            <v xml:space="preserve"> - </v>
          </cell>
          <cell r="D71" t="str">
            <v xml:space="preserve"> - </v>
          </cell>
          <cell r="E71" t="str">
            <v xml:space="preserve"> - </v>
          </cell>
          <cell r="F71" t="str">
            <v xml:space="preserve"> - </v>
          </cell>
          <cell r="G71" t="str">
            <v xml:space="preserve"> - </v>
          </cell>
          <cell r="H71" t="str">
            <v xml:space="preserve"> - </v>
          </cell>
          <cell r="I71" t="str">
            <v xml:space="preserve"> - </v>
          </cell>
          <cell r="J71" t="str">
            <v xml:space="preserve"> - </v>
          </cell>
          <cell r="K71" t="str">
            <v xml:space="preserve"> - </v>
          </cell>
          <cell r="L71" t="str">
            <v xml:space="preserve"> - </v>
          </cell>
          <cell r="M71" t="str">
            <v xml:space="preserve"> - </v>
          </cell>
          <cell r="N71" t="str">
            <v xml:space="preserve"> - </v>
          </cell>
          <cell r="O71" t="str">
            <v xml:space="preserve"> - </v>
          </cell>
        </row>
        <row r="72">
          <cell r="A72" t="str">
            <v>171 / JOINT TACTICAL INFORMATION DISTRIBUTION SYSTEM (NAVY)</v>
          </cell>
          <cell r="B72" t="str">
            <v>DEPARTMENT OF DEFENSE / DOD</v>
          </cell>
          <cell r="C72" t="str">
            <v xml:space="preserve"> - </v>
          </cell>
          <cell r="D72" t="str">
            <v xml:space="preserve"> - </v>
          </cell>
          <cell r="E72" t="str">
            <v xml:space="preserve"> - </v>
          </cell>
          <cell r="F72" t="str">
            <v xml:space="preserve"> - </v>
          </cell>
          <cell r="G72" t="str">
            <v xml:space="preserve"> - </v>
          </cell>
          <cell r="H72" t="str">
            <v xml:space="preserve"> - </v>
          </cell>
          <cell r="I72" t="str">
            <v xml:space="preserve"> - </v>
          </cell>
          <cell r="J72" t="str">
            <v xml:space="preserve"> - </v>
          </cell>
          <cell r="K72" t="str">
            <v xml:space="preserve"> - </v>
          </cell>
          <cell r="L72" t="str">
            <v xml:space="preserve"> - </v>
          </cell>
          <cell r="M72" t="str">
            <v xml:space="preserve"> - </v>
          </cell>
          <cell r="N72" t="str">
            <v xml:space="preserve"> - </v>
          </cell>
          <cell r="O72" t="str">
            <v xml:space="preserve"> - </v>
          </cell>
        </row>
        <row r="73">
          <cell r="A73" t="str">
            <v>172 / JTIDY (AIR FORCE)</v>
          </cell>
          <cell r="B73" t="str">
            <v>DEPARTMENT OF DEFENSE / DOD</v>
          </cell>
          <cell r="C73" t="str">
            <v xml:space="preserve"> - </v>
          </cell>
          <cell r="D73" t="str">
            <v xml:space="preserve"> - </v>
          </cell>
          <cell r="E73" t="str">
            <v xml:space="preserve"> - </v>
          </cell>
          <cell r="F73" t="str">
            <v xml:space="preserve"> - </v>
          </cell>
          <cell r="G73" t="str">
            <v xml:space="preserve"> - </v>
          </cell>
          <cell r="H73" t="str">
            <v xml:space="preserve"> - </v>
          </cell>
          <cell r="I73" t="str">
            <v xml:space="preserve"> - </v>
          </cell>
          <cell r="J73" t="str">
            <v xml:space="preserve"> - </v>
          </cell>
          <cell r="K73" t="str">
            <v xml:space="preserve"> - </v>
          </cell>
          <cell r="L73" t="str">
            <v xml:space="preserve"> - </v>
          </cell>
          <cell r="M73" t="str">
            <v xml:space="preserve"> - </v>
          </cell>
          <cell r="N73" t="str">
            <v xml:space="preserve"> - </v>
          </cell>
          <cell r="O73" t="str">
            <v xml:space="preserve"> - </v>
          </cell>
        </row>
        <row r="74">
          <cell r="A74" t="str">
            <v>174 / OH 58D OPERATIONAL SUPPORT HELICOPTER</v>
          </cell>
          <cell r="B74" t="str">
            <v>DEPARTMENT OF DEFENSE / DOD</v>
          </cell>
          <cell r="C74" t="str">
            <v xml:space="preserve"> - </v>
          </cell>
          <cell r="D74" t="str">
            <v xml:space="preserve"> - </v>
          </cell>
          <cell r="E74" t="str">
            <v xml:space="preserve"> - </v>
          </cell>
          <cell r="F74" t="str">
            <v xml:space="preserve"> - </v>
          </cell>
          <cell r="G74" t="str">
            <v xml:space="preserve"> - </v>
          </cell>
          <cell r="H74" t="str">
            <v xml:space="preserve"> - </v>
          </cell>
          <cell r="I74" t="str">
            <v xml:space="preserve"> - </v>
          </cell>
          <cell r="J74" t="str">
            <v xml:space="preserve"> - </v>
          </cell>
          <cell r="K74" t="str">
            <v xml:space="preserve"> - </v>
          </cell>
          <cell r="L74" t="str">
            <v xml:space="preserve"> - </v>
          </cell>
          <cell r="M74" t="str">
            <v xml:space="preserve"> - </v>
          </cell>
          <cell r="N74" t="str">
            <v xml:space="preserve"> - </v>
          </cell>
          <cell r="O74" t="str">
            <v xml:space="preserve"> - </v>
          </cell>
        </row>
        <row r="75">
          <cell r="A75" t="str">
            <v>175 / LIGHT ARMORED VEHICLE</v>
          </cell>
          <cell r="B75" t="str">
            <v>DEPARTMENT OF DEFENSE / DOD</v>
          </cell>
          <cell r="C75" t="str">
            <v xml:space="preserve"> - </v>
          </cell>
          <cell r="D75" t="str">
            <v xml:space="preserve"> - </v>
          </cell>
          <cell r="E75" t="str">
            <v xml:space="preserve"> - </v>
          </cell>
          <cell r="F75" t="str">
            <v xml:space="preserve"> - </v>
          </cell>
          <cell r="G75" t="str">
            <v xml:space="preserve"> - </v>
          </cell>
          <cell r="H75" t="str">
            <v xml:space="preserve"> - </v>
          </cell>
          <cell r="I75" t="str">
            <v xml:space="preserve"> - </v>
          </cell>
          <cell r="J75" t="str">
            <v xml:space="preserve"> - </v>
          </cell>
          <cell r="K75" t="str">
            <v xml:space="preserve"> - </v>
          </cell>
          <cell r="L75" t="str">
            <v xml:space="preserve"> - </v>
          </cell>
          <cell r="M75" t="str">
            <v xml:space="preserve"> - </v>
          </cell>
          <cell r="N75" t="str">
            <v xml:space="preserve"> - </v>
          </cell>
          <cell r="O75" t="str">
            <v xml:space="preserve"> - </v>
          </cell>
        </row>
        <row r="76">
          <cell r="A76" t="str">
            <v>176 / EVOLVED EXPENDABLE LAUNCH VEHICLE</v>
          </cell>
          <cell r="B76" t="str">
            <v>DEPARTMENT OF DEFENSE / DOD</v>
          </cell>
          <cell r="C76" t="str">
            <v xml:space="preserve"> - </v>
          </cell>
          <cell r="D76" t="str">
            <v xml:space="preserve"> - </v>
          </cell>
          <cell r="E76" t="str">
            <v xml:space="preserve"> - </v>
          </cell>
          <cell r="F76" t="str">
            <v xml:space="preserve"> - </v>
          </cell>
          <cell r="G76" t="str">
            <v xml:space="preserve"> - </v>
          </cell>
          <cell r="H76" t="str">
            <v xml:space="preserve"> - </v>
          </cell>
          <cell r="I76" t="str">
            <v xml:space="preserve"> - </v>
          </cell>
          <cell r="J76" t="str">
            <v xml:space="preserve"> - </v>
          </cell>
          <cell r="K76" t="str">
            <v xml:space="preserve"> - </v>
          </cell>
          <cell r="L76" t="str">
            <v xml:space="preserve"> - </v>
          </cell>
          <cell r="M76" t="str">
            <v xml:space="preserve"> - </v>
          </cell>
          <cell r="N76" t="str">
            <v xml:space="preserve"> - </v>
          </cell>
          <cell r="O76" t="str">
            <v xml:space="preserve"> - </v>
          </cell>
        </row>
        <row r="77">
          <cell r="A77" t="str">
            <v>177 / TRIDENT CLASS SUBMARINES</v>
          </cell>
          <cell r="B77" t="str">
            <v>DEPARTMENT OF DEFENSE / DOD</v>
          </cell>
          <cell r="C77" t="str">
            <v xml:space="preserve"> - </v>
          </cell>
          <cell r="D77" t="str">
            <v xml:space="preserve"> - </v>
          </cell>
          <cell r="E77" t="str">
            <v xml:space="preserve"> - </v>
          </cell>
          <cell r="F77" t="str">
            <v xml:space="preserve"> - </v>
          </cell>
          <cell r="G77" t="str">
            <v xml:space="preserve"> - </v>
          </cell>
          <cell r="H77" t="str">
            <v xml:space="preserve"> - </v>
          </cell>
          <cell r="I77" t="str">
            <v xml:space="preserve"> - </v>
          </cell>
          <cell r="J77" t="str">
            <v xml:space="preserve"> - </v>
          </cell>
          <cell r="K77" t="str">
            <v xml:space="preserve"> - </v>
          </cell>
          <cell r="L77" t="str">
            <v xml:space="preserve"> - </v>
          </cell>
          <cell r="M77" t="str">
            <v xml:space="preserve"> - </v>
          </cell>
          <cell r="N77" t="str">
            <v xml:space="preserve"> - </v>
          </cell>
          <cell r="O77" t="str">
            <v xml:space="preserve"> - </v>
          </cell>
        </row>
        <row r="78">
          <cell r="A78" t="str">
            <v>178 / SEA LAUNCHED BALLISTIC MISSILE</v>
          </cell>
          <cell r="B78" t="str">
            <v>DEPARTMENT OF DEFENSE / DOD</v>
          </cell>
          <cell r="C78" t="str">
            <v xml:space="preserve"> - </v>
          </cell>
          <cell r="D78" t="str">
            <v xml:space="preserve"> - </v>
          </cell>
          <cell r="E78" t="str">
            <v xml:space="preserve"> - </v>
          </cell>
          <cell r="F78" t="str">
            <v xml:space="preserve"> - </v>
          </cell>
          <cell r="G78" t="str">
            <v xml:space="preserve"> - </v>
          </cell>
          <cell r="H78" t="str">
            <v xml:space="preserve"> - </v>
          </cell>
          <cell r="I78" t="str">
            <v xml:space="preserve"> - </v>
          </cell>
          <cell r="J78" t="str">
            <v xml:space="preserve"> - </v>
          </cell>
          <cell r="K78" t="str">
            <v xml:space="preserve"> - </v>
          </cell>
          <cell r="L78" t="str">
            <v xml:space="preserve"> - </v>
          </cell>
          <cell r="M78" t="str">
            <v xml:space="preserve"> - </v>
          </cell>
          <cell r="N78" t="str">
            <v xml:space="preserve"> - </v>
          </cell>
          <cell r="O78" t="str">
            <v xml:space="preserve"> - </v>
          </cell>
        </row>
        <row r="79">
          <cell r="A79" t="str">
            <v>179 / ARMY RECONAISSANCE HELICOPTER</v>
          </cell>
          <cell r="B79" t="str">
            <v>DEPARTMENT OF DEFENSE / DOD</v>
          </cell>
          <cell r="C79" t="str">
            <v xml:space="preserve"> - </v>
          </cell>
          <cell r="D79" t="str">
            <v xml:space="preserve"> - </v>
          </cell>
          <cell r="E79" t="str">
            <v xml:space="preserve"> - </v>
          </cell>
          <cell r="F79" t="str">
            <v xml:space="preserve"> - </v>
          </cell>
          <cell r="G79" t="str">
            <v xml:space="preserve"> - </v>
          </cell>
          <cell r="H79" t="str">
            <v xml:space="preserve"> - </v>
          </cell>
          <cell r="I79" t="str">
            <v xml:space="preserve"> - </v>
          </cell>
          <cell r="J79" t="str">
            <v xml:space="preserve"> - </v>
          </cell>
          <cell r="K79" t="str">
            <v xml:space="preserve"> - </v>
          </cell>
          <cell r="L79" t="str">
            <v xml:space="preserve"> - </v>
          </cell>
          <cell r="M79" t="str">
            <v xml:space="preserve"> - </v>
          </cell>
          <cell r="N79" t="str">
            <v xml:space="preserve"> - </v>
          </cell>
          <cell r="O79" t="str">
            <v xml:space="preserve"> - </v>
          </cell>
        </row>
        <row r="80">
          <cell r="A80" t="str">
            <v>180 / DDG-51 ARLEIGH BURKE-CLASS GUIDED MISSILE DESTROYER</v>
          </cell>
          <cell r="B80" t="str">
            <v>DEPARTMENT OF DEFENSE / DOD</v>
          </cell>
          <cell r="C80" t="str">
            <v xml:space="preserve"> - </v>
          </cell>
          <cell r="D80" t="str">
            <v xml:space="preserve"> - </v>
          </cell>
          <cell r="E80" t="str">
            <v xml:space="preserve"> - </v>
          </cell>
          <cell r="F80" t="str">
            <v xml:space="preserve"> - </v>
          </cell>
          <cell r="G80" t="str">
            <v xml:space="preserve"> - </v>
          </cell>
          <cell r="H80" t="str">
            <v xml:space="preserve"> - </v>
          </cell>
          <cell r="I80" t="str">
            <v xml:space="preserve"> - </v>
          </cell>
          <cell r="J80" t="str">
            <v xml:space="preserve"> - </v>
          </cell>
          <cell r="K80" t="str">
            <v xml:space="preserve"> - </v>
          </cell>
          <cell r="L80" t="str">
            <v xml:space="preserve"> - </v>
          </cell>
          <cell r="M80" t="str">
            <v xml:space="preserve"> - </v>
          </cell>
          <cell r="N80" t="str">
            <v xml:space="preserve"> - </v>
          </cell>
          <cell r="O80" t="str">
            <v xml:space="preserve"> - </v>
          </cell>
        </row>
        <row r="81">
          <cell r="A81" t="str">
            <v>181 / KC-135R TANKER AIRCRAFT</v>
          </cell>
          <cell r="B81" t="str">
            <v>DEPARTMENT OF DEFENSE / DOD</v>
          </cell>
          <cell r="C81" t="str">
            <v xml:space="preserve"> - </v>
          </cell>
          <cell r="D81" t="str">
            <v xml:space="preserve"> - </v>
          </cell>
          <cell r="E81" t="str">
            <v xml:space="preserve"> - </v>
          </cell>
          <cell r="F81" t="str">
            <v xml:space="preserve"> - </v>
          </cell>
          <cell r="G81" t="str">
            <v xml:space="preserve"> - </v>
          </cell>
          <cell r="H81" t="str">
            <v xml:space="preserve"> - </v>
          </cell>
          <cell r="I81" t="str">
            <v xml:space="preserve"> - </v>
          </cell>
          <cell r="J81" t="str">
            <v xml:space="preserve"> - </v>
          </cell>
          <cell r="K81" t="str">
            <v xml:space="preserve"> - </v>
          </cell>
          <cell r="L81" t="str">
            <v xml:space="preserve"> - </v>
          </cell>
          <cell r="M81" t="str">
            <v xml:space="preserve"> - </v>
          </cell>
          <cell r="N81" t="str">
            <v xml:space="preserve"> - </v>
          </cell>
          <cell r="O81" t="str">
            <v xml:space="preserve"> - </v>
          </cell>
        </row>
        <row r="82">
          <cell r="A82" t="str">
            <v>182 / UH-72A LAKOTA LIGHT UTILITY HELECOPTER</v>
          </cell>
          <cell r="B82" t="str">
            <v>DEPARTMENT OF DEFENSE / DOD</v>
          </cell>
          <cell r="C82" t="str">
            <v xml:space="preserve"> - </v>
          </cell>
          <cell r="D82" t="str">
            <v xml:space="preserve"> - </v>
          </cell>
          <cell r="E82" t="str">
            <v xml:space="preserve"> - </v>
          </cell>
          <cell r="F82" t="str">
            <v xml:space="preserve"> - </v>
          </cell>
          <cell r="G82" t="str">
            <v xml:space="preserve"> - </v>
          </cell>
          <cell r="H82" t="str">
            <v xml:space="preserve"> - </v>
          </cell>
          <cell r="I82" t="str">
            <v xml:space="preserve"> - </v>
          </cell>
          <cell r="J82" t="str">
            <v xml:space="preserve"> - </v>
          </cell>
          <cell r="K82" t="str">
            <v xml:space="preserve"> - </v>
          </cell>
          <cell r="L82" t="str">
            <v xml:space="preserve"> - </v>
          </cell>
          <cell r="M82" t="str">
            <v xml:space="preserve"> - </v>
          </cell>
          <cell r="N82" t="str">
            <v xml:space="preserve"> - </v>
          </cell>
          <cell r="O82" t="str">
            <v xml:space="preserve"> - </v>
          </cell>
        </row>
        <row r="83">
          <cell r="A83" t="str">
            <v>183 / THE U.S. ARMYS FUTURE CARGO AIRCRAFT (FCA) PROGRAM</v>
          </cell>
          <cell r="B83" t="str">
            <v>DEPARTMENT OF DEFENSE / DOD</v>
          </cell>
          <cell r="C83" t="str">
            <v xml:space="preserve"> - </v>
          </cell>
          <cell r="D83" t="str">
            <v xml:space="preserve"> - </v>
          </cell>
          <cell r="E83" t="str">
            <v xml:space="preserve"> - </v>
          </cell>
          <cell r="F83" t="str">
            <v xml:space="preserve"> - </v>
          </cell>
          <cell r="G83" t="str">
            <v xml:space="preserve"> - </v>
          </cell>
          <cell r="H83" t="str">
            <v xml:space="preserve"> - </v>
          </cell>
          <cell r="I83" t="str">
            <v xml:space="preserve"> - </v>
          </cell>
          <cell r="J83" t="str">
            <v xml:space="preserve"> - </v>
          </cell>
          <cell r="K83" t="str">
            <v xml:space="preserve"> - </v>
          </cell>
          <cell r="L83" t="str">
            <v xml:space="preserve"> - </v>
          </cell>
          <cell r="M83" t="str">
            <v xml:space="preserve"> - </v>
          </cell>
          <cell r="N83" t="str">
            <v xml:space="preserve"> - </v>
          </cell>
          <cell r="O83" t="str">
            <v xml:space="preserve"> - </v>
          </cell>
        </row>
        <row r="84">
          <cell r="A84" t="str">
            <v>184 / ADVANCED MEDIUM RANGE AIR-TO-AIR MISSILE (NAVY)</v>
          </cell>
          <cell r="B84" t="str">
            <v>DEPARTMENT OF DEFENSE / DOD</v>
          </cell>
          <cell r="C84" t="str">
            <v xml:space="preserve"> - </v>
          </cell>
          <cell r="D84" t="str">
            <v xml:space="preserve"> - </v>
          </cell>
          <cell r="E84" t="str">
            <v xml:space="preserve"> - </v>
          </cell>
          <cell r="F84" t="str">
            <v xml:space="preserve"> - </v>
          </cell>
          <cell r="G84" t="str">
            <v xml:space="preserve"> - </v>
          </cell>
          <cell r="H84" t="str">
            <v xml:space="preserve"> - </v>
          </cell>
          <cell r="I84" t="str">
            <v xml:space="preserve"> - </v>
          </cell>
          <cell r="J84" t="str">
            <v xml:space="preserve"> - </v>
          </cell>
          <cell r="K84" t="str">
            <v xml:space="preserve"> - </v>
          </cell>
          <cell r="L84" t="str">
            <v xml:space="preserve"> - </v>
          </cell>
          <cell r="M84" t="str">
            <v xml:space="preserve"> - </v>
          </cell>
          <cell r="N84" t="str">
            <v xml:space="preserve"> - </v>
          </cell>
          <cell r="O84" t="str">
            <v xml:space="preserve"> - </v>
          </cell>
        </row>
        <row r="85">
          <cell r="A85" t="str">
            <v>185 / ADVANCED MEDIUM RANGE AIR-TO-AIR MISSILE</v>
          </cell>
          <cell r="B85" t="str">
            <v>DEPARTMENT OF DEFENSE / DOD</v>
          </cell>
          <cell r="C85" t="str">
            <v xml:space="preserve"> - </v>
          </cell>
          <cell r="D85" t="str">
            <v xml:space="preserve"> - </v>
          </cell>
          <cell r="E85" t="str">
            <v xml:space="preserve"> - </v>
          </cell>
          <cell r="F85" t="str">
            <v xml:space="preserve"> - </v>
          </cell>
          <cell r="G85" t="str">
            <v xml:space="preserve"> - </v>
          </cell>
          <cell r="H85" t="str">
            <v xml:space="preserve"> - </v>
          </cell>
          <cell r="I85" t="str">
            <v xml:space="preserve"> - </v>
          </cell>
          <cell r="J85" t="str">
            <v xml:space="preserve"> - </v>
          </cell>
          <cell r="K85" t="str">
            <v xml:space="preserve"> - </v>
          </cell>
          <cell r="L85" t="str">
            <v xml:space="preserve"> - </v>
          </cell>
          <cell r="M85" t="str">
            <v xml:space="preserve"> - </v>
          </cell>
          <cell r="N85" t="str">
            <v xml:space="preserve"> - </v>
          </cell>
          <cell r="O85" t="str">
            <v xml:space="preserve"> - </v>
          </cell>
        </row>
        <row r="86">
          <cell r="A86" t="str">
            <v>187 / LOW-ALTITUDE NAVIGATION TARGETING INFRARED FOR NIGHT</v>
          </cell>
          <cell r="B86" t="str">
            <v>DEPARTMENT OF DEFENSE / DOD</v>
          </cell>
          <cell r="C86" t="str">
            <v xml:space="preserve"> - </v>
          </cell>
          <cell r="D86" t="str">
            <v xml:space="preserve"> - </v>
          </cell>
          <cell r="E86" t="str">
            <v xml:space="preserve"> - </v>
          </cell>
          <cell r="F86" t="str">
            <v xml:space="preserve"> - </v>
          </cell>
          <cell r="G86" t="str">
            <v xml:space="preserve"> - </v>
          </cell>
          <cell r="H86" t="str">
            <v xml:space="preserve"> - </v>
          </cell>
          <cell r="I86" t="str">
            <v xml:space="preserve"> - </v>
          </cell>
          <cell r="J86" t="str">
            <v xml:space="preserve"> - </v>
          </cell>
          <cell r="K86" t="str">
            <v xml:space="preserve"> - </v>
          </cell>
          <cell r="L86" t="str">
            <v xml:space="preserve"> - </v>
          </cell>
          <cell r="M86" t="str">
            <v xml:space="preserve"> - </v>
          </cell>
          <cell r="N86" t="str">
            <v xml:space="preserve"> - </v>
          </cell>
          <cell r="O86" t="str">
            <v xml:space="preserve"> - </v>
          </cell>
        </row>
        <row r="87">
          <cell r="A87" t="str">
            <v>188 / A-6E BOMBER UPGRADE</v>
          </cell>
          <cell r="B87" t="str">
            <v>DEPARTMENT OF DEFENSE / DOD</v>
          </cell>
          <cell r="C87" t="str">
            <v xml:space="preserve"> - </v>
          </cell>
          <cell r="D87" t="str">
            <v xml:space="preserve"> - </v>
          </cell>
          <cell r="E87" t="str">
            <v xml:space="preserve"> - </v>
          </cell>
          <cell r="F87" t="str">
            <v xml:space="preserve"> - </v>
          </cell>
          <cell r="G87" t="str">
            <v xml:space="preserve"> - </v>
          </cell>
          <cell r="H87" t="str">
            <v xml:space="preserve"> - </v>
          </cell>
          <cell r="I87" t="str">
            <v xml:space="preserve"> - </v>
          </cell>
          <cell r="J87" t="str">
            <v xml:space="preserve"> - </v>
          </cell>
          <cell r="K87" t="str">
            <v xml:space="preserve"> - </v>
          </cell>
          <cell r="L87" t="str">
            <v xml:space="preserve"> - </v>
          </cell>
          <cell r="M87" t="str">
            <v xml:space="preserve"> - </v>
          </cell>
          <cell r="N87" t="str">
            <v xml:space="preserve"> - </v>
          </cell>
          <cell r="O87" t="str">
            <v xml:space="preserve"> - </v>
          </cell>
        </row>
        <row r="88">
          <cell r="A88" t="str">
            <v>191 / MULTI-MISSION HELICOPTER UPGRADE</v>
          </cell>
          <cell r="B88" t="str">
            <v>DEPARTMENT OF DEFENSE / DOD</v>
          </cell>
          <cell r="C88" t="str">
            <v xml:space="preserve"> - </v>
          </cell>
          <cell r="D88" t="str">
            <v xml:space="preserve"> - </v>
          </cell>
          <cell r="E88" t="str">
            <v xml:space="preserve"> - </v>
          </cell>
          <cell r="F88" t="str">
            <v xml:space="preserve"> - </v>
          </cell>
          <cell r="G88" t="str">
            <v xml:space="preserve"> - </v>
          </cell>
          <cell r="H88" t="str">
            <v xml:space="preserve"> - </v>
          </cell>
          <cell r="I88" t="str">
            <v xml:space="preserve"> - </v>
          </cell>
          <cell r="J88" t="str">
            <v xml:space="preserve"> - </v>
          </cell>
          <cell r="K88" t="str">
            <v xml:space="preserve"> - </v>
          </cell>
          <cell r="L88" t="str">
            <v xml:space="preserve"> - </v>
          </cell>
          <cell r="M88" t="str">
            <v xml:space="preserve"> - </v>
          </cell>
          <cell r="N88" t="str">
            <v xml:space="preserve"> - </v>
          </cell>
          <cell r="O88" t="str">
            <v xml:space="preserve"> - </v>
          </cell>
        </row>
        <row r="89">
          <cell r="A89" t="str">
            <v>193 / SOLID CONTROLLED ORBITAL UTILITY TEST SOLID FUELED SATELLITE LAUNCH SYSTEM</v>
          </cell>
          <cell r="B89" t="str">
            <v>DEPARTMENT OF DEFENSE / DOD</v>
          </cell>
          <cell r="C89" t="str">
            <v xml:space="preserve"> - </v>
          </cell>
          <cell r="D89" t="str">
            <v xml:space="preserve"> - </v>
          </cell>
          <cell r="E89" t="str">
            <v xml:space="preserve"> - </v>
          </cell>
          <cell r="F89" t="str">
            <v xml:space="preserve"> - </v>
          </cell>
          <cell r="G89" t="str">
            <v xml:space="preserve"> - </v>
          </cell>
          <cell r="H89" t="str">
            <v xml:space="preserve"> - </v>
          </cell>
          <cell r="I89" t="str">
            <v xml:space="preserve"> - </v>
          </cell>
          <cell r="J89" t="str">
            <v xml:space="preserve"> - </v>
          </cell>
          <cell r="K89" t="str">
            <v xml:space="preserve"> - </v>
          </cell>
          <cell r="L89" t="str">
            <v xml:space="preserve"> - </v>
          </cell>
          <cell r="M89" t="str">
            <v xml:space="preserve"> - </v>
          </cell>
          <cell r="N89" t="str">
            <v xml:space="preserve"> - </v>
          </cell>
          <cell r="O89" t="str">
            <v xml:space="preserve"> - </v>
          </cell>
        </row>
        <row r="90">
          <cell r="A90" t="str">
            <v>197 / DDG 1000 ZUMWALT ADVANCED SURFACE COMBATANT SHIP</v>
          </cell>
          <cell r="B90" t="str">
            <v>DEPARTMENT OF DEFENSE / DOD</v>
          </cell>
          <cell r="C90" t="str">
            <v xml:space="preserve"> - </v>
          </cell>
          <cell r="D90" t="str">
            <v xml:space="preserve"> - </v>
          </cell>
          <cell r="E90" t="str">
            <v xml:space="preserve"> - </v>
          </cell>
          <cell r="F90" t="str">
            <v xml:space="preserve"> - </v>
          </cell>
          <cell r="G90" t="str">
            <v xml:space="preserve"> - </v>
          </cell>
          <cell r="H90" t="str">
            <v xml:space="preserve"> - </v>
          </cell>
          <cell r="I90" t="str">
            <v xml:space="preserve"> - </v>
          </cell>
          <cell r="J90" t="str">
            <v xml:space="preserve"> - </v>
          </cell>
          <cell r="K90" t="str">
            <v xml:space="preserve"> - </v>
          </cell>
          <cell r="L90" t="str">
            <v xml:space="preserve"> - </v>
          </cell>
          <cell r="M90" t="str">
            <v xml:space="preserve"> - </v>
          </cell>
          <cell r="N90" t="str">
            <v xml:space="preserve"> - </v>
          </cell>
          <cell r="O90" t="str">
            <v xml:space="preserve"> - </v>
          </cell>
        </row>
        <row r="91">
          <cell r="A91" t="str">
            <v>198 / JOINT STRIKE FIGHTER (JSF)</v>
          </cell>
          <cell r="B91" t="str">
            <v>DEPARTMENT OF DEFENSE / DOD</v>
          </cell>
          <cell r="C91" t="str">
            <v xml:space="preserve"> - </v>
          </cell>
          <cell r="D91" t="str">
            <v xml:space="preserve"> - </v>
          </cell>
          <cell r="E91" t="str">
            <v xml:space="preserve"> - </v>
          </cell>
          <cell r="F91" t="str">
            <v xml:space="preserve"> - </v>
          </cell>
          <cell r="G91" t="str">
            <v xml:space="preserve"> - </v>
          </cell>
          <cell r="H91" t="str">
            <v xml:space="preserve"> - </v>
          </cell>
          <cell r="I91" t="str">
            <v xml:space="preserve"> - </v>
          </cell>
          <cell r="J91" t="str">
            <v xml:space="preserve"> - </v>
          </cell>
          <cell r="K91" t="str">
            <v xml:space="preserve"> - </v>
          </cell>
          <cell r="L91" t="str">
            <v xml:space="preserve"> - </v>
          </cell>
          <cell r="M91" t="str">
            <v xml:space="preserve"> - </v>
          </cell>
          <cell r="N91" t="str">
            <v xml:space="preserve"> - </v>
          </cell>
          <cell r="O91" t="str">
            <v xml:space="preserve"> - </v>
          </cell>
        </row>
        <row r="92">
          <cell r="A92" t="str">
            <v>199 / FAMILY OF ADVANCED BEYONF LINE OF SIGHT TERMINAL PROGRAM</v>
          </cell>
          <cell r="B92" t="str">
            <v>DEPARTMENT OF DEFENSE / DOD</v>
          </cell>
          <cell r="C92" t="str">
            <v xml:space="preserve"> - </v>
          </cell>
          <cell r="D92" t="str">
            <v xml:space="preserve"> - </v>
          </cell>
          <cell r="E92" t="str">
            <v xml:space="preserve"> - </v>
          </cell>
          <cell r="F92" t="str">
            <v xml:space="preserve"> - </v>
          </cell>
          <cell r="G92" t="str">
            <v xml:space="preserve"> - </v>
          </cell>
          <cell r="H92" t="str">
            <v xml:space="preserve"> - </v>
          </cell>
          <cell r="I92" t="str">
            <v xml:space="preserve"> - </v>
          </cell>
          <cell r="J92" t="str">
            <v xml:space="preserve"> - </v>
          </cell>
          <cell r="K92" t="str">
            <v xml:space="preserve"> - </v>
          </cell>
          <cell r="L92" t="str">
            <v xml:space="preserve"> - </v>
          </cell>
          <cell r="M92" t="str">
            <v xml:space="preserve"> - </v>
          </cell>
          <cell r="N92" t="str">
            <v xml:space="preserve"> - </v>
          </cell>
          <cell r="O92" t="str">
            <v xml:space="preserve"> - </v>
          </cell>
        </row>
        <row r="93">
          <cell r="A93" t="str">
            <v>1ACE / C-12 HURON TWIN TURBOPROP PASSENGER AND CARGO AIRCRAFT</v>
          </cell>
          <cell r="B93" t="str">
            <v>DEPARTMENT OF DEFENSE / DOD</v>
          </cell>
          <cell r="C93" t="str">
            <v xml:space="preserve"> - </v>
          </cell>
          <cell r="D93" t="str">
            <v xml:space="preserve"> - </v>
          </cell>
          <cell r="E93" t="str">
            <v xml:space="preserve"> - </v>
          </cell>
          <cell r="F93" t="str">
            <v xml:space="preserve"> - </v>
          </cell>
          <cell r="G93" t="str">
            <v xml:space="preserve"> - </v>
          </cell>
          <cell r="H93" t="str">
            <v xml:space="preserve"> - </v>
          </cell>
          <cell r="I93" t="str">
            <v xml:space="preserve"> - </v>
          </cell>
          <cell r="J93" t="str">
            <v xml:space="preserve"> - </v>
          </cell>
          <cell r="K93" t="str">
            <v xml:space="preserve"> - </v>
          </cell>
          <cell r="L93" t="str">
            <v xml:space="preserve"> - </v>
          </cell>
          <cell r="M93" t="str">
            <v xml:space="preserve"> - </v>
          </cell>
          <cell r="N93" t="str">
            <v xml:space="preserve"> - </v>
          </cell>
          <cell r="O93" t="str">
            <v xml:space="preserve"> - </v>
          </cell>
        </row>
        <row r="94">
          <cell r="A94" t="str">
            <v>1ACF / C-23 SHERPA</v>
          </cell>
          <cell r="B94" t="str">
            <v>DEPARTMENT OF DEFENSE / DOD</v>
          </cell>
          <cell r="C94" t="str">
            <v xml:space="preserve"> - </v>
          </cell>
          <cell r="D94" t="str">
            <v xml:space="preserve"> - </v>
          </cell>
          <cell r="E94" t="str">
            <v xml:space="preserve"> - </v>
          </cell>
          <cell r="F94" t="str">
            <v xml:space="preserve"> - </v>
          </cell>
          <cell r="G94" t="str">
            <v xml:space="preserve"> - </v>
          </cell>
          <cell r="H94" t="str">
            <v xml:space="preserve"> - </v>
          </cell>
          <cell r="I94" t="str">
            <v xml:space="preserve"> - </v>
          </cell>
          <cell r="J94" t="str">
            <v xml:space="preserve"> - </v>
          </cell>
          <cell r="K94" t="str">
            <v xml:space="preserve"> - </v>
          </cell>
          <cell r="L94" t="str">
            <v xml:space="preserve"> - </v>
          </cell>
          <cell r="M94" t="str">
            <v xml:space="preserve"> - </v>
          </cell>
          <cell r="N94" t="str">
            <v xml:space="preserve"> - </v>
          </cell>
          <cell r="O94" t="str">
            <v xml:space="preserve"> - </v>
          </cell>
        </row>
        <row r="95">
          <cell r="A95" t="str">
            <v>1ACH / C-20 ACFT</v>
          </cell>
          <cell r="B95" t="str">
            <v>DEPARTMENT OF DEFENSE / DOD</v>
          </cell>
          <cell r="C95" t="str">
            <v xml:space="preserve"> - </v>
          </cell>
          <cell r="D95" t="str">
            <v xml:space="preserve"> - </v>
          </cell>
          <cell r="E95" t="str">
            <v xml:space="preserve"> - </v>
          </cell>
          <cell r="F95" t="str">
            <v xml:space="preserve"> - </v>
          </cell>
          <cell r="G95" t="str">
            <v xml:space="preserve"> - </v>
          </cell>
          <cell r="H95" t="str">
            <v xml:space="preserve"> - </v>
          </cell>
          <cell r="I95" t="str">
            <v xml:space="preserve"> - </v>
          </cell>
          <cell r="J95" t="str">
            <v xml:space="preserve"> - </v>
          </cell>
          <cell r="K95" t="str">
            <v xml:space="preserve"> - </v>
          </cell>
          <cell r="L95" t="str">
            <v xml:space="preserve"> - </v>
          </cell>
          <cell r="M95" t="str">
            <v xml:space="preserve"> - </v>
          </cell>
          <cell r="N95" t="str">
            <v xml:space="preserve"> - </v>
          </cell>
          <cell r="O95" t="str">
            <v xml:space="preserve"> - </v>
          </cell>
        </row>
        <row r="96">
          <cell r="A96" t="str">
            <v>1AHA / 'HUEY' HELICOPTER</v>
          </cell>
          <cell r="B96" t="str">
            <v>DEPARTMENT OF DEFENSE / DOD</v>
          </cell>
          <cell r="C96" t="str">
            <v xml:space="preserve"> - </v>
          </cell>
          <cell r="D96" t="str">
            <v xml:space="preserve"> - </v>
          </cell>
          <cell r="E96" t="str">
            <v xml:space="preserve"> - </v>
          </cell>
          <cell r="F96" t="str">
            <v xml:space="preserve"> - </v>
          </cell>
          <cell r="G96" t="str">
            <v xml:space="preserve"> - </v>
          </cell>
          <cell r="H96" t="str">
            <v xml:space="preserve"> - </v>
          </cell>
          <cell r="I96" t="str">
            <v xml:space="preserve"> - </v>
          </cell>
          <cell r="J96" t="str">
            <v xml:space="preserve"> - </v>
          </cell>
          <cell r="K96" t="str">
            <v xml:space="preserve"> - </v>
          </cell>
          <cell r="L96" t="str">
            <v xml:space="preserve"> - </v>
          </cell>
          <cell r="M96" t="str">
            <v xml:space="preserve"> - </v>
          </cell>
          <cell r="N96" t="str">
            <v xml:space="preserve"> - </v>
          </cell>
          <cell r="O96" t="str">
            <v xml:space="preserve"> - </v>
          </cell>
        </row>
        <row r="97">
          <cell r="A97" t="str">
            <v>1AHC / KIOWA SCOUT HELICOPTER</v>
          </cell>
          <cell r="B97" t="str">
            <v>DEPARTMENT OF DEFENSE / DOD</v>
          </cell>
          <cell r="C97" t="str">
            <v xml:space="preserve"> - </v>
          </cell>
          <cell r="D97" t="str">
            <v xml:space="preserve"> - </v>
          </cell>
          <cell r="E97" t="str">
            <v xml:space="preserve"> - </v>
          </cell>
          <cell r="F97" t="str">
            <v xml:space="preserve"> - </v>
          </cell>
          <cell r="G97" t="str">
            <v xml:space="preserve"> - </v>
          </cell>
          <cell r="H97" t="str">
            <v xml:space="preserve"> - </v>
          </cell>
          <cell r="I97" t="str">
            <v xml:space="preserve"> - </v>
          </cell>
          <cell r="J97" t="str">
            <v xml:space="preserve"> - </v>
          </cell>
          <cell r="K97" t="str">
            <v xml:space="preserve"> - </v>
          </cell>
          <cell r="L97" t="str">
            <v xml:space="preserve"> - </v>
          </cell>
          <cell r="M97" t="str">
            <v xml:space="preserve"> - </v>
          </cell>
          <cell r="N97" t="str">
            <v xml:space="preserve"> - </v>
          </cell>
          <cell r="O97" t="str">
            <v xml:space="preserve"> - </v>
          </cell>
        </row>
        <row r="98">
          <cell r="A98" t="str">
            <v>1AHJ / CH-46 SEA KNIGHT</v>
          </cell>
          <cell r="B98" t="str">
            <v>DEPARTMENT OF DEFENSE / DOD</v>
          </cell>
          <cell r="C98" t="str">
            <v xml:space="preserve"> - </v>
          </cell>
          <cell r="D98" t="str">
            <v xml:space="preserve"> - </v>
          </cell>
          <cell r="E98" t="str">
            <v xml:space="preserve"> - </v>
          </cell>
          <cell r="F98" t="str">
            <v xml:space="preserve"> - </v>
          </cell>
          <cell r="G98" t="str">
            <v xml:space="preserve"> - </v>
          </cell>
          <cell r="H98" t="str">
            <v xml:space="preserve"> - </v>
          </cell>
          <cell r="I98" t="str">
            <v xml:space="preserve"> - </v>
          </cell>
          <cell r="J98" t="str">
            <v xml:space="preserve"> - </v>
          </cell>
          <cell r="K98" t="str">
            <v xml:space="preserve"> - </v>
          </cell>
          <cell r="L98" t="str">
            <v xml:space="preserve"> - </v>
          </cell>
          <cell r="M98" t="str">
            <v xml:space="preserve"> - </v>
          </cell>
          <cell r="N98" t="str">
            <v xml:space="preserve"> - </v>
          </cell>
          <cell r="O98" t="str">
            <v xml:space="preserve"> - </v>
          </cell>
        </row>
        <row r="99">
          <cell r="A99" t="str">
            <v>1AHK / CHINOOK HEAVY TRANSPORT HELICOPTER</v>
          </cell>
          <cell r="B99" t="str">
            <v>DEPARTMENT OF DEFENSE / DOD</v>
          </cell>
          <cell r="C99" t="str">
            <v xml:space="preserve"> - </v>
          </cell>
          <cell r="D99" t="str">
            <v xml:space="preserve"> - </v>
          </cell>
          <cell r="E99" t="str">
            <v xml:space="preserve"> - </v>
          </cell>
          <cell r="F99" t="str">
            <v xml:space="preserve"> - </v>
          </cell>
          <cell r="G99" t="str">
            <v xml:space="preserve"> - </v>
          </cell>
          <cell r="H99" t="str">
            <v xml:space="preserve"> - </v>
          </cell>
          <cell r="I99" t="str">
            <v xml:space="preserve"> - </v>
          </cell>
          <cell r="J99" t="str">
            <v xml:space="preserve"> - </v>
          </cell>
          <cell r="K99" t="str">
            <v xml:space="preserve"> - </v>
          </cell>
          <cell r="L99" t="str">
            <v xml:space="preserve"> - </v>
          </cell>
          <cell r="M99" t="str">
            <v xml:space="preserve"> - </v>
          </cell>
          <cell r="N99" t="str">
            <v xml:space="preserve"> - </v>
          </cell>
          <cell r="O99" t="str">
            <v xml:space="preserve"> - </v>
          </cell>
        </row>
        <row r="100">
          <cell r="A100" t="str">
            <v>1AHM / AH-1 COBRA</v>
          </cell>
          <cell r="B100" t="str">
            <v>DEPARTMENT OF DEFENSE / DOD</v>
          </cell>
          <cell r="C100" t="str">
            <v xml:space="preserve"> - </v>
          </cell>
          <cell r="D100" t="str">
            <v xml:space="preserve"> - </v>
          </cell>
          <cell r="E100" t="str">
            <v xml:space="preserve"> - </v>
          </cell>
          <cell r="F100" t="str">
            <v xml:space="preserve"> - </v>
          </cell>
          <cell r="G100" t="str">
            <v xml:space="preserve"> - </v>
          </cell>
          <cell r="H100" t="str">
            <v xml:space="preserve"> - </v>
          </cell>
          <cell r="I100" t="str">
            <v xml:space="preserve"> - </v>
          </cell>
          <cell r="J100" t="str">
            <v xml:space="preserve"> - </v>
          </cell>
          <cell r="K100" t="str">
            <v xml:space="preserve"> - </v>
          </cell>
          <cell r="L100" t="str">
            <v xml:space="preserve"> - </v>
          </cell>
          <cell r="M100" t="str">
            <v xml:space="preserve"> - </v>
          </cell>
          <cell r="N100" t="str">
            <v xml:space="preserve"> - </v>
          </cell>
          <cell r="O100" t="str">
            <v xml:space="preserve"> - </v>
          </cell>
        </row>
        <row r="101">
          <cell r="A101" t="str">
            <v>1AHS / 214 COMMERCIAL</v>
          </cell>
          <cell r="B101" t="str">
            <v>DEPARTMENT OF DEFENSE / DOD</v>
          </cell>
          <cell r="C101" t="str">
            <v xml:space="preserve"> - </v>
          </cell>
          <cell r="D101" t="str">
            <v xml:space="preserve"> - </v>
          </cell>
          <cell r="E101" t="str">
            <v xml:space="preserve"> - </v>
          </cell>
          <cell r="F101" t="str">
            <v xml:space="preserve"> - </v>
          </cell>
          <cell r="G101" t="str">
            <v xml:space="preserve"> - </v>
          </cell>
          <cell r="H101" t="str">
            <v xml:space="preserve"> - </v>
          </cell>
          <cell r="I101" t="str">
            <v xml:space="preserve"> - </v>
          </cell>
          <cell r="J101" t="str">
            <v xml:space="preserve"> - </v>
          </cell>
          <cell r="K101" t="str">
            <v xml:space="preserve"> - </v>
          </cell>
          <cell r="L101" t="str">
            <v xml:space="preserve"> - </v>
          </cell>
          <cell r="M101" t="str">
            <v xml:space="preserve"> - </v>
          </cell>
          <cell r="N101" t="str">
            <v xml:space="preserve"> - </v>
          </cell>
          <cell r="O101" t="str">
            <v xml:space="preserve"> - </v>
          </cell>
        </row>
        <row r="102">
          <cell r="A102" t="str">
            <v>1AIA / UH-60 TRANSPORT HELICOPTER</v>
          </cell>
          <cell r="B102" t="str">
            <v>DEPARTMENT OF DEFENSE / DOD</v>
          </cell>
          <cell r="C102" t="str">
            <v xml:space="preserve"> - </v>
          </cell>
          <cell r="D102" t="str">
            <v xml:space="preserve"> - </v>
          </cell>
          <cell r="E102" t="str">
            <v xml:space="preserve"> - </v>
          </cell>
          <cell r="F102" t="str">
            <v xml:space="preserve"> - </v>
          </cell>
          <cell r="G102" t="str">
            <v xml:space="preserve"> - </v>
          </cell>
          <cell r="H102" t="str">
            <v xml:space="preserve"> - </v>
          </cell>
          <cell r="I102" t="str">
            <v xml:space="preserve"> - </v>
          </cell>
          <cell r="J102" t="str">
            <v xml:space="preserve"> - </v>
          </cell>
          <cell r="K102" t="str">
            <v xml:space="preserve"> - </v>
          </cell>
          <cell r="L102" t="str">
            <v xml:space="preserve"> - </v>
          </cell>
          <cell r="M102" t="str">
            <v xml:space="preserve"> - </v>
          </cell>
          <cell r="N102" t="str">
            <v xml:space="preserve"> - </v>
          </cell>
          <cell r="O102" t="str">
            <v xml:space="preserve"> - </v>
          </cell>
        </row>
        <row r="103">
          <cell r="A103" t="str">
            <v>1AIC / AH-64 ATTACK HELICOPTER</v>
          </cell>
          <cell r="B103" t="str">
            <v>DEPARTMENT OF DEFENSE / DOD</v>
          </cell>
          <cell r="C103" t="str">
            <v xml:space="preserve"> - </v>
          </cell>
          <cell r="D103" t="str">
            <v xml:space="preserve"> - </v>
          </cell>
          <cell r="E103" t="str">
            <v xml:space="preserve"> - </v>
          </cell>
          <cell r="F103" t="str">
            <v xml:space="preserve"> - </v>
          </cell>
          <cell r="G103" t="str">
            <v xml:space="preserve"> - </v>
          </cell>
          <cell r="H103" t="str">
            <v xml:space="preserve"> - </v>
          </cell>
          <cell r="I103" t="str">
            <v xml:space="preserve"> - </v>
          </cell>
          <cell r="J103" t="str">
            <v xml:space="preserve"> - </v>
          </cell>
          <cell r="K103" t="str">
            <v xml:space="preserve"> - </v>
          </cell>
          <cell r="L103" t="str">
            <v xml:space="preserve"> - </v>
          </cell>
          <cell r="M103" t="str">
            <v xml:space="preserve"> - </v>
          </cell>
          <cell r="N103" t="str">
            <v xml:space="preserve"> - </v>
          </cell>
          <cell r="O103" t="str">
            <v xml:space="preserve"> - </v>
          </cell>
        </row>
        <row r="104">
          <cell r="A104" t="str">
            <v>1AIE / RECON HELICOPTER</v>
          </cell>
          <cell r="B104" t="str">
            <v>DEPARTMENT OF DEFENSE / DOD</v>
          </cell>
          <cell r="C104" t="str">
            <v xml:space="preserve"> - </v>
          </cell>
          <cell r="D104" t="str">
            <v xml:space="preserve"> - </v>
          </cell>
          <cell r="E104" t="str">
            <v xml:space="preserve"> - </v>
          </cell>
          <cell r="F104" t="str">
            <v xml:space="preserve"> - </v>
          </cell>
          <cell r="G104" t="str">
            <v xml:space="preserve"> - </v>
          </cell>
          <cell r="H104" t="str">
            <v xml:space="preserve"> - </v>
          </cell>
          <cell r="I104" t="str">
            <v xml:space="preserve"> - </v>
          </cell>
          <cell r="J104" t="str">
            <v xml:space="preserve"> - </v>
          </cell>
          <cell r="K104" t="str">
            <v xml:space="preserve"> - </v>
          </cell>
          <cell r="L104" t="str">
            <v xml:space="preserve"> - </v>
          </cell>
          <cell r="M104" t="str">
            <v xml:space="preserve"> - </v>
          </cell>
          <cell r="N104" t="str">
            <v xml:space="preserve"> - </v>
          </cell>
          <cell r="O104" t="str">
            <v xml:space="preserve"> - </v>
          </cell>
        </row>
        <row r="105">
          <cell r="A105" t="str">
            <v>1AIG / LONGBOW APACHE ALL-WEATHER ATTACK HELICOPTER</v>
          </cell>
          <cell r="B105" t="str">
            <v>DEPARTMENT OF DEFENSE / DOD</v>
          </cell>
          <cell r="C105" t="str">
            <v xml:space="preserve"> - </v>
          </cell>
          <cell r="D105" t="str">
            <v xml:space="preserve"> - </v>
          </cell>
          <cell r="E105" t="str">
            <v xml:space="preserve"> - </v>
          </cell>
          <cell r="F105" t="str">
            <v xml:space="preserve"> - </v>
          </cell>
          <cell r="G105" t="str">
            <v xml:space="preserve"> - </v>
          </cell>
          <cell r="H105" t="str">
            <v xml:space="preserve"> - </v>
          </cell>
          <cell r="I105" t="str">
            <v xml:space="preserve"> - </v>
          </cell>
          <cell r="J105" t="str">
            <v xml:space="preserve"> - </v>
          </cell>
          <cell r="K105" t="str">
            <v xml:space="preserve"> - </v>
          </cell>
          <cell r="L105" t="str">
            <v xml:space="preserve"> - </v>
          </cell>
          <cell r="M105" t="str">
            <v xml:space="preserve"> - </v>
          </cell>
          <cell r="N105" t="str">
            <v xml:space="preserve"> - </v>
          </cell>
          <cell r="O105" t="str">
            <v xml:space="preserve"> - </v>
          </cell>
        </row>
        <row r="106">
          <cell r="A106" t="str">
            <v>1AIH / RAH 66 COMMANCHE</v>
          </cell>
          <cell r="B106" t="str">
            <v>DEPARTMENT OF DEFENSE / DOD</v>
          </cell>
          <cell r="C106" t="str">
            <v xml:space="preserve"> - </v>
          </cell>
          <cell r="D106" t="str">
            <v xml:space="preserve"> - </v>
          </cell>
          <cell r="E106" t="str">
            <v xml:space="preserve"> - </v>
          </cell>
          <cell r="F106" t="str">
            <v xml:space="preserve"> - </v>
          </cell>
          <cell r="G106" t="str">
            <v xml:space="preserve"> - </v>
          </cell>
          <cell r="H106" t="str">
            <v xml:space="preserve"> - </v>
          </cell>
          <cell r="I106" t="str">
            <v xml:space="preserve"> - </v>
          </cell>
          <cell r="J106" t="str">
            <v xml:space="preserve"> - </v>
          </cell>
          <cell r="K106" t="str">
            <v xml:space="preserve"> - </v>
          </cell>
          <cell r="L106" t="str">
            <v xml:space="preserve"> - </v>
          </cell>
          <cell r="M106" t="str">
            <v xml:space="preserve"> - </v>
          </cell>
          <cell r="N106" t="str">
            <v xml:space="preserve"> - </v>
          </cell>
          <cell r="O106" t="str">
            <v xml:space="preserve"> - </v>
          </cell>
        </row>
        <row r="107">
          <cell r="A107" t="str">
            <v>1AII / COMMANCHE</v>
          </cell>
          <cell r="B107" t="str">
            <v>DEPARTMENT OF DEFENSE / DOD</v>
          </cell>
          <cell r="C107" t="str">
            <v xml:space="preserve"> - </v>
          </cell>
          <cell r="D107" t="str">
            <v xml:space="preserve"> - </v>
          </cell>
          <cell r="E107" t="str">
            <v xml:space="preserve"> - </v>
          </cell>
          <cell r="F107" t="str">
            <v xml:space="preserve"> - </v>
          </cell>
          <cell r="G107" t="str">
            <v xml:space="preserve"> - </v>
          </cell>
          <cell r="H107" t="str">
            <v xml:space="preserve"> - </v>
          </cell>
          <cell r="I107" t="str">
            <v xml:space="preserve"> - </v>
          </cell>
          <cell r="J107" t="str">
            <v xml:space="preserve"> - </v>
          </cell>
          <cell r="K107" t="str">
            <v xml:space="preserve"> - </v>
          </cell>
          <cell r="L107" t="str">
            <v xml:space="preserve"> - </v>
          </cell>
          <cell r="M107" t="str">
            <v xml:space="preserve"> - </v>
          </cell>
          <cell r="N107" t="str">
            <v xml:space="preserve"> - </v>
          </cell>
          <cell r="O107" t="str">
            <v xml:space="preserve"> - </v>
          </cell>
        </row>
        <row r="108">
          <cell r="A108" t="str">
            <v>1ARA / TACTICAL RECONNAISSANCE AIRPLANE</v>
          </cell>
          <cell r="B108" t="str">
            <v>DEPARTMENT OF DEFENSE / DOD</v>
          </cell>
          <cell r="C108" t="str">
            <v xml:space="preserve"> - </v>
          </cell>
          <cell r="D108" t="str">
            <v xml:space="preserve"> - </v>
          </cell>
          <cell r="E108" t="str">
            <v xml:space="preserve"> - </v>
          </cell>
          <cell r="F108" t="str">
            <v xml:space="preserve"> - </v>
          </cell>
          <cell r="G108" t="str">
            <v xml:space="preserve"> - </v>
          </cell>
          <cell r="H108" t="str">
            <v xml:space="preserve"> - </v>
          </cell>
          <cell r="I108" t="str">
            <v xml:space="preserve"> - </v>
          </cell>
          <cell r="J108" t="str">
            <v xml:space="preserve"> - </v>
          </cell>
          <cell r="K108" t="str">
            <v xml:space="preserve"> - </v>
          </cell>
          <cell r="L108" t="str">
            <v xml:space="preserve"> - </v>
          </cell>
          <cell r="M108" t="str">
            <v xml:space="preserve"> - </v>
          </cell>
          <cell r="N108" t="str">
            <v xml:space="preserve"> - </v>
          </cell>
          <cell r="O108" t="str">
            <v xml:space="preserve"> - </v>
          </cell>
        </row>
        <row r="109">
          <cell r="A109" t="str">
            <v>1ATH / HELICOPTER NEW TRAINING</v>
          </cell>
          <cell r="B109" t="str">
            <v>DEPARTMENT OF DEFENSE / DOD</v>
          </cell>
          <cell r="C109" t="str">
            <v xml:space="preserve"> - </v>
          </cell>
          <cell r="D109" t="str">
            <v xml:space="preserve"> - </v>
          </cell>
          <cell r="E109" t="str">
            <v xml:space="preserve"> - </v>
          </cell>
          <cell r="F109" t="str">
            <v xml:space="preserve"> - </v>
          </cell>
          <cell r="G109" t="str">
            <v xml:space="preserve"> - </v>
          </cell>
          <cell r="H109" t="str">
            <v xml:space="preserve"> - </v>
          </cell>
          <cell r="I109" t="str">
            <v xml:space="preserve"> - </v>
          </cell>
          <cell r="J109" t="str">
            <v xml:space="preserve"> - </v>
          </cell>
          <cell r="K109" t="str">
            <v xml:space="preserve"> - </v>
          </cell>
          <cell r="L109" t="str">
            <v xml:space="preserve"> - </v>
          </cell>
          <cell r="M109" t="str">
            <v xml:space="preserve"> - </v>
          </cell>
          <cell r="N109" t="str">
            <v xml:space="preserve"> - </v>
          </cell>
          <cell r="O109" t="str">
            <v xml:space="preserve"> - </v>
          </cell>
        </row>
        <row r="110">
          <cell r="A110" t="str">
            <v>1AUE / TWIN-TURBOPROP AIRCRAFT</v>
          </cell>
          <cell r="B110" t="str">
            <v>DEPARTMENT OF DEFENSE / DOD</v>
          </cell>
          <cell r="C110" t="str">
            <v xml:space="preserve"> - </v>
          </cell>
          <cell r="D110" t="str">
            <v xml:space="preserve"> - </v>
          </cell>
          <cell r="E110" t="str">
            <v xml:space="preserve"> - </v>
          </cell>
          <cell r="F110" t="str">
            <v xml:space="preserve"> - </v>
          </cell>
          <cell r="G110" t="str">
            <v xml:space="preserve"> - </v>
          </cell>
          <cell r="H110" t="str">
            <v xml:space="preserve"> - </v>
          </cell>
          <cell r="I110" t="str">
            <v xml:space="preserve"> - </v>
          </cell>
          <cell r="J110" t="str">
            <v xml:space="preserve"> - </v>
          </cell>
          <cell r="K110" t="str">
            <v xml:space="preserve"> - </v>
          </cell>
          <cell r="L110" t="str">
            <v xml:space="preserve"> - </v>
          </cell>
          <cell r="M110" t="str">
            <v xml:space="preserve"> - </v>
          </cell>
          <cell r="N110" t="str">
            <v xml:space="preserve"> - </v>
          </cell>
          <cell r="O110" t="str">
            <v xml:space="preserve"> - </v>
          </cell>
        </row>
        <row r="111">
          <cell r="A111" t="str">
            <v>1AVA / OV-1 MOHAWK</v>
          </cell>
          <cell r="B111" t="str">
            <v>DEPARTMENT OF DEFENSE / DOD</v>
          </cell>
          <cell r="C111" t="str">
            <v xml:space="preserve"> - </v>
          </cell>
          <cell r="D111" t="str">
            <v xml:space="preserve"> - </v>
          </cell>
          <cell r="E111" t="str">
            <v xml:space="preserve"> - </v>
          </cell>
          <cell r="F111" t="str">
            <v xml:space="preserve"> - </v>
          </cell>
          <cell r="G111" t="str">
            <v xml:space="preserve"> - </v>
          </cell>
          <cell r="H111" t="str">
            <v xml:space="preserve"> - </v>
          </cell>
          <cell r="I111" t="str">
            <v xml:space="preserve"> - </v>
          </cell>
          <cell r="J111" t="str">
            <v xml:space="preserve"> - </v>
          </cell>
          <cell r="K111" t="str">
            <v xml:space="preserve"> - </v>
          </cell>
          <cell r="L111" t="str">
            <v xml:space="preserve"> - </v>
          </cell>
          <cell r="M111" t="str">
            <v xml:space="preserve"> - </v>
          </cell>
          <cell r="N111" t="str">
            <v xml:space="preserve"> - </v>
          </cell>
          <cell r="O111" t="str">
            <v xml:space="preserve"> - </v>
          </cell>
        </row>
        <row r="112">
          <cell r="A112" t="str">
            <v>1BTN / T-800</v>
          </cell>
          <cell r="B112" t="str">
            <v>DEPARTMENT OF DEFENSE / DOD</v>
          </cell>
          <cell r="C112" t="str">
            <v xml:space="preserve"> - </v>
          </cell>
          <cell r="D112" t="str">
            <v xml:space="preserve"> - </v>
          </cell>
          <cell r="E112" t="str">
            <v xml:space="preserve"> - </v>
          </cell>
          <cell r="F112" t="str">
            <v xml:space="preserve"> - </v>
          </cell>
          <cell r="G112" t="str">
            <v xml:space="preserve"> - </v>
          </cell>
          <cell r="H112" t="str">
            <v xml:space="preserve"> - </v>
          </cell>
          <cell r="I112" t="str">
            <v xml:space="preserve"> - </v>
          </cell>
          <cell r="J112" t="str">
            <v xml:space="preserve"> - </v>
          </cell>
          <cell r="K112" t="str">
            <v xml:space="preserve"> - </v>
          </cell>
          <cell r="L112" t="str">
            <v xml:space="preserve"> - </v>
          </cell>
          <cell r="M112" t="str">
            <v xml:space="preserve"> - </v>
          </cell>
          <cell r="N112" t="str">
            <v xml:space="preserve"> - </v>
          </cell>
          <cell r="O112" t="str">
            <v xml:space="preserve"> - </v>
          </cell>
        </row>
        <row r="113">
          <cell r="A113" t="str">
            <v>1BTP / TURBOSHAFT ENGINE</v>
          </cell>
          <cell r="B113" t="str">
            <v>DEPARTMENT OF DEFENSE / DOD</v>
          </cell>
          <cell r="C113" t="str">
            <v xml:space="preserve"> - </v>
          </cell>
          <cell r="D113" t="str">
            <v xml:space="preserve"> - </v>
          </cell>
          <cell r="E113" t="str">
            <v xml:space="preserve"> - </v>
          </cell>
          <cell r="F113" t="str">
            <v xml:space="preserve"> - </v>
          </cell>
          <cell r="G113" t="str">
            <v xml:space="preserve"> - </v>
          </cell>
          <cell r="H113" t="str">
            <v xml:space="preserve"> - </v>
          </cell>
          <cell r="I113" t="str">
            <v xml:space="preserve"> - </v>
          </cell>
          <cell r="J113" t="str">
            <v xml:space="preserve"> - </v>
          </cell>
          <cell r="K113" t="str">
            <v xml:space="preserve"> - </v>
          </cell>
          <cell r="L113" t="str">
            <v xml:space="preserve"> - </v>
          </cell>
          <cell r="M113" t="str">
            <v xml:space="preserve"> - </v>
          </cell>
          <cell r="N113" t="str">
            <v xml:space="preserve"> - </v>
          </cell>
          <cell r="O113" t="str">
            <v xml:space="preserve"> - </v>
          </cell>
        </row>
        <row r="114">
          <cell r="A114" t="str">
            <v>1CAA / BALLISTIC MISSILE DEFENSE SYSTEM</v>
          </cell>
          <cell r="B114" t="str">
            <v>DEPARTMENT OF DEFENSE / DOD</v>
          </cell>
          <cell r="C114" t="str">
            <v xml:space="preserve"> - </v>
          </cell>
          <cell r="D114" t="str">
            <v xml:space="preserve"> - </v>
          </cell>
          <cell r="E114" t="str">
            <v xml:space="preserve"> - </v>
          </cell>
          <cell r="F114" t="str">
            <v xml:space="preserve"> - </v>
          </cell>
          <cell r="G114" t="str">
            <v xml:space="preserve"> - </v>
          </cell>
          <cell r="H114" t="str">
            <v xml:space="preserve"> - </v>
          </cell>
          <cell r="I114" t="str">
            <v xml:space="preserve"> - </v>
          </cell>
          <cell r="J114" t="str">
            <v xml:space="preserve"> - </v>
          </cell>
          <cell r="K114" t="str">
            <v xml:space="preserve"> - </v>
          </cell>
          <cell r="L114" t="str">
            <v xml:space="preserve"> - </v>
          </cell>
          <cell r="M114" t="str">
            <v xml:space="preserve"> - </v>
          </cell>
          <cell r="N114" t="str">
            <v xml:space="preserve"> - </v>
          </cell>
          <cell r="O114" t="str">
            <v xml:space="preserve"> - </v>
          </cell>
        </row>
        <row r="115">
          <cell r="A115" t="str">
            <v>1CMC / MIM-23 HAWK</v>
          </cell>
          <cell r="B115" t="str">
            <v>DEPARTMENT OF DEFENSE / DOD</v>
          </cell>
          <cell r="C115" t="str">
            <v xml:space="preserve"> - </v>
          </cell>
          <cell r="D115" t="str">
            <v xml:space="preserve"> - </v>
          </cell>
          <cell r="E115" t="str">
            <v xml:space="preserve"> - </v>
          </cell>
          <cell r="F115" t="str">
            <v xml:space="preserve"> - </v>
          </cell>
          <cell r="G115" t="str">
            <v xml:space="preserve"> - </v>
          </cell>
          <cell r="H115" t="str">
            <v xml:space="preserve"> - </v>
          </cell>
          <cell r="I115" t="str">
            <v xml:space="preserve"> - </v>
          </cell>
          <cell r="J115" t="str">
            <v xml:space="preserve"> - </v>
          </cell>
          <cell r="K115" t="str">
            <v xml:space="preserve"> - </v>
          </cell>
          <cell r="L115" t="str">
            <v xml:space="preserve"> - </v>
          </cell>
          <cell r="M115" t="str">
            <v xml:space="preserve"> - </v>
          </cell>
          <cell r="N115" t="str">
            <v xml:space="preserve"> - </v>
          </cell>
          <cell r="O115" t="str">
            <v xml:space="preserve"> - </v>
          </cell>
        </row>
        <row r="116">
          <cell r="A116" t="str">
            <v>1CMN / MIM-72 CHAPARRAL</v>
          </cell>
          <cell r="B116" t="str">
            <v>DEPARTMENT OF DEFENSE / DOD</v>
          </cell>
          <cell r="C116" t="str">
            <v xml:space="preserve"> - </v>
          </cell>
          <cell r="D116" t="str">
            <v xml:space="preserve"> - </v>
          </cell>
          <cell r="E116" t="str">
            <v xml:space="preserve"> - </v>
          </cell>
          <cell r="F116" t="str">
            <v xml:space="preserve"> - </v>
          </cell>
          <cell r="G116" t="str">
            <v xml:space="preserve"> - </v>
          </cell>
          <cell r="H116" t="str">
            <v xml:space="preserve"> - </v>
          </cell>
          <cell r="I116" t="str">
            <v xml:space="preserve"> - </v>
          </cell>
          <cell r="J116" t="str">
            <v xml:space="preserve"> - </v>
          </cell>
          <cell r="K116" t="str">
            <v xml:space="preserve"> - </v>
          </cell>
          <cell r="L116" t="str">
            <v xml:space="preserve"> - </v>
          </cell>
          <cell r="M116" t="str">
            <v xml:space="preserve"> - </v>
          </cell>
          <cell r="N116" t="str">
            <v xml:space="preserve"> - </v>
          </cell>
          <cell r="O116" t="str">
            <v xml:space="preserve"> - </v>
          </cell>
        </row>
        <row r="117">
          <cell r="A117" t="str">
            <v>1CMU / M-77 DRAGON</v>
          </cell>
          <cell r="B117" t="str">
            <v>DEPARTMENT OF DEFENSE / DOD</v>
          </cell>
          <cell r="C117" t="str">
            <v xml:space="preserve"> - </v>
          </cell>
          <cell r="D117" t="str">
            <v xml:space="preserve"> - </v>
          </cell>
          <cell r="E117" t="str">
            <v xml:space="preserve"> - </v>
          </cell>
          <cell r="F117" t="str">
            <v xml:space="preserve"> - </v>
          </cell>
          <cell r="G117" t="str">
            <v xml:space="preserve"> - </v>
          </cell>
          <cell r="H117" t="str">
            <v xml:space="preserve"> - </v>
          </cell>
          <cell r="I117" t="str">
            <v xml:space="preserve"> - </v>
          </cell>
          <cell r="J117" t="str">
            <v xml:space="preserve"> - </v>
          </cell>
          <cell r="K117" t="str">
            <v xml:space="preserve"> - </v>
          </cell>
          <cell r="L117" t="str">
            <v xml:space="preserve"> - </v>
          </cell>
          <cell r="M117" t="str">
            <v xml:space="preserve"> - </v>
          </cell>
          <cell r="N117" t="str">
            <v xml:space="preserve"> - </v>
          </cell>
          <cell r="O117" t="str">
            <v xml:space="preserve"> - </v>
          </cell>
        </row>
        <row r="118">
          <cell r="A118" t="str">
            <v>1CMZ / FAADS C21 (SHORAD)</v>
          </cell>
          <cell r="B118" t="str">
            <v>DEPARTMENT OF DEFENSE / DOD</v>
          </cell>
          <cell r="C118" t="str">
            <v xml:space="preserve"> - </v>
          </cell>
          <cell r="D118" t="str">
            <v xml:space="preserve"> - </v>
          </cell>
          <cell r="E118" t="str">
            <v xml:space="preserve"> - </v>
          </cell>
          <cell r="F118" t="str">
            <v xml:space="preserve"> - </v>
          </cell>
          <cell r="G118" t="str">
            <v xml:space="preserve"> - </v>
          </cell>
          <cell r="H118" t="str">
            <v xml:space="preserve"> - </v>
          </cell>
          <cell r="I118" t="str">
            <v xml:space="preserve"> - </v>
          </cell>
          <cell r="J118" t="str">
            <v xml:space="preserve"> - </v>
          </cell>
          <cell r="K118" t="str">
            <v xml:space="preserve"> - </v>
          </cell>
          <cell r="L118" t="str">
            <v xml:space="preserve"> - </v>
          </cell>
          <cell r="M118" t="str">
            <v xml:space="preserve"> - </v>
          </cell>
          <cell r="N118" t="str">
            <v xml:space="preserve"> - </v>
          </cell>
          <cell r="O118" t="str">
            <v xml:space="preserve"> - </v>
          </cell>
        </row>
        <row r="119">
          <cell r="A119" t="str">
            <v>1CNA / STINGER (RMP) MANPORTABLE SAM</v>
          </cell>
          <cell r="B119" t="str">
            <v>DEPARTMENT OF DEFENSE / DOD</v>
          </cell>
          <cell r="C119" t="str">
            <v xml:space="preserve"> - </v>
          </cell>
          <cell r="D119" t="str">
            <v xml:space="preserve"> - </v>
          </cell>
          <cell r="E119" t="str">
            <v xml:space="preserve"> - </v>
          </cell>
          <cell r="F119" t="str">
            <v xml:space="preserve"> - </v>
          </cell>
          <cell r="G119" t="str">
            <v xml:space="preserve"> - </v>
          </cell>
          <cell r="H119" t="str">
            <v xml:space="preserve"> - </v>
          </cell>
          <cell r="I119" t="str">
            <v xml:space="preserve"> - </v>
          </cell>
          <cell r="J119" t="str">
            <v xml:space="preserve"> - </v>
          </cell>
          <cell r="K119" t="str">
            <v xml:space="preserve"> - </v>
          </cell>
          <cell r="L119" t="str">
            <v xml:space="preserve"> - </v>
          </cell>
          <cell r="M119" t="str">
            <v xml:space="preserve"> - </v>
          </cell>
          <cell r="N119" t="str">
            <v xml:space="preserve"> - </v>
          </cell>
          <cell r="O119" t="str">
            <v xml:space="preserve"> - </v>
          </cell>
        </row>
        <row r="120">
          <cell r="A120" t="str">
            <v>1CNC / QM-107 GD MSL TGT SYS</v>
          </cell>
          <cell r="B120" t="str">
            <v>DEPARTMENT OF DEFENSE / DOD</v>
          </cell>
          <cell r="C120" t="str">
            <v xml:space="preserve"> - </v>
          </cell>
          <cell r="D120" t="str">
            <v xml:space="preserve"> - </v>
          </cell>
          <cell r="E120" t="str">
            <v xml:space="preserve"> - </v>
          </cell>
          <cell r="F120" t="str">
            <v xml:space="preserve"> - </v>
          </cell>
          <cell r="G120" t="str">
            <v xml:space="preserve"> - </v>
          </cell>
          <cell r="H120" t="str">
            <v xml:space="preserve"> - </v>
          </cell>
          <cell r="I120" t="str">
            <v xml:space="preserve"> - </v>
          </cell>
          <cell r="J120" t="str">
            <v xml:space="preserve"> - </v>
          </cell>
          <cell r="K120" t="str">
            <v xml:space="preserve"> - </v>
          </cell>
          <cell r="L120" t="str">
            <v xml:space="preserve"> - </v>
          </cell>
          <cell r="M120" t="str">
            <v xml:space="preserve"> - </v>
          </cell>
          <cell r="N120" t="str">
            <v xml:space="preserve"> - </v>
          </cell>
          <cell r="O120" t="str">
            <v xml:space="preserve"> - </v>
          </cell>
        </row>
        <row r="121">
          <cell r="A121" t="str">
            <v>1CNE / PATRIOT SURFACE-TO-AIR MISSILES</v>
          </cell>
          <cell r="B121" t="str">
            <v>DEPARTMENT OF DEFENSE / DOD</v>
          </cell>
          <cell r="C121" t="str">
            <v xml:space="preserve"> - </v>
          </cell>
          <cell r="D121" t="str">
            <v xml:space="preserve"> - </v>
          </cell>
          <cell r="E121" t="str">
            <v xml:space="preserve"> - </v>
          </cell>
          <cell r="F121" t="str">
            <v xml:space="preserve"> - </v>
          </cell>
          <cell r="G121" t="str">
            <v xml:space="preserve"> - </v>
          </cell>
          <cell r="H121" t="str">
            <v xml:space="preserve"> - </v>
          </cell>
          <cell r="I121" t="str">
            <v xml:space="preserve"> - </v>
          </cell>
          <cell r="J121" t="str">
            <v xml:space="preserve"> - </v>
          </cell>
          <cell r="K121" t="str">
            <v xml:space="preserve"> - </v>
          </cell>
          <cell r="L121" t="str">
            <v xml:space="preserve"> - </v>
          </cell>
          <cell r="M121" t="str">
            <v xml:space="preserve"> - </v>
          </cell>
          <cell r="N121" t="str">
            <v xml:space="preserve"> - </v>
          </cell>
          <cell r="O121" t="str">
            <v xml:space="preserve"> - </v>
          </cell>
        </row>
        <row r="122">
          <cell r="A122" t="str">
            <v>1CNL / ARMY TACTICAL MISSILE SYSTEM</v>
          </cell>
          <cell r="B122" t="str">
            <v>DEPARTMENT OF DEFENSE / DOD</v>
          </cell>
          <cell r="C122" t="str">
            <v xml:space="preserve"> - </v>
          </cell>
          <cell r="D122" t="str">
            <v xml:space="preserve"> - </v>
          </cell>
          <cell r="E122" t="str">
            <v xml:space="preserve"> - </v>
          </cell>
          <cell r="F122" t="str">
            <v xml:space="preserve"> - </v>
          </cell>
          <cell r="G122" t="str">
            <v xml:space="preserve"> - </v>
          </cell>
          <cell r="H122" t="str">
            <v xml:space="preserve"> - </v>
          </cell>
          <cell r="I122" t="str">
            <v xml:space="preserve"> - </v>
          </cell>
          <cell r="J122" t="str">
            <v xml:space="preserve"> - </v>
          </cell>
          <cell r="K122" t="str">
            <v xml:space="preserve"> - </v>
          </cell>
          <cell r="L122" t="str">
            <v xml:space="preserve"> - </v>
          </cell>
          <cell r="M122" t="str">
            <v xml:space="preserve"> - </v>
          </cell>
          <cell r="N122" t="str">
            <v xml:space="preserve"> - </v>
          </cell>
          <cell r="O122" t="str">
            <v xml:space="preserve"> - </v>
          </cell>
        </row>
        <row r="123">
          <cell r="A123" t="str">
            <v>1CNM / TOW-2 TB-LH,OP-TRK,WG ANTI ARM</v>
          </cell>
          <cell r="B123" t="str">
            <v>DEPARTMENT OF DEFENSE / DOD</v>
          </cell>
          <cell r="C123" t="str">
            <v xml:space="preserve"> - </v>
          </cell>
          <cell r="D123" t="str">
            <v xml:space="preserve"> - </v>
          </cell>
          <cell r="E123" t="str">
            <v xml:space="preserve"> - </v>
          </cell>
          <cell r="F123" t="str">
            <v xml:space="preserve"> - </v>
          </cell>
          <cell r="G123" t="str">
            <v xml:space="preserve"> - </v>
          </cell>
          <cell r="H123" t="str">
            <v xml:space="preserve"> - </v>
          </cell>
          <cell r="I123" t="str">
            <v xml:space="preserve"> - </v>
          </cell>
          <cell r="J123" t="str">
            <v xml:space="preserve"> - </v>
          </cell>
          <cell r="K123" t="str">
            <v xml:space="preserve"> - </v>
          </cell>
          <cell r="L123" t="str">
            <v xml:space="preserve"> - </v>
          </cell>
          <cell r="M123" t="str">
            <v xml:space="preserve"> - </v>
          </cell>
          <cell r="N123" t="str">
            <v xml:space="preserve"> - </v>
          </cell>
          <cell r="O123" t="str">
            <v xml:space="preserve"> - </v>
          </cell>
        </row>
        <row r="124">
          <cell r="A124" t="str">
            <v>1CNP / AVENGER - FADS, LOS, RPMS</v>
          </cell>
          <cell r="B124" t="str">
            <v>DEPARTMENT OF DEFENSE / DOD</v>
          </cell>
          <cell r="C124" t="str">
            <v xml:space="preserve"> - </v>
          </cell>
          <cell r="D124" t="str">
            <v xml:space="preserve"> - </v>
          </cell>
          <cell r="E124" t="str">
            <v xml:space="preserve"> - </v>
          </cell>
          <cell r="F124" t="str">
            <v xml:space="preserve"> - </v>
          </cell>
          <cell r="G124" t="str">
            <v xml:space="preserve"> - </v>
          </cell>
          <cell r="H124" t="str">
            <v xml:space="preserve"> - </v>
          </cell>
          <cell r="I124" t="str">
            <v xml:space="preserve"> - </v>
          </cell>
          <cell r="J124" t="str">
            <v xml:space="preserve"> - </v>
          </cell>
          <cell r="K124" t="str">
            <v xml:space="preserve"> - </v>
          </cell>
          <cell r="L124" t="str">
            <v xml:space="preserve"> - </v>
          </cell>
          <cell r="M124" t="str">
            <v xml:space="preserve"> - </v>
          </cell>
          <cell r="N124" t="str">
            <v xml:space="preserve"> - </v>
          </cell>
          <cell r="O124" t="str">
            <v xml:space="preserve"> - </v>
          </cell>
        </row>
        <row r="125">
          <cell r="A125" t="str">
            <v>1CNQ / BRLNT ANTI-ARMOR SUBMUNITION</v>
          </cell>
          <cell r="B125" t="str">
            <v>DEPARTMENT OF DEFENSE / DOD</v>
          </cell>
          <cell r="C125" t="str">
            <v xml:space="preserve"> - </v>
          </cell>
          <cell r="D125" t="str">
            <v xml:space="preserve"> - </v>
          </cell>
          <cell r="E125" t="str">
            <v xml:space="preserve"> - </v>
          </cell>
          <cell r="F125" t="str">
            <v xml:space="preserve"> - </v>
          </cell>
          <cell r="G125" t="str">
            <v xml:space="preserve"> - </v>
          </cell>
          <cell r="H125" t="str">
            <v xml:space="preserve"> - </v>
          </cell>
          <cell r="I125" t="str">
            <v xml:space="preserve"> - </v>
          </cell>
          <cell r="J125" t="str">
            <v xml:space="preserve"> - </v>
          </cell>
          <cell r="K125" t="str">
            <v xml:space="preserve"> - </v>
          </cell>
          <cell r="L125" t="str">
            <v xml:space="preserve"> - </v>
          </cell>
          <cell r="M125" t="str">
            <v xml:space="preserve"> - </v>
          </cell>
          <cell r="N125" t="str">
            <v xml:space="preserve"> - </v>
          </cell>
          <cell r="O125" t="str">
            <v xml:space="preserve"> - </v>
          </cell>
        </row>
        <row r="126">
          <cell r="A126" t="str">
            <v>1CNR / IMPROVED TARGET ACQ SYS</v>
          </cell>
          <cell r="B126" t="str">
            <v>DEPARTMENT OF DEFENSE / DOD</v>
          </cell>
          <cell r="C126" t="str">
            <v xml:space="preserve"> - </v>
          </cell>
          <cell r="D126" t="str">
            <v xml:space="preserve"> - </v>
          </cell>
          <cell r="E126" t="str">
            <v xml:space="preserve"> - </v>
          </cell>
          <cell r="F126" t="str">
            <v xml:space="preserve"> - </v>
          </cell>
          <cell r="G126" t="str">
            <v xml:space="preserve"> - </v>
          </cell>
          <cell r="H126" t="str">
            <v xml:space="preserve"> - </v>
          </cell>
          <cell r="I126" t="str">
            <v xml:space="preserve"> - </v>
          </cell>
          <cell r="J126" t="str">
            <v xml:space="preserve"> - </v>
          </cell>
          <cell r="K126" t="str">
            <v xml:space="preserve"> - </v>
          </cell>
          <cell r="L126" t="str">
            <v xml:space="preserve"> - </v>
          </cell>
          <cell r="M126" t="str">
            <v xml:space="preserve"> - </v>
          </cell>
          <cell r="N126" t="str">
            <v xml:space="preserve"> - </v>
          </cell>
          <cell r="O126" t="str">
            <v xml:space="preserve"> - </v>
          </cell>
        </row>
        <row r="127">
          <cell r="A127" t="str">
            <v>1CNS / JAVELIN ANTI-ARMOUR MISSILE</v>
          </cell>
          <cell r="B127" t="str">
            <v>DEPARTMENT OF DEFENSE / DOD</v>
          </cell>
          <cell r="C127" t="str">
            <v xml:space="preserve"> - </v>
          </cell>
          <cell r="D127" t="str">
            <v xml:space="preserve"> - </v>
          </cell>
          <cell r="E127" t="str">
            <v xml:space="preserve"> - </v>
          </cell>
          <cell r="F127" t="str">
            <v xml:space="preserve"> - </v>
          </cell>
          <cell r="G127" t="str">
            <v xml:space="preserve"> - </v>
          </cell>
          <cell r="H127" t="str">
            <v xml:space="preserve"> - </v>
          </cell>
          <cell r="I127" t="str">
            <v xml:space="preserve"> - </v>
          </cell>
          <cell r="J127" t="str">
            <v xml:space="preserve"> - </v>
          </cell>
          <cell r="K127" t="str">
            <v xml:space="preserve"> - </v>
          </cell>
          <cell r="L127" t="str">
            <v xml:space="preserve"> - </v>
          </cell>
          <cell r="M127" t="str">
            <v xml:space="preserve"> - </v>
          </cell>
          <cell r="N127" t="str">
            <v xml:space="preserve"> - </v>
          </cell>
          <cell r="O127" t="str">
            <v xml:space="preserve"> - </v>
          </cell>
        </row>
        <row r="128">
          <cell r="A128" t="str">
            <v>1CNT / MLRS - MULTIPLE LNCH ROCK SYS</v>
          </cell>
          <cell r="B128" t="str">
            <v>DEPARTMENT OF DEFENSE / DOD</v>
          </cell>
          <cell r="C128" t="str">
            <v xml:space="preserve"> - </v>
          </cell>
          <cell r="D128" t="str">
            <v xml:space="preserve"> - </v>
          </cell>
          <cell r="E128" t="str">
            <v xml:space="preserve"> - </v>
          </cell>
          <cell r="F128" t="str">
            <v xml:space="preserve"> - </v>
          </cell>
          <cell r="G128" t="str">
            <v xml:space="preserve"> - </v>
          </cell>
          <cell r="H128" t="str">
            <v xml:space="preserve"> - </v>
          </cell>
          <cell r="I128" t="str">
            <v xml:space="preserve"> - </v>
          </cell>
          <cell r="J128" t="str">
            <v xml:space="preserve"> - </v>
          </cell>
          <cell r="K128" t="str">
            <v xml:space="preserve"> - </v>
          </cell>
          <cell r="L128" t="str">
            <v xml:space="preserve"> - </v>
          </cell>
          <cell r="M128" t="str">
            <v xml:space="preserve"> - </v>
          </cell>
          <cell r="N128" t="str">
            <v xml:space="preserve"> - </v>
          </cell>
          <cell r="O128" t="str">
            <v xml:space="preserve"> - </v>
          </cell>
        </row>
        <row r="129">
          <cell r="A129" t="str">
            <v>1CNU / CORPS SAM</v>
          </cell>
          <cell r="B129" t="str">
            <v>DEPARTMENT OF DEFENSE / DOD</v>
          </cell>
          <cell r="C129" t="str">
            <v xml:space="preserve"> - </v>
          </cell>
          <cell r="D129" t="str">
            <v xml:space="preserve"> - </v>
          </cell>
          <cell r="E129" t="str">
            <v xml:space="preserve"> - </v>
          </cell>
          <cell r="F129" t="str">
            <v xml:space="preserve"> - </v>
          </cell>
          <cell r="G129" t="str">
            <v xml:space="preserve"> - </v>
          </cell>
          <cell r="H129" t="str">
            <v xml:space="preserve"> - </v>
          </cell>
          <cell r="I129" t="str">
            <v xml:space="preserve"> - </v>
          </cell>
          <cell r="J129" t="str">
            <v xml:space="preserve"> - </v>
          </cell>
          <cell r="K129" t="str">
            <v xml:space="preserve"> - </v>
          </cell>
          <cell r="L129" t="str">
            <v xml:space="preserve"> - </v>
          </cell>
          <cell r="M129" t="str">
            <v xml:space="preserve"> - </v>
          </cell>
          <cell r="N129" t="str">
            <v xml:space="preserve"> - </v>
          </cell>
          <cell r="O129" t="str">
            <v xml:space="preserve"> - </v>
          </cell>
        </row>
        <row r="130">
          <cell r="A130" t="str">
            <v>1CNV / GBI - GROUND BASED INTERCEPTOR</v>
          </cell>
          <cell r="B130" t="str">
            <v>DEPARTMENT OF DEFENSE / DOD</v>
          </cell>
          <cell r="C130" t="str">
            <v xml:space="preserve"> - </v>
          </cell>
          <cell r="D130" t="str">
            <v xml:space="preserve"> - </v>
          </cell>
          <cell r="E130" t="str">
            <v xml:space="preserve"> - </v>
          </cell>
          <cell r="F130" t="str">
            <v xml:space="preserve"> - </v>
          </cell>
          <cell r="G130" t="str">
            <v xml:space="preserve"> - </v>
          </cell>
          <cell r="H130" t="str">
            <v xml:space="preserve"> - </v>
          </cell>
          <cell r="I130" t="str">
            <v xml:space="preserve"> - </v>
          </cell>
          <cell r="J130" t="str">
            <v xml:space="preserve"> - </v>
          </cell>
          <cell r="K130" t="str">
            <v xml:space="preserve"> - </v>
          </cell>
          <cell r="L130" t="str">
            <v xml:space="preserve"> - </v>
          </cell>
          <cell r="M130" t="str">
            <v xml:space="preserve"> - </v>
          </cell>
          <cell r="N130" t="str">
            <v xml:space="preserve"> - </v>
          </cell>
          <cell r="O130" t="str">
            <v xml:space="preserve"> - </v>
          </cell>
        </row>
        <row r="131">
          <cell r="A131" t="str">
            <v>1CNW / GBR -GROUND BASED RADAR</v>
          </cell>
          <cell r="B131" t="str">
            <v>DEPARTMENT OF DEFENSE / DOD</v>
          </cell>
          <cell r="C131" t="str">
            <v xml:space="preserve"> - </v>
          </cell>
          <cell r="D131" t="str">
            <v xml:space="preserve"> - </v>
          </cell>
          <cell r="E131" t="str">
            <v xml:space="preserve"> - </v>
          </cell>
          <cell r="F131" t="str">
            <v xml:space="preserve"> - </v>
          </cell>
          <cell r="G131" t="str">
            <v xml:space="preserve"> - </v>
          </cell>
          <cell r="H131" t="str">
            <v xml:space="preserve"> - </v>
          </cell>
          <cell r="I131" t="str">
            <v xml:space="preserve"> - </v>
          </cell>
          <cell r="J131" t="str">
            <v xml:space="preserve"> - </v>
          </cell>
          <cell r="K131" t="str">
            <v xml:space="preserve"> - </v>
          </cell>
          <cell r="L131" t="str">
            <v xml:space="preserve"> - </v>
          </cell>
          <cell r="M131" t="str">
            <v xml:space="preserve"> - </v>
          </cell>
          <cell r="N131" t="str">
            <v xml:space="preserve"> - </v>
          </cell>
          <cell r="O131" t="str">
            <v xml:space="preserve"> - </v>
          </cell>
        </row>
        <row r="132">
          <cell r="A132" t="str">
            <v>1CNX / THAAD-THEATER HIGH ALT AIR DEF</v>
          </cell>
          <cell r="B132" t="str">
            <v>DEPARTMENT OF DEFENSE / DOD</v>
          </cell>
          <cell r="C132" t="str">
            <v xml:space="preserve"> - </v>
          </cell>
          <cell r="D132" t="str">
            <v xml:space="preserve"> - </v>
          </cell>
          <cell r="E132" t="str">
            <v xml:space="preserve"> - </v>
          </cell>
          <cell r="F132" t="str">
            <v xml:space="preserve"> - </v>
          </cell>
          <cell r="G132" t="str">
            <v xml:space="preserve"> - </v>
          </cell>
          <cell r="H132" t="str">
            <v xml:space="preserve"> - </v>
          </cell>
          <cell r="I132" t="str">
            <v xml:space="preserve"> - </v>
          </cell>
          <cell r="J132" t="str">
            <v xml:space="preserve"> - </v>
          </cell>
          <cell r="K132" t="str">
            <v xml:space="preserve"> - </v>
          </cell>
          <cell r="L132" t="str">
            <v xml:space="preserve"> - </v>
          </cell>
          <cell r="M132" t="str">
            <v xml:space="preserve"> - </v>
          </cell>
          <cell r="N132" t="str">
            <v xml:space="preserve"> - </v>
          </cell>
          <cell r="O132" t="str">
            <v xml:space="preserve"> - </v>
          </cell>
        </row>
        <row r="133">
          <cell r="A133" t="str">
            <v>1CPA / HELLFIRE MODULAR MSL SYS</v>
          </cell>
          <cell r="B133" t="str">
            <v>DEPARTMENT OF DEFENSE / DOD</v>
          </cell>
          <cell r="C133" t="str">
            <v xml:space="preserve"> - </v>
          </cell>
          <cell r="D133" t="str">
            <v xml:space="preserve"> - </v>
          </cell>
          <cell r="E133" t="str">
            <v xml:space="preserve"> - </v>
          </cell>
          <cell r="F133" t="str">
            <v xml:space="preserve"> - </v>
          </cell>
          <cell r="G133" t="str">
            <v xml:space="preserve"> - </v>
          </cell>
          <cell r="H133" t="str">
            <v xml:space="preserve"> - </v>
          </cell>
          <cell r="I133" t="str">
            <v xml:space="preserve"> - </v>
          </cell>
          <cell r="J133" t="str">
            <v xml:space="preserve"> - </v>
          </cell>
          <cell r="K133" t="str">
            <v xml:space="preserve"> - </v>
          </cell>
          <cell r="L133" t="str">
            <v xml:space="preserve"> - </v>
          </cell>
          <cell r="M133" t="str">
            <v xml:space="preserve"> - </v>
          </cell>
          <cell r="N133" t="str">
            <v xml:space="preserve"> - </v>
          </cell>
          <cell r="O133" t="str">
            <v xml:space="preserve"> - </v>
          </cell>
        </row>
        <row r="134">
          <cell r="A134" t="str">
            <v>1CPB / LASER HELLFIRE</v>
          </cell>
          <cell r="B134" t="str">
            <v>DEPARTMENT OF DEFENSE / DOD</v>
          </cell>
          <cell r="C134" t="str">
            <v xml:space="preserve"> - </v>
          </cell>
          <cell r="D134" t="str">
            <v xml:space="preserve"> - </v>
          </cell>
          <cell r="E134" t="str">
            <v xml:space="preserve"> - </v>
          </cell>
          <cell r="F134" t="str">
            <v xml:space="preserve"> - </v>
          </cell>
          <cell r="G134" t="str">
            <v xml:space="preserve"> - </v>
          </cell>
          <cell r="H134" t="str">
            <v xml:space="preserve"> - </v>
          </cell>
          <cell r="I134" t="str">
            <v xml:space="preserve"> - </v>
          </cell>
          <cell r="J134" t="str">
            <v xml:space="preserve"> - </v>
          </cell>
          <cell r="K134" t="str">
            <v xml:space="preserve"> - </v>
          </cell>
          <cell r="L134" t="str">
            <v xml:space="preserve"> - </v>
          </cell>
          <cell r="M134" t="str">
            <v xml:space="preserve"> - </v>
          </cell>
          <cell r="N134" t="str">
            <v xml:space="preserve"> - </v>
          </cell>
          <cell r="O134" t="str">
            <v xml:space="preserve"> - </v>
          </cell>
        </row>
        <row r="135">
          <cell r="A135" t="str">
            <v>1CPJ / UAV HUNTER (SHORT RANGE UAV)</v>
          </cell>
          <cell r="B135" t="str">
            <v>DEPARTMENT OF DEFENSE / DOD</v>
          </cell>
          <cell r="C135" t="str">
            <v xml:space="preserve"> - </v>
          </cell>
          <cell r="D135" t="str">
            <v xml:space="preserve"> - </v>
          </cell>
          <cell r="E135" t="str">
            <v xml:space="preserve"> - </v>
          </cell>
          <cell r="F135" t="str">
            <v xml:space="preserve"> - </v>
          </cell>
          <cell r="G135" t="str">
            <v xml:space="preserve"> - </v>
          </cell>
          <cell r="H135" t="str">
            <v xml:space="preserve"> - </v>
          </cell>
          <cell r="I135" t="str">
            <v xml:space="preserve"> - </v>
          </cell>
          <cell r="J135" t="str">
            <v xml:space="preserve"> - </v>
          </cell>
          <cell r="K135" t="str">
            <v xml:space="preserve"> - </v>
          </cell>
          <cell r="L135" t="str">
            <v xml:space="preserve"> - </v>
          </cell>
          <cell r="M135" t="str">
            <v xml:space="preserve"> - </v>
          </cell>
          <cell r="N135" t="str">
            <v xml:space="preserve"> - </v>
          </cell>
          <cell r="O135" t="str">
            <v xml:space="preserve"> - </v>
          </cell>
        </row>
        <row r="136">
          <cell r="A136" t="str">
            <v>1CRG / 2.75'' ROCKET ALL TYPES</v>
          </cell>
          <cell r="B136" t="str">
            <v>DEPARTMENT OF DEFENSE / DOD</v>
          </cell>
          <cell r="C136" t="str">
            <v xml:space="preserve"> - </v>
          </cell>
          <cell r="D136" t="str">
            <v xml:space="preserve"> - </v>
          </cell>
          <cell r="E136" t="str">
            <v xml:space="preserve"> - </v>
          </cell>
          <cell r="F136" t="str">
            <v xml:space="preserve"> - </v>
          </cell>
          <cell r="G136" t="str">
            <v xml:space="preserve"> - </v>
          </cell>
          <cell r="H136" t="str">
            <v xml:space="preserve"> - </v>
          </cell>
          <cell r="I136" t="str">
            <v xml:space="preserve"> - </v>
          </cell>
          <cell r="J136" t="str">
            <v xml:space="preserve"> - </v>
          </cell>
          <cell r="K136" t="str">
            <v xml:space="preserve"> - </v>
          </cell>
          <cell r="L136" t="str">
            <v xml:space="preserve"> - </v>
          </cell>
          <cell r="M136" t="str">
            <v xml:space="preserve"> - </v>
          </cell>
          <cell r="N136" t="str">
            <v xml:space="preserve"> - </v>
          </cell>
          <cell r="O136" t="str">
            <v xml:space="preserve"> - </v>
          </cell>
        </row>
        <row r="137">
          <cell r="A137" t="str">
            <v>1CRM / LAUNCHER, ROCKET 2.75</v>
          </cell>
          <cell r="B137" t="str">
            <v>DEPARTMENT OF DEFENSE / DOD</v>
          </cell>
          <cell r="C137" t="str">
            <v xml:space="preserve"> - </v>
          </cell>
          <cell r="D137" t="str">
            <v xml:space="preserve"> - </v>
          </cell>
          <cell r="E137" t="str">
            <v xml:space="preserve"> - </v>
          </cell>
          <cell r="F137" t="str">
            <v xml:space="preserve"> - </v>
          </cell>
          <cell r="G137" t="str">
            <v xml:space="preserve"> - </v>
          </cell>
          <cell r="H137" t="str">
            <v xml:space="preserve"> - </v>
          </cell>
          <cell r="I137" t="str">
            <v xml:space="preserve"> - </v>
          </cell>
          <cell r="J137" t="str">
            <v xml:space="preserve"> - </v>
          </cell>
          <cell r="K137" t="str">
            <v xml:space="preserve"> - </v>
          </cell>
          <cell r="L137" t="str">
            <v xml:space="preserve"> - </v>
          </cell>
          <cell r="M137" t="str">
            <v xml:space="preserve"> - </v>
          </cell>
          <cell r="N137" t="str">
            <v xml:space="preserve"> - </v>
          </cell>
          <cell r="O137" t="str">
            <v xml:space="preserve"> - </v>
          </cell>
        </row>
        <row r="138">
          <cell r="A138" t="str">
            <v>1CRN / ROCKET HYDRA 70 ALL TYPES</v>
          </cell>
          <cell r="B138" t="str">
            <v>DEPARTMENT OF DEFENSE / DOD</v>
          </cell>
          <cell r="C138" t="str">
            <v xml:space="preserve"> - </v>
          </cell>
          <cell r="D138" t="str">
            <v xml:space="preserve"> - </v>
          </cell>
          <cell r="E138" t="str">
            <v xml:space="preserve"> - </v>
          </cell>
          <cell r="F138" t="str">
            <v xml:space="preserve"> - </v>
          </cell>
          <cell r="G138" t="str">
            <v xml:space="preserve"> - </v>
          </cell>
          <cell r="H138" t="str">
            <v xml:space="preserve"> - </v>
          </cell>
          <cell r="I138" t="str">
            <v xml:space="preserve"> - </v>
          </cell>
          <cell r="J138" t="str">
            <v xml:space="preserve"> - </v>
          </cell>
          <cell r="K138" t="str">
            <v xml:space="preserve"> - </v>
          </cell>
          <cell r="L138" t="str">
            <v xml:space="preserve"> - </v>
          </cell>
          <cell r="M138" t="str">
            <v xml:space="preserve"> - </v>
          </cell>
          <cell r="N138" t="str">
            <v xml:space="preserve"> - </v>
          </cell>
          <cell r="O138" t="str">
            <v xml:space="preserve"> - </v>
          </cell>
        </row>
        <row r="139">
          <cell r="A139" t="str">
            <v>1CRV / MULT LNCH ROCKET SYS</v>
          </cell>
          <cell r="B139" t="str">
            <v>DEPARTMENT OF DEFENSE / DOD</v>
          </cell>
          <cell r="C139" t="str">
            <v xml:space="preserve"> - </v>
          </cell>
          <cell r="D139" t="str">
            <v xml:space="preserve"> - </v>
          </cell>
          <cell r="E139" t="str">
            <v xml:space="preserve"> - </v>
          </cell>
          <cell r="F139" t="str">
            <v xml:space="preserve"> - </v>
          </cell>
          <cell r="G139" t="str">
            <v xml:space="preserve"> - </v>
          </cell>
          <cell r="H139" t="str">
            <v xml:space="preserve"> - </v>
          </cell>
          <cell r="I139" t="str">
            <v xml:space="preserve"> - </v>
          </cell>
          <cell r="J139" t="str">
            <v xml:space="preserve"> - </v>
          </cell>
          <cell r="K139" t="str">
            <v xml:space="preserve"> - </v>
          </cell>
          <cell r="L139" t="str">
            <v xml:space="preserve"> - </v>
          </cell>
          <cell r="M139" t="str">
            <v xml:space="preserve"> - </v>
          </cell>
          <cell r="N139" t="str">
            <v xml:space="preserve"> - </v>
          </cell>
          <cell r="O139" t="str">
            <v xml:space="preserve"> - </v>
          </cell>
        </row>
        <row r="140">
          <cell r="A140" t="str">
            <v>1CRW / LONGBOW HELLFIRE</v>
          </cell>
          <cell r="B140" t="str">
            <v>DEPARTMENT OF DEFENSE / DOD</v>
          </cell>
          <cell r="C140" t="str">
            <v xml:space="preserve"> - </v>
          </cell>
          <cell r="D140" t="str">
            <v xml:space="preserve"> - </v>
          </cell>
          <cell r="E140" t="str">
            <v xml:space="preserve"> - </v>
          </cell>
          <cell r="F140" t="str">
            <v xml:space="preserve"> - </v>
          </cell>
          <cell r="G140" t="str">
            <v xml:space="preserve"> - </v>
          </cell>
          <cell r="H140" t="str">
            <v xml:space="preserve"> - </v>
          </cell>
          <cell r="I140" t="str">
            <v xml:space="preserve"> - </v>
          </cell>
          <cell r="J140" t="str">
            <v xml:space="preserve"> - </v>
          </cell>
          <cell r="K140" t="str">
            <v xml:space="preserve"> - </v>
          </cell>
          <cell r="L140" t="str">
            <v xml:space="preserve"> - </v>
          </cell>
          <cell r="M140" t="str">
            <v xml:space="preserve"> - </v>
          </cell>
          <cell r="N140" t="str">
            <v xml:space="preserve"> - </v>
          </cell>
          <cell r="O140" t="str">
            <v xml:space="preserve"> - </v>
          </cell>
        </row>
        <row r="141">
          <cell r="A141" t="str">
            <v>1DAD / TRUCKS &lt;1T</v>
          </cell>
          <cell r="B141" t="str">
            <v>DEPARTMENT OF DEFENSE / DOD</v>
          </cell>
          <cell r="C141" t="str">
            <v xml:space="preserve"> - </v>
          </cell>
          <cell r="D141" t="str">
            <v xml:space="preserve"> - </v>
          </cell>
          <cell r="E141" t="str">
            <v xml:space="preserve"> - </v>
          </cell>
          <cell r="F141" t="str">
            <v xml:space="preserve"> - </v>
          </cell>
          <cell r="G141" t="str">
            <v xml:space="preserve"> - </v>
          </cell>
          <cell r="H141" t="str">
            <v xml:space="preserve"> - </v>
          </cell>
          <cell r="I141" t="str">
            <v xml:space="preserve"> - </v>
          </cell>
          <cell r="J141" t="str">
            <v xml:space="preserve"> - </v>
          </cell>
          <cell r="K141" t="str">
            <v xml:space="preserve"> - </v>
          </cell>
          <cell r="L141" t="str">
            <v xml:space="preserve"> - </v>
          </cell>
          <cell r="M141" t="str">
            <v xml:space="preserve"> - </v>
          </cell>
          <cell r="N141" t="str">
            <v xml:space="preserve"> - </v>
          </cell>
          <cell r="O141" t="str">
            <v xml:space="preserve"> - </v>
          </cell>
        </row>
        <row r="142">
          <cell r="A142" t="str">
            <v>1DAE / 2 1/2 TON TRUCKS</v>
          </cell>
          <cell r="B142" t="str">
            <v>DEPARTMENT OF DEFENSE / DOD</v>
          </cell>
          <cell r="C142" t="str">
            <v xml:space="preserve"> - </v>
          </cell>
          <cell r="D142" t="str">
            <v xml:space="preserve"> - </v>
          </cell>
          <cell r="E142" t="str">
            <v xml:space="preserve"> - </v>
          </cell>
          <cell r="F142" t="str">
            <v xml:space="preserve"> - </v>
          </cell>
          <cell r="G142" t="str">
            <v xml:space="preserve"> - </v>
          </cell>
          <cell r="H142" t="str">
            <v xml:space="preserve"> - </v>
          </cell>
          <cell r="I142" t="str">
            <v xml:space="preserve"> - </v>
          </cell>
          <cell r="J142" t="str">
            <v xml:space="preserve"> - </v>
          </cell>
          <cell r="K142" t="str">
            <v xml:space="preserve"> - </v>
          </cell>
          <cell r="L142" t="str">
            <v xml:space="preserve"> - </v>
          </cell>
          <cell r="M142" t="str">
            <v xml:space="preserve"> - </v>
          </cell>
          <cell r="N142" t="str">
            <v xml:space="preserve"> - </v>
          </cell>
          <cell r="O142" t="str">
            <v xml:space="preserve"> - </v>
          </cell>
        </row>
        <row r="143">
          <cell r="A143" t="str">
            <v>1DAF / TRUCKS 5T</v>
          </cell>
          <cell r="B143" t="str">
            <v>DEPARTMENT OF DEFENSE / DOD</v>
          </cell>
          <cell r="C143" t="str">
            <v xml:space="preserve"> - </v>
          </cell>
          <cell r="D143" t="str">
            <v xml:space="preserve"> - </v>
          </cell>
          <cell r="E143" t="str">
            <v xml:space="preserve"> - </v>
          </cell>
          <cell r="F143" t="str">
            <v xml:space="preserve"> - </v>
          </cell>
          <cell r="G143" t="str">
            <v xml:space="preserve"> - </v>
          </cell>
          <cell r="H143" t="str">
            <v xml:space="preserve"> - </v>
          </cell>
          <cell r="I143" t="str">
            <v xml:space="preserve"> - </v>
          </cell>
          <cell r="J143" t="str">
            <v xml:space="preserve"> - </v>
          </cell>
          <cell r="K143" t="str">
            <v xml:space="preserve"> - </v>
          </cell>
          <cell r="L143" t="str">
            <v xml:space="preserve"> - </v>
          </cell>
          <cell r="M143" t="str">
            <v xml:space="preserve"> - </v>
          </cell>
          <cell r="N143" t="str">
            <v xml:space="preserve"> - </v>
          </cell>
          <cell r="O143" t="str">
            <v xml:space="preserve"> - </v>
          </cell>
        </row>
        <row r="144">
          <cell r="A144" t="str">
            <v>1DAG / 10 TON TRUCKS</v>
          </cell>
          <cell r="B144" t="str">
            <v>DEPARTMENT OF DEFENSE / DOD</v>
          </cell>
          <cell r="C144" t="str">
            <v xml:space="preserve"> - </v>
          </cell>
          <cell r="D144" t="str">
            <v xml:space="preserve"> - </v>
          </cell>
          <cell r="E144" t="str">
            <v xml:space="preserve"> - </v>
          </cell>
          <cell r="F144" t="str">
            <v xml:space="preserve"> - </v>
          </cell>
          <cell r="G144" t="str">
            <v xml:space="preserve"> - </v>
          </cell>
          <cell r="H144" t="str">
            <v xml:space="preserve"> - </v>
          </cell>
          <cell r="I144" t="str">
            <v xml:space="preserve"> - </v>
          </cell>
          <cell r="J144" t="str">
            <v xml:space="preserve"> - </v>
          </cell>
          <cell r="K144" t="str">
            <v xml:space="preserve"> - </v>
          </cell>
          <cell r="L144" t="str">
            <v xml:space="preserve"> - </v>
          </cell>
          <cell r="M144" t="str">
            <v xml:space="preserve"> - </v>
          </cell>
          <cell r="N144" t="str">
            <v xml:space="preserve"> - </v>
          </cell>
          <cell r="O144" t="str">
            <v xml:space="preserve"> - </v>
          </cell>
        </row>
        <row r="145">
          <cell r="A145" t="str">
            <v>1DAH / TRUCKS &gt;10T</v>
          </cell>
          <cell r="B145" t="str">
            <v>DEPARTMENT OF DEFENSE / DOD</v>
          </cell>
          <cell r="C145" t="str">
            <v xml:space="preserve"> - </v>
          </cell>
          <cell r="D145" t="str">
            <v xml:space="preserve"> - </v>
          </cell>
          <cell r="E145" t="str">
            <v xml:space="preserve"> - </v>
          </cell>
          <cell r="F145" t="str">
            <v xml:space="preserve"> - </v>
          </cell>
          <cell r="G145" t="str">
            <v xml:space="preserve"> - </v>
          </cell>
          <cell r="H145" t="str">
            <v xml:space="preserve"> - </v>
          </cell>
          <cell r="I145" t="str">
            <v xml:space="preserve"> - </v>
          </cell>
          <cell r="J145" t="str">
            <v xml:space="preserve"> - </v>
          </cell>
          <cell r="K145" t="str">
            <v xml:space="preserve"> - </v>
          </cell>
          <cell r="L145" t="str">
            <v xml:space="preserve"> - </v>
          </cell>
          <cell r="M145" t="str">
            <v xml:space="preserve"> - </v>
          </cell>
          <cell r="N145" t="str">
            <v xml:space="preserve"> - </v>
          </cell>
          <cell r="O145" t="str">
            <v xml:space="preserve"> - </v>
          </cell>
        </row>
        <row r="146">
          <cell r="A146" t="str">
            <v>1DAI / RECOVERY VEHICLE M88 IMPROVED</v>
          </cell>
          <cell r="B146" t="str">
            <v>DEPARTMENT OF DEFENSE / DOD</v>
          </cell>
          <cell r="C146" t="str">
            <v xml:space="preserve"> - </v>
          </cell>
          <cell r="D146" t="str">
            <v xml:space="preserve"> - </v>
          </cell>
          <cell r="E146" t="str">
            <v xml:space="preserve"> - </v>
          </cell>
          <cell r="F146" t="str">
            <v xml:space="preserve"> - </v>
          </cell>
          <cell r="G146" t="str">
            <v xml:space="preserve"> - </v>
          </cell>
          <cell r="H146" t="str">
            <v xml:space="preserve"> - </v>
          </cell>
          <cell r="I146" t="str">
            <v xml:space="preserve"> - </v>
          </cell>
          <cell r="J146" t="str">
            <v xml:space="preserve"> - </v>
          </cell>
          <cell r="K146" t="str">
            <v xml:space="preserve"> - </v>
          </cell>
          <cell r="L146" t="str">
            <v xml:space="preserve"> - </v>
          </cell>
          <cell r="M146" t="str">
            <v xml:space="preserve"> - </v>
          </cell>
          <cell r="N146" t="str">
            <v xml:space="preserve"> - </v>
          </cell>
          <cell r="O146" t="str">
            <v xml:space="preserve"> - </v>
          </cell>
        </row>
        <row r="147">
          <cell r="A147" t="str">
            <v>1DAJ / ARMORED SECURITY VEHICLE</v>
          </cell>
          <cell r="B147" t="str">
            <v>DEPARTMENT OF DEFENSE / DOD</v>
          </cell>
          <cell r="C147" t="str">
            <v xml:space="preserve"> - </v>
          </cell>
          <cell r="D147" t="str">
            <v xml:space="preserve"> - </v>
          </cell>
          <cell r="E147" t="str">
            <v xml:space="preserve"> - </v>
          </cell>
          <cell r="F147" t="str">
            <v xml:space="preserve"> - </v>
          </cell>
          <cell r="G147" t="str">
            <v xml:space="preserve"> - </v>
          </cell>
          <cell r="H147" t="str">
            <v xml:space="preserve"> - </v>
          </cell>
          <cell r="I147" t="str">
            <v xml:space="preserve"> - </v>
          </cell>
          <cell r="J147" t="str">
            <v xml:space="preserve"> - </v>
          </cell>
          <cell r="K147" t="str">
            <v xml:space="preserve"> - </v>
          </cell>
          <cell r="L147" t="str">
            <v xml:space="preserve"> - </v>
          </cell>
          <cell r="M147" t="str">
            <v xml:space="preserve"> - </v>
          </cell>
          <cell r="N147" t="str">
            <v xml:space="preserve"> - </v>
          </cell>
          <cell r="O147" t="str">
            <v xml:space="preserve"> - </v>
          </cell>
        </row>
        <row r="148">
          <cell r="A148" t="str">
            <v>1DAK / PALLETIZED LOADING SYSTEM</v>
          </cell>
          <cell r="B148" t="str">
            <v>DEPARTMENT OF DEFENSE / DOD</v>
          </cell>
          <cell r="C148" t="str">
            <v xml:space="preserve"> - </v>
          </cell>
          <cell r="D148" t="str">
            <v xml:space="preserve"> - </v>
          </cell>
          <cell r="E148" t="str">
            <v xml:space="preserve"> - </v>
          </cell>
          <cell r="F148" t="str">
            <v xml:space="preserve"> - </v>
          </cell>
          <cell r="G148" t="str">
            <v xml:space="preserve"> - </v>
          </cell>
          <cell r="H148" t="str">
            <v xml:space="preserve"> - </v>
          </cell>
          <cell r="I148" t="str">
            <v xml:space="preserve"> - </v>
          </cell>
          <cell r="J148" t="str">
            <v xml:space="preserve"> - </v>
          </cell>
          <cell r="K148" t="str">
            <v xml:space="preserve"> - </v>
          </cell>
          <cell r="L148" t="str">
            <v xml:space="preserve"> - </v>
          </cell>
          <cell r="M148" t="str">
            <v xml:space="preserve"> - </v>
          </cell>
          <cell r="N148" t="str">
            <v xml:space="preserve"> - </v>
          </cell>
          <cell r="O148" t="str">
            <v xml:space="preserve"> - </v>
          </cell>
        </row>
        <row r="149">
          <cell r="A149" t="str">
            <v>1DAL / UNKNOWN</v>
          </cell>
          <cell r="B149" t="str">
            <v>DEPARTMENT OF DEFENSE / DOD</v>
          </cell>
          <cell r="C149" t="str">
            <v xml:space="preserve"> - </v>
          </cell>
          <cell r="D149" t="str">
            <v xml:space="preserve"> - </v>
          </cell>
          <cell r="E149" t="str">
            <v xml:space="preserve"> - </v>
          </cell>
          <cell r="F149" t="str">
            <v xml:space="preserve"> - </v>
          </cell>
          <cell r="G149" t="str">
            <v xml:space="preserve"> - </v>
          </cell>
          <cell r="H149" t="str">
            <v xml:space="preserve"> - </v>
          </cell>
          <cell r="I149" t="str">
            <v xml:space="preserve"> - </v>
          </cell>
          <cell r="J149" t="str">
            <v xml:space="preserve"> - </v>
          </cell>
          <cell r="K149" t="str">
            <v xml:space="preserve"> - </v>
          </cell>
          <cell r="L149" t="str">
            <v xml:space="preserve"> - </v>
          </cell>
          <cell r="M149" t="str">
            <v xml:space="preserve"> - </v>
          </cell>
          <cell r="N149" t="str">
            <v xml:space="preserve"> - </v>
          </cell>
          <cell r="O149" t="str">
            <v xml:space="preserve"> - </v>
          </cell>
        </row>
        <row r="150">
          <cell r="A150" t="str">
            <v>1DAM / HUMVEE</v>
          </cell>
          <cell r="B150" t="str">
            <v>DEPARTMENT OF DEFENSE / DOD</v>
          </cell>
          <cell r="C150" t="str">
            <v xml:space="preserve"> - </v>
          </cell>
          <cell r="D150" t="str">
            <v xml:space="preserve"> - </v>
          </cell>
          <cell r="E150" t="str">
            <v xml:space="preserve"> - </v>
          </cell>
          <cell r="F150" t="str">
            <v xml:space="preserve"> - </v>
          </cell>
          <cell r="G150" t="str">
            <v xml:space="preserve"> - </v>
          </cell>
          <cell r="H150" t="str">
            <v xml:space="preserve"> - </v>
          </cell>
          <cell r="I150" t="str">
            <v xml:space="preserve"> - </v>
          </cell>
          <cell r="J150" t="str">
            <v xml:space="preserve"> - </v>
          </cell>
          <cell r="K150" t="str">
            <v xml:space="preserve"> - </v>
          </cell>
          <cell r="L150" t="str">
            <v xml:space="preserve"> - </v>
          </cell>
          <cell r="M150" t="str">
            <v xml:space="preserve"> - </v>
          </cell>
          <cell r="N150" t="str">
            <v xml:space="preserve"> - </v>
          </cell>
          <cell r="O150" t="str">
            <v xml:space="preserve"> - </v>
          </cell>
        </row>
        <row r="151">
          <cell r="A151" t="str">
            <v>1DAN / UNKNOWN</v>
          </cell>
          <cell r="B151" t="str">
            <v>DEPARTMENT OF DEFENSE / DOD</v>
          </cell>
          <cell r="C151" t="str">
            <v xml:space="preserve"> - </v>
          </cell>
          <cell r="D151" t="str">
            <v xml:space="preserve"> - </v>
          </cell>
          <cell r="E151" t="str">
            <v xml:space="preserve"> - </v>
          </cell>
          <cell r="F151" t="str">
            <v xml:space="preserve"> - </v>
          </cell>
          <cell r="G151" t="str">
            <v xml:space="preserve"> - </v>
          </cell>
          <cell r="H151" t="str">
            <v xml:space="preserve"> - </v>
          </cell>
          <cell r="I151" t="str">
            <v xml:space="preserve"> - </v>
          </cell>
          <cell r="J151" t="str">
            <v xml:space="preserve"> - </v>
          </cell>
          <cell r="K151" t="str">
            <v xml:space="preserve"> - </v>
          </cell>
          <cell r="L151" t="str">
            <v xml:space="preserve"> - </v>
          </cell>
          <cell r="M151" t="str">
            <v xml:space="preserve"> - </v>
          </cell>
          <cell r="N151" t="str">
            <v xml:space="preserve"> - </v>
          </cell>
          <cell r="O151" t="str">
            <v xml:space="preserve"> - </v>
          </cell>
        </row>
        <row r="152">
          <cell r="A152" t="str">
            <v>1DBL / LANDING VEH TRACKED AMPHIB</v>
          </cell>
          <cell r="B152" t="str">
            <v>DEPARTMENT OF DEFENSE / DOD</v>
          </cell>
          <cell r="C152" t="str">
            <v xml:space="preserve"> - </v>
          </cell>
          <cell r="D152" t="str">
            <v xml:space="preserve"> - </v>
          </cell>
          <cell r="E152" t="str">
            <v xml:space="preserve"> - </v>
          </cell>
          <cell r="F152" t="str">
            <v xml:space="preserve"> - </v>
          </cell>
          <cell r="G152" t="str">
            <v xml:space="preserve"> - </v>
          </cell>
          <cell r="H152" t="str">
            <v xml:space="preserve"> - </v>
          </cell>
          <cell r="I152" t="str">
            <v xml:space="preserve"> - </v>
          </cell>
          <cell r="J152" t="str">
            <v xml:space="preserve"> - </v>
          </cell>
          <cell r="K152" t="str">
            <v xml:space="preserve"> - </v>
          </cell>
          <cell r="L152" t="str">
            <v xml:space="preserve"> - </v>
          </cell>
          <cell r="M152" t="str">
            <v xml:space="preserve"> - </v>
          </cell>
          <cell r="N152" t="str">
            <v xml:space="preserve"> - </v>
          </cell>
          <cell r="O152" t="str">
            <v xml:space="preserve"> - </v>
          </cell>
        </row>
        <row r="153">
          <cell r="A153" t="str">
            <v>1DBV / BRADLEY FIGHTING VEHICLES</v>
          </cell>
          <cell r="B153" t="str">
            <v>DEPARTMENT OF DEFENSE / DOD</v>
          </cell>
          <cell r="C153" t="str">
            <v xml:space="preserve"> - </v>
          </cell>
          <cell r="D153" t="str">
            <v xml:space="preserve"> - </v>
          </cell>
          <cell r="E153" t="str">
            <v xml:space="preserve"> - </v>
          </cell>
          <cell r="F153" t="str">
            <v xml:space="preserve"> - </v>
          </cell>
          <cell r="G153" t="str">
            <v xml:space="preserve"> - </v>
          </cell>
          <cell r="H153" t="str">
            <v xml:space="preserve"> - </v>
          </cell>
          <cell r="I153" t="str">
            <v xml:space="preserve"> - </v>
          </cell>
          <cell r="J153" t="str">
            <v xml:space="preserve"> - </v>
          </cell>
          <cell r="K153" t="str">
            <v xml:space="preserve"> - </v>
          </cell>
          <cell r="L153" t="str">
            <v xml:space="preserve"> - </v>
          </cell>
          <cell r="M153" t="str">
            <v xml:space="preserve"> - </v>
          </cell>
          <cell r="N153" t="str">
            <v xml:space="preserve"> - </v>
          </cell>
          <cell r="O153" t="str">
            <v xml:space="preserve"> - </v>
          </cell>
        </row>
        <row r="154">
          <cell r="A154" t="str">
            <v>1DCP / CARRIER M113 MODS</v>
          </cell>
          <cell r="B154" t="str">
            <v>DEPARTMENT OF DEFENSE / DOD</v>
          </cell>
          <cell r="C154" t="str">
            <v xml:space="preserve"> - </v>
          </cell>
          <cell r="D154" t="str">
            <v xml:space="preserve"> - </v>
          </cell>
          <cell r="E154" t="str">
            <v xml:space="preserve"> - </v>
          </cell>
          <cell r="F154" t="str">
            <v xml:space="preserve"> - </v>
          </cell>
          <cell r="G154" t="str">
            <v xml:space="preserve"> - </v>
          </cell>
          <cell r="H154" t="str">
            <v xml:space="preserve"> - </v>
          </cell>
          <cell r="I154" t="str">
            <v xml:space="preserve"> - </v>
          </cell>
          <cell r="J154" t="str">
            <v xml:space="preserve"> - </v>
          </cell>
          <cell r="K154" t="str">
            <v xml:space="preserve"> - </v>
          </cell>
          <cell r="L154" t="str">
            <v xml:space="preserve"> - </v>
          </cell>
          <cell r="M154" t="str">
            <v xml:space="preserve"> - </v>
          </cell>
          <cell r="N154" t="str">
            <v xml:space="preserve"> - </v>
          </cell>
          <cell r="O154" t="str">
            <v xml:space="preserve"> - </v>
          </cell>
        </row>
        <row r="155">
          <cell r="A155" t="str">
            <v>1DEB / CRANE 5 TON 3/8 CU YD</v>
          </cell>
          <cell r="B155" t="str">
            <v>DEPARTMENT OF DEFENSE / DOD</v>
          </cell>
          <cell r="C155" t="str">
            <v xml:space="preserve"> - </v>
          </cell>
          <cell r="D155" t="str">
            <v xml:space="preserve"> - </v>
          </cell>
          <cell r="E155" t="str">
            <v xml:space="preserve"> - </v>
          </cell>
          <cell r="F155" t="str">
            <v xml:space="preserve"> - </v>
          </cell>
          <cell r="G155" t="str">
            <v xml:space="preserve"> - </v>
          </cell>
          <cell r="H155" t="str">
            <v xml:space="preserve"> - </v>
          </cell>
          <cell r="I155" t="str">
            <v xml:space="preserve"> - </v>
          </cell>
          <cell r="J155" t="str">
            <v xml:space="preserve"> - </v>
          </cell>
          <cell r="K155" t="str">
            <v xml:space="preserve"> - </v>
          </cell>
          <cell r="L155" t="str">
            <v xml:space="preserve"> - </v>
          </cell>
          <cell r="M155" t="str">
            <v xml:space="preserve"> - </v>
          </cell>
          <cell r="N155" t="str">
            <v xml:space="preserve"> - </v>
          </cell>
          <cell r="O155" t="str">
            <v xml:space="preserve"> - </v>
          </cell>
        </row>
        <row r="156">
          <cell r="A156" t="str">
            <v>1DED / CRANE WHEEL MTD 20T 3/4 CU YD</v>
          </cell>
          <cell r="B156" t="str">
            <v>DEPARTMENT OF DEFENSE / DOD</v>
          </cell>
          <cell r="C156" t="str">
            <v xml:space="preserve"> - </v>
          </cell>
          <cell r="D156" t="str">
            <v xml:space="preserve"> - </v>
          </cell>
          <cell r="E156" t="str">
            <v xml:space="preserve"> - </v>
          </cell>
          <cell r="F156" t="str">
            <v xml:space="preserve"> - </v>
          </cell>
          <cell r="G156" t="str">
            <v xml:space="preserve"> - </v>
          </cell>
          <cell r="H156" t="str">
            <v xml:space="preserve"> - </v>
          </cell>
          <cell r="I156" t="str">
            <v xml:space="preserve"> - </v>
          </cell>
          <cell r="J156" t="str">
            <v xml:space="preserve"> - </v>
          </cell>
          <cell r="K156" t="str">
            <v xml:space="preserve"> - </v>
          </cell>
          <cell r="L156" t="str">
            <v xml:space="preserve"> - </v>
          </cell>
          <cell r="M156" t="str">
            <v xml:space="preserve"> - </v>
          </cell>
          <cell r="N156" t="str">
            <v xml:space="preserve"> - </v>
          </cell>
          <cell r="O156" t="str">
            <v xml:space="preserve"> - </v>
          </cell>
        </row>
        <row r="157">
          <cell r="A157" t="str">
            <v>1DEE / CRANE HYDRAULIC 25 TON (CCE)</v>
          </cell>
          <cell r="B157" t="str">
            <v>DEPARTMENT OF DEFENSE / DOD</v>
          </cell>
          <cell r="C157" t="str">
            <v xml:space="preserve"> - </v>
          </cell>
          <cell r="D157" t="str">
            <v xml:space="preserve"> - </v>
          </cell>
          <cell r="E157" t="str">
            <v xml:space="preserve"> - </v>
          </cell>
          <cell r="F157" t="str">
            <v xml:space="preserve"> - </v>
          </cell>
          <cell r="G157" t="str">
            <v xml:space="preserve"> - </v>
          </cell>
          <cell r="H157" t="str">
            <v xml:space="preserve"> - </v>
          </cell>
          <cell r="I157" t="str">
            <v xml:space="preserve"> - </v>
          </cell>
          <cell r="J157" t="str">
            <v xml:space="preserve"> - </v>
          </cell>
          <cell r="K157" t="str">
            <v xml:space="preserve"> - </v>
          </cell>
          <cell r="L157" t="str">
            <v xml:space="preserve"> - </v>
          </cell>
          <cell r="M157" t="str">
            <v xml:space="preserve"> - </v>
          </cell>
          <cell r="N157" t="str">
            <v xml:space="preserve"> - </v>
          </cell>
          <cell r="O157" t="str">
            <v xml:space="preserve"> - </v>
          </cell>
        </row>
        <row r="158">
          <cell r="A158" t="str">
            <v>1DEF / LOADER SCOOP TYPE 4-6 CU YD</v>
          </cell>
          <cell r="B158" t="str">
            <v>DEPARTMENT OF DEFENSE / DOD</v>
          </cell>
          <cell r="C158" t="str">
            <v xml:space="preserve"> - </v>
          </cell>
          <cell r="D158" t="str">
            <v xml:space="preserve"> - </v>
          </cell>
          <cell r="E158" t="str">
            <v xml:space="preserve"> - </v>
          </cell>
          <cell r="F158" t="str">
            <v xml:space="preserve"> - </v>
          </cell>
          <cell r="G158" t="str">
            <v xml:space="preserve"> - </v>
          </cell>
          <cell r="H158" t="str">
            <v xml:space="preserve"> - </v>
          </cell>
          <cell r="I158" t="str">
            <v xml:space="preserve"> - </v>
          </cell>
          <cell r="J158" t="str">
            <v xml:space="preserve"> - </v>
          </cell>
          <cell r="K158" t="str">
            <v xml:space="preserve"> - </v>
          </cell>
          <cell r="L158" t="str">
            <v xml:space="preserve"> - </v>
          </cell>
          <cell r="M158" t="str">
            <v xml:space="preserve"> - </v>
          </cell>
          <cell r="N158" t="str">
            <v xml:space="preserve"> - </v>
          </cell>
          <cell r="O158" t="str">
            <v xml:space="preserve"> - </v>
          </cell>
        </row>
        <row r="159">
          <cell r="A159" t="str">
            <v>1DEG / TRUCK CONCRETE</v>
          </cell>
          <cell r="B159" t="str">
            <v>DEPARTMENT OF DEFENSE / DOD</v>
          </cell>
          <cell r="C159" t="str">
            <v xml:space="preserve"> - </v>
          </cell>
          <cell r="D159" t="str">
            <v xml:space="preserve"> - </v>
          </cell>
          <cell r="E159" t="str">
            <v xml:space="preserve"> - </v>
          </cell>
          <cell r="F159" t="str">
            <v xml:space="preserve"> - </v>
          </cell>
          <cell r="G159" t="str">
            <v xml:space="preserve"> - </v>
          </cell>
          <cell r="H159" t="str">
            <v xml:space="preserve"> - </v>
          </cell>
          <cell r="I159" t="str">
            <v xml:space="preserve"> - </v>
          </cell>
          <cell r="J159" t="str">
            <v xml:space="preserve"> - </v>
          </cell>
          <cell r="K159" t="str">
            <v xml:space="preserve"> - </v>
          </cell>
          <cell r="L159" t="str">
            <v xml:space="preserve"> - </v>
          </cell>
          <cell r="M159" t="str">
            <v xml:space="preserve"> - </v>
          </cell>
          <cell r="N159" t="str">
            <v xml:space="preserve"> - </v>
          </cell>
          <cell r="O159" t="str">
            <v xml:space="preserve"> - </v>
          </cell>
        </row>
        <row r="160">
          <cell r="A160" t="str">
            <v>1DGE / AMPHIBIOUS 60 TON LARC</v>
          </cell>
          <cell r="B160" t="str">
            <v>DEPARTMENT OF DEFENSE / DOD</v>
          </cell>
          <cell r="C160" t="str">
            <v xml:space="preserve"> - </v>
          </cell>
          <cell r="D160" t="str">
            <v xml:space="preserve"> - </v>
          </cell>
          <cell r="E160" t="str">
            <v xml:space="preserve"> - </v>
          </cell>
          <cell r="F160" t="str">
            <v xml:space="preserve"> - </v>
          </cell>
          <cell r="G160" t="str">
            <v xml:space="preserve"> - </v>
          </cell>
          <cell r="H160" t="str">
            <v xml:space="preserve"> - </v>
          </cell>
          <cell r="I160" t="str">
            <v xml:space="preserve"> - </v>
          </cell>
          <cell r="J160" t="str">
            <v xml:space="preserve"> - </v>
          </cell>
          <cell r="K160" t="str">
            <v xml:space="preserve"> - </v>
          </cell>
          <cell r="L160" t="str">
            <v xml:space="preserve"> - </v>
          </cell>
          <cell r="M160" t="str">
            <v xml:space="preserve"> - </v>
          </cell>
          <cell r="N160" t="str">
            <v xml:space="preserve"> - </v>
          </cell>
          <cell r="O160" t="str">
            <v xml:space="preserve"> - </v>
          </cell>
        </row>
        <row r="161">
          <cell r="A161" t="str">
            <v>1DID / LOW BED 52 1/2 TON M747</v>
          </cell>
          <cell r="B161" t="str">
            <v>DEPARTMENT OF DEFENSE / DOD</v>
          </cell>
          <cell r="C161" t="str">
            <v xml:space="preserve"> - </v>
          </cell>
          <cell r="D161" t="str">
            <v xml:space="preserve"> - </v>
          </cell>
          <cell r="E161" t="str">
            <v xml:space="preserve"> - </v>
          </cell>
          <cell r="F161" t="str">
            <v xml:space="preserve"> - </v>
          </cell>
          <cell r="G161" t="str">
            <v xml:space="preserve"> - </v>
          </cell>
          <cell r="H161" t="str">
            <v xml:space="preserve"> - </v>
          </cell>
          <cell r="I161" t="str">
            <v xml:space="preserve"> - </v>
          </cell>
          <cell r="J161" t="str">
            <v xml:space="preserve"> - </v>
          </cell>
          <cell r="K161" t="str">
            <v xml:space="preserve"> - </v>
          </cell>
          <cell r="L161" t="str">
            <v xml:space="preserve"> - </v>
          </cell>
          <cell r="M161" t="str">
            <v xml:space="preserve"> - </v>
          </cell>
          <cell r="N161" t="str">
            <v xml:space="preserve"> - </v>
          </cell>
          <cell r="O161" t="str">
            <v xml:space="preserve"> - </v>
          </cell>
        </row>
        <row r="162">
          <cell r="A162" t="str">
            <v>1DIF / TANK (FUEL SVC) M131 SEMI-TRL</v>
          </cell>
          <cell r="B162" t="str">
            <v>DEPARTMENT OF DEFENSE / DOD</v>
          </cell>
          <cell r="C162" t="str">
            <v xml:space="preserve"> - </v>
          </cell>
          <cell r="D162" t="str">
            <v xml:space="preserve"> - </v>
          </cell>
          <cell r="E162" t="str">
            <v xml:space="preserve"> - </v>
          </cell>
          <cell r="F162" t="str">
            <v xml:space="preserve"> - </v>
          </cell>
          <cell r="G162" t="str">
            <v xml:space="preserve"> - </v>
          </cell>
          <cell r="H162" t="str">
            <v xml:space="preserve"> - </v>
          </cell>
          <cell r="I162" t="str">
            <v xml:space="preserve"> - </v>
          </cell>
          <cell r="J162" t="str">
            <v xml:space="preserve"> - </v>
          </cell>
          <cell r="K162" t="str">
            <v xml:space="preserve"> - </v>
          </cell>
          <cell r="L162" t="str">
            <v xml:space="preserve"> - </v>
          </cell>
          <cell r="M162" t="str">
            <v xml:space="preserve"> - </v>
          </cell>
          <cell r="N162" t="str">
            <v xml:space="preserve"> - </v>
          </cell>
          <cell r="O162" t="str">
            <v xml:space="preserve"> - </v>
          </cell>
        </row>
        <row r="163">
          <cell r="A163" t="str">
            <v>1DIM / M857 SEMI-TRAILER</v>
          </cell>
          <cell r="B163" t="str">
            <v>DEPARTMENT OF DEFENSE / DOD</v>
          </cell>
          <cell r="C163" t="str">
            <v xml:space="preserve"> - </v>
          </cell>
          <cell r="D163" t="str">
            <v xml:space="preserve"> - </v>
          </cell>
          <cell r="E163" t="str">
            <v xml:space="preserve"> - </v>
          </cell>
          <cell r="F163" t="str">
            <v xml:space="preserve"> - </v>
          </cell>
          <cell r="G163" t="str">
            <v xml:space="preserve"> - </v>
          </cell>
          <cell r="H163" t="str">
            <v xml:space="preserve"> - </v>
          </cell>
          <cell r="I163" t="str">
            <v xml:space="preserve"> - </v>
          </cell>
          <cell r="J163" t="str">
            <v xml:space="preserve"> - </v>
          </cell>
          <cell r="K163" t="str">
            <v xml:space="preserve"> - </v>
          </cell>
          <cell r="L163" t="str">
            <v xml:space="preserve"> - </v>
          </cell>
          <cell r="M163" t="str">
            <v xml:space="preserve"> - </v>
          </cell>
          <cell r="N163" t="str">
            <v xml:space="preserve"> - </v>
          </cell>
          <cell r="O163" t="str">
            <v xml:space="preserve"> - </v>
          </cell>
        </row>
        <row r="164">
          <cell r="A164" t="str">
            <v>1DIN / VAN ELECTRONIC 6 TON M373</v>
          </cell>
          <cell r="B164" t="str">
            <v>DEPARTMENT OF DEFENSE / DOD</v>
          </cell>
          <cell r="C164" t="str">
            <v xml:space="preserve"> - </v>
          </cell>
          <cell r="D164" t="str">
            <v xml:space="preserve"> - </v>
          </cell>
          <cell r="E164" t="str">
            <v xml:space="preserve"> - </v>
          </cell>
          <cell r="F164" t="str">
            <v xml:space="preserve"> - </v>
          </cell>
          <cell r="G164" t="str">
            <v xml:space="preserve"> - </v>
          </cell>
          <cell r="H164" t="str">
            <v xml:space="preserve"> - </v>
          </cell>
          <cell r="I164" t="str">
            <v xml:space="preserve"> - </v>
          </cell>
          <cell r="J164" t="str">
            <v xml:space="preserve"> - </v>
          </cell>
          <cell r="K164" t="str">
            <v xml:space="preserve"> - </v>
          </cell>
          <cell r="L164" t="str">
            <v xml:space="preserve"> - </v>
          </cell>
          <cell r="M164" t="str">
            <v xml:space="preserve"> - </v>
          </cell>
          <cell r="N164" t="str">
            <v xml:space="preserve"> - </v>
          </cell>
          <cell r="O164" t="str">
            <v xml:space="preserve"> - </v>
          </cell>
        </row>
        <row r="165">
          <cell r="A165" t="str">
            <v>1DIQ / M871 22.5 TON</v>
          </cell>
          <cell r="B165" t="str">
            <v>DEPARTMENT OF DEFENSE / DOD</v>
          </cell>
          <cell r="C165" t="str">
            <v xml:space="preserve"> - </v>
          </cell>
          <cell r="D165" t="str">
            <v xml:space="preserve"> - </v>
          </cell>
          <cell r="E165" t="str">
            <v xml:space="preserve"> - </v>
          </cell>
          <cell r="F165" t="str">
            <v xml:space="preserve"> - </v>
          </cell>
          <cell r="G165" t="str">
            <v xml:space="preserve"> - </v>
          </cell>
          <cell r="H165" t="str">
            <v xml:space="preserve"> - </v>
          </cell>
          <cell r="I165" t="str">
            <v xml:space="preserve"> - </v>
          </cell>
          <cell r="J165" t="str">
            <v xml:space="preserve"> - </v>
          </cell>
          <cell r="K165" t="str">
            <v xml:space="preserve"> - </v>
          </cell>
          <cell r="L165" t="str">
            <v xml:space="preserve"> - </v>
          </cell>
          <cell r="M165" t="str">
            <v xml:space="preserve"> - </v>
          </cell>
          <cell r="N165" t="str">
            <v xml:space="preserve"> - </v>
          </cell>
          <cell r="O165" t="str">
            <v xml:space="preserve"> - </v>
          </cell>
        </row>
        <row r="166">
          <cell r="A166" t="str">
            <v>1DIR / M872 34 TON</v>
          </cell>
          <cell r="B166" t="str">
            <v>DEPARTMENT OF DEFENSE / DOD</v>
          </cell>
          <cell r="C166" t="str">
            <v xml:space="preserve"> - </v>
          </cell>
          <cell r="D166" t="str">
            <v xml:space="preserve"> - </v>
          </cell>
          <cell r="E166" t="str">
            <v xml:space="preserve"> - </v>
          </cell>
          <cell r="F166" t="str">
            <v xml:space="preserve"> - </v>
          </cell>
          <cell r="G166" t="str">
            <v xml:space="preserve"> - </v>
          </cell>
          <cell r="H166" t="str">
            <v xml:space="preserve"> - </v>
          </cell>
          <cell r="I166" t="str">
            <v xml:space="preserve"> - </v>
          </cell>
          <cell r="J166" t="str">
            <v xml:space="preserve"> - </v>
          </cell>
          <cell r="K166" t="str">
            <v xml:space="preserve"> - </v>
          </cell>
          <cell r="L166" t="str">
            <v xml:space="preserve"> - </v>
          </cell>
          <cell r="M166" t="str">
            <v xml:space="preserve"> - </v>
          </cell>
          <cell r="N166" t="str">
            <v xml:space="preserve"> - </v>
          </cell>
          <cell r="O166" t="str">
            <v xml:space="preserve"> - </v>
          </cell>
        </row>
        <row r="167">
          <cell r="A167" t="str">
            <v>1DIS / TRAILERS</v>
          </cell>
          <cell r="B167" t="str">
            <v>DEPARTMENT OF DEFENSE / DOD</v>
          </cell>
          <cell r="C167" t="str">
            <v xml:space="preserve"> - </v>
          </cell>
          <cell r="D167" t="str">
            <v xml:space="preserve"> - </v>
          </cell>
          <cell r="E167" t="str">
            <v xml:space="preserve"> - </v>
          </cell>
          <cell r="F167" t="str">
            <v xml:space="preserve"> - </v>
          </cell>
          <cell r="G167" t="str">
            <v xml:space="preserve"> - </v>
          </cell>
          <cell r="H167" t="str">
            <v xml:space="preserve"> - </v>
          </cell>
          <cell r="I167" t="str">
            <v xml:space="preserve"> - </v>
          </cell>
          <cell r="J167" t="str">
            <v xml:space="preserve"> - </v>
          </cell>
          <cell r="K167" t="str">
            <v xml:space="preserve"> - </v>
          </cell>
          <cell r="L167" t="str">
            <v xml:space="preserve"> - </v>
          </cell>
          <cell r="M167" t="str">
            <v xml:space="preserve"> - </v>
          </cell>
          <cell r="N167" t="str">
            <v xml:space="preserve"> - </v>
          </cell>
          <cell r="O167" t="str">
            <v xml:space="preserve"> - </v>
          </cell>
        </row>
        <row r="168">
          <cell r="A168" t="str">
            <v>1DJB / M-60 COMBAT 105MM GUN</v>
          </cell>
          <cell r="B168" t="str">
            <v>DEPARTMENT OF DEFENSE / DOD</v>
          </cell>
          <cell r="C168" t="str">
            <v xml:space="preserve"> - </v>
          </cell>
          <cell r="D168" t="str">
            <v xml:space="preserve"> - </v>
          </cell>
          <cell r="E168" t="str">
            <v xml:space="preserve"> - </v>
          </cell>
          <cell r="F168" t="str">
            <v xml:space="preserve"> - </v>
          </cell>
          <cell r="G168" t="str">
            <v xml:space="preserve"> - </v>
          </cell>
          <cell r="H168" t="str">
            <v xml:space="preserve"> - </v>
          </cell>
          <cell r="I168" t="str">
            <v xml:space="preserve"> - </v>
          </cell>
          <cell r="J168" t="str">
            <v xml:space="preserve"> - </v>
          </cell>
          <cell r="K168" t="str">
            <v xml:space="preserve"> - </v>
          </cell>
          <cell r="L168" t="str">
            <v xml:space="preserve"> - </v>
          </cell>
          <cell r="M168" t="str">
            <v xml:space="preserve"> - </v>
          </cell>
          <cell r="N168" t="str">
            <v xml:space="preserve"> - </v>
          </cell>
          <cell r="O168" t="str">
            <v xml:space="preserve"> - </v>
          </cell>
        </row>
        <row r="169">
          <cell r="A169" t="str">
            <v>1DJM / LIGHT ARMORED VEHICLE (LAV)</v>
          </cell>
          <cell r="B169" t="str">
            <v>DEPARTMENT OF DEFENSE / DOD</v>
          </cell>
          <cell r="C169" t="str">
            <v xml:space="preserve"> - </v>
          </cell>
          <cell r="D169" t="str">
            <v xml:space="preserve"> - </v>
          </cell>
          <cell r="E169" t="str">
            <v xml:space="preserve"> - </v>
          </cell>
          <cell r="F169" t="str">
            <v xml:space="preserve"> - </v>
          </cell>
          <cell r="G169" t="str">
            <v xml:space="preserve"> - </v>
          </cell>
          <cell r="H169" t="str">
            <v xml:space="preserve"> - </v>
          </cell>
          <cell r="I169" t="str">
            <v xml:space="preserve"> - </v>
          </cell>
          <cell r="J169" t="str">
            <v xml:space="preserve"> - </v>
          </cell>
          <cell r="K169" t="str">
            <v xml:space="preserve"> - </v>
          </cell>
          <cell r="L169" t="str">
            <v xml:space="preserve"> - </v>
          </cell>
          <cell r="M169" t="str">
            <v xml:space="preserve"> - </v>
          </cell>
          <cell r="N169" t="str">
            <v xml:space="preserve"> - </v>
          </cell>
          <cell r="O169" t="str">
            <v xml:space="preserve"> - </v>
          </cell>
        </row>
        <row r="170">
          <cell r="A170" t="str">
            <v>1DJN / M1 ABRAMS TANKS</v>
          </cell>
          <cell r="B170" t="str">
            <v>DEPARTMENT OF DEFENSE / DOD</v>
          </cell>
          <cell r="C170" t="str">
            <v xml:space="preserve"> - </v>
          </cell>
          <cell r="D170" t="str">
            <v xml:space="preserve"> - </v>
          </cell>
          <cell r="E170" t="str">
            <v xml:space="preserve"> - </v>
          </cell>
          <cell r="F170" t="str">
            <v xml:space="preserve"> - </v>
          </cell>
          <cell r="G170" t="str">
            <v xml:space="preserve"> - </v>
          </cell>
          <cell r="H170" t="str">
            <v xml:space="preserve"> - </v>
          </cell>
          <cell r="I170" t="str">
            <v xml:space="preserve"> - </v>
          </cell>
          <cell r="J170" t="str">
            <v xml:space="preserve"> - </v>
          </cell>
          <cell r="K170" t="str">
            <v xml:space="preserve"> - </v>
          </cell>
          <cell r="L170" t="str">
            <v xml:space="preserve"> - </v>
          </cell>
          <cell r="M170" t="str">
            <v xml:space="preserve"> - </v>
          </cell>
          <cell r="N170" t="str">
            <v xml:space="preserve"> - </v>
          </cell>
          <cell r="O170" t="str">
            <v xml:space="preserve"> - </v>
          </cell>
        </row>
        <row r="171">
          <cell r="A171" t="str">
            <v>1DKA / LOW SPEED(FT)DIESEL MEDIUM</v>
          </cell>
          <cell r="B171" t="str">
            <v>DEPARTMENT OF DEFENSE / DOD</v>
          </cell>
          <cell r="C171" t="str">
            <v xml:space="preserve"> - </v>
          </cell>
          <cell r="D171" t="str">
            <v xml:space="preserve"> - </v>
          </cell>
          <cell r="E171" t="str">
            <v xml:space="preserve"> - </v>
          </cell>
          <cell r="F171" t="str">
            <v xml:space="preserve"> - </v>
          </cell>
          <cell r="G171" t="str">
            <v xml:space="preserve"> - </v>
          </cell>
          <cell r="H171" t="str">
            <v xml:space="preserve"> - </v>
          </cell>
          <cell r="I171" t="str">
            <v xml:space="preserve"> - </v>
          </cell>
          <cell r="J171" t="str">
            <v xml:space="preserve"> - </v>
          </cell>
          <cell r="K171" t="str">
            <v xml:space="preserve"> - </v>
          </cell>
          <cell r="L171" t="str">
            <v xml:space="preserve"> - </v>
          </cell>
          <cell r="M171" t="str">
            <v xml:space="preserve"> - </v>
          </cell>
          <cell r="N171" t="str">
            <v xml:space="preserve"> - </v>
          </cell>
          <cell r="O171" t="str">
            <v xml:space="preserve"> - </v>
          </cell>
        </row>
        <row r="172">
          <cell r="A172" t="str">
            <v>1DKC / CRAWLER T-11 W/RIPPER CCE</v>
          </cell>
          <cell r="B172" t="str">
            <v>DEPARTMENT OF DEFENSE / DOD</v>
          </cell>
          <cell r="C172" t="str">
            <v xml:space="preserve"> - </v>
          </cell>
          <cell r="D172" t="str">
            <v xml:space="preserve"> - </v>
          </cell>
          <cell r="E172" t="str">
            <v xml:space="preserve"> - </v>
          </cell>
          <cell r="F172" t="str">
            <v xml:space="preserve"> - </v>
          </cell>
          <cell r="G172" t="str">
            <v xml:space="preserve"> - </v>
          </cell>
          <cell r="H172" t="str">
            <v xml:space="preserve"> - </v>
          </cell>
          <cell r="I172" t="str">
            <v xml:space="preserve"> - </v>
          </cell>
          <cell r="J172" t="str">
            <v xml:space="preserve"> - </v>
          </cell>
          <cell r="K172" t="str">
            <v xml:space="preserve"> - </v>
          </cell>
          <cell r="L172" t="str">
            <v xml:space="preserve"> - </v>
          </cell>
          <cell r="M172" t="str">
            <v xml:space="preserve"> - </v>
          </cell>
          <cell r="N172" t="str">
            <v xml:space="preserve"> - </v>
          </cell>
          <cell r="O172" t="str">
            <v xml:space="preserve"> - </v>
          </cell>
        </row>
        <row r="173">
          <cell r="A173" t="str">
            <v>1DKE / UNIVERSAL(FT)W/DOZER</v>
          </cell>
          <cell r="B173" t="str">
            <v>DEPARTMENT OF DEFENSE / DOD</v>
          </cell>
          <cell r="C173" t="str">
            <v xml:space="preserve"> - </v>
          </cell>
          <cell r="D173" t="str">
            <v xml:space="preserve"> - </v>
          </cell>
          <cell r="E173" t="str">
            <v xml:space="preserve"> - </v>
          </cell>
          <cell r="F173" t="str">
            <v xml:space="preserve"> - </v>
          </cell>
          <cell r="G173" t="str">
            <v xml:space="preserve"> - </v>
          </cell>
          <cell r="H173" t="str">
            <v xml:space="preserve"> - </v>
          </cell>
          <cell r="I173" t="str">
            <v xml:space="preserve"> - </v>
          </cell>
          <cell r="J173" t="str">
            <v xml:space="preserve"> - </v>
          </cell>
          <cell r="K173" t="str">
            <v xml:space="preserve"> - </v>
          </cell>
          <cell r="L173" t="str">
            <v xml:space="preserve"> - </v>
          </cell>
          <cell r="M173" t="str">
            <v xml:space="preserve"> - </v>
          </cell>
          <cell r="N173" t="str">
            <v xml:space="preserve"> - </v>
          </cell>
          <cell r="O173" t="str">
            <v xml:space="preserve"> - </v>
          </cell>
        </row>
        <row r="174">
          <cell r="A174" t="str">
            <v>1DLB / CARGO 3/4 TON M101</v>
          </cell>
          <cell r="B174" t="str">
            <v>DEPARTMENT OF DEFENSE / DOD</v>
          </cell>
          <cell r="C174" t="str">
            <v xml:space="preserve"> - </v>
          </cell>
          <cell r="D174" t="str">
            <v xml:space="preserve"> - </v>
          </cell>
          <cell r="E174" t="str">
            <v xml:space="preserve"> - </v>
          </cell>
          <cell r="F174" t="str">
            <v xml:space="preserve"> - </v>
          </cell>
          <cell r="G174" t="str">
            <v xml:space="preserve"> - </v>
          </cell>
          <cell r="H174" t="str">
            <v xml:space="preserve"> - </v>
          </cell>
          <cell r="I174" t="str">
            <v xml:space="preserve"> - </v>
          </cell>
          <cell r="J174" t="str">
            <v xml:space="preserve"> - </v>
          </cell>
          <cell r="K174" t="str">
            <v xml:space="preserve"> - </v>
          </cell>
          <cell r="L174" t="str">
            <v xml:space="preserve"> - </v>
          </cell>
          <cell r="M174" t="str">
            <v xml:space="preserve"> - </v>
          </cell>
          <cell r="N174" t="str">
            <v xml:space="preserve"> - </v>
          </cell>
          <cell r="O174" t="str">
            <v xml:space="preserve"> - </v>
          </cell>
        </row>
        <row r="175">
          <cell r="A175" t="str">
            <v>1DLD / HVY EXPANDED MOB. TAC TRUCK</v>
          </cell>
          <cell r="B175" t="str">
            <v>DEPARTMENT OF DEFENSE / DOD</v>
          </cell>
          <cell r="C175" t="str">
            <v xml:space="preserve"> - </v>
          </cell>
          <cell r="D175" t="str">
            <v xml:space="preserve"> - </v>
          </cell>
          <cell r="E175" t="str">
            <v xml:space="preserve"> - </v>
          </cell>
          <cell r="F175" t="str">
            <v xml:space="preserve"> - </v>
          </cell>
          <cell r="G175" t="str">
            <v xml:space="preserve"> - </v>
          </cell>
          <cell r="H175" t="str">
            <v xml:space="preserve"> - </v>
          </cell>
          <cell r="I175" t="str">
            <v xml:space="preserve"> - </v>
          </cell>
          <cell r="J175" t="str">
            <v xml:space="preserve"> - </v>
          </cell>
          <cell r="K175" t="str">
            <v xml:space="preserve"> - </v>
          </cell>
          <cell r="L175" t="str">
            <v xml:space="preserve"> - </v>
          </cell>
          <cell r="M175" t="str">
            <v xml:space="preserve"> - </v>
          </cell>
          <cell r="N175" t="str">
            <v xml:space="preserve"> - </v>
          </cell>
          <cell r="O175" t="str">
            <v xml:space="preserve"> - </v>
          </cell>
        </row>
        <row r="176">
          <cell r="A176" t="str">
            <v>1DLE / H. MOB. MP WHEELED VEH (HMMWV)</v>
          </cell>
          <cell r="B176" t="str">
            <v>DEPARTMENT OF DEFENSE / DOD</v>
          </cell>
          <cell r="C176" t="str">
            <v xml:space="preserve"> - </v>
          </cell>
          <cell r="D176" t="str">
            <v xml:space="preserve"> - </v>
          </cell>
          <cell r="E176" t="str">
            <v xml:space="preserve"> - </v>
          </cell>
          <cell r="F176" t="str">
            <v xml:space="preserve"> - </v>
          </cell>
          <cell r="G176" t="str">
            <v xml:space="preserve"> - </v>
          </cell>
          <cell r="H176" t="str">
            <v xml:space="preserve"> - </v>
          </cell>
          <cell r="I176" t="str">
            <v xml:space="preserve"> - </v>
          </cell>
          <cell r="J176" t="str">
            <v xml:space="preserve"> - </v>
          </cell>
          <cell r="K176" t="str">
            <v xml:space="preserve"> - </v>
          </cell>
          <cell r="L176" t="str">
            <v xml:space="preserve"> - </v>
          </cell>
          <cell r="M176" t="str">
            <v xml:space="preserve"> - </v>
          </cell>
          <cell r="N176" t="str">
            <v xml:space="preserve"> - </v>
          </cell>
          <cell r="O176" t="str">
            <v xml:space="preserve"> - </v>
          </cell>
        </row>
        <row r="177">
          <cell r="A177" t="str">
            <v>1DLF / CARGO 1 1/2 TON M105 TRAILER</v>
          </cell>
          <cell r="B177" t="str">
            <v>DEPARTMENT OF DEFENSE / DOD</v>
          </cell>
          <cell r="C177" t="str">
            <v xml:space="preserve"> - </v>
          </cell>
          <cell r="D177" t="str">
            <v xml:space="preserve"> - </v>
          </cell>
          <cell r="E177" t="str">
            <v xml:space="preserve"> - </v>
          </cell>
          <cell r="F177" t="str">
            <v xml:space="preserve"> - </v>
          </cell>
          <cell r="G177" t="str">
            <v xml:space="preserve"> - </v>
          </cell>
          <cell r="H177" t="str">
            <v xml:space="preserve"> - </v>
          </cell>
          <cell r="I177" t="str">
            <v xml:space="preserve"> - </v>
          </cell>
          <cell r="J177" t="str">
            <v xml:space="preserve"> - </v>
          </cell>
          <cell r="K177" t="str">
            <v xml:space="preserve"> - </v>
          </cell>
          <cell r="L177" t="str">
            <v xml:space="preserve"> - </v>
          </cell>
          <cell r="M177" t="str">
            <v xml:space="preserve"> - </v>
          </cell>
          <cell r="N177" t="str">
            <v xml:space="preserve"> - </v>
          </cell>
          <cell r="O177" t="str">
            <v xml:space="preserve"> - </v>
          </cell>
        </row>
        <row r="178">
          <cell r="A178" t="str">
            <v>1DLG / HIGH MOBILITY TRAILER</v>
          </cell>
          <cell r="B178" t="str">
            <v>DEPARTMENT OF DEFENSE / DOD</v>
          </cell>
          <cell r="C178" t="str">
            <v xml:space="preserve"> - </v>
          </cell>
          <cell r="D178" t="str">
            <v xml:space="preserve"> - </v>
          </cell>
          <cell r="E178" t="str">
            <v xml:space="preserve"> - </v>
          </cell>
          <cell r="F178" t="str">
            <v xml:space="preserve"> - </v>
          </cell>
          <cell r="G178" t="str">
            <v xml:space="preserve"> - </v>
          </cell>
          <cell r="H178" t="str">
            <v xml:space="preserve"> - </v>
          </cell>
          <cell r="I178" t="str">
            <v xml:space="preserve"> - </v>
          </cell>
          <cell r="J178" t="str">
            <v xml:space="preserve"> - </v>
          </cell>
          <cell r="K178" t="str">
            <v xml:space="preserve"> - </v>
          </cell>
          <cell r="L178" t="str">
            <v xml:space="preserve"> - </v>
          </cell>
          <cell r="M178" t="str">
            <v xml:space="preserve"> - </v>
          </cell>
          <cell r="N178" t="str">
            <v xml:space="preserve"> - </v>
          </cell>
          <cell r="O178" t="str">
            <v xml:space="preserve"> - </v>
          </cell>
        </row>
        <row r="179">
          <cell r="A179" t="str">
            <v>1DLI / PALLETIZED LOADING SYSTEM</v>
          </cell>
          <cell r="B179" t="str">
            <v>DEPARTMENT OF DEFENSE / DOD</v>
          </cell>
          <cell r="C179" t="str">
            <v xml:space="preserve"> - </v>
          </cell>
          <cell r="D179" t="str">
            <v xml:space="preserve"> - </v>
          </cell>
          <cell r="E179" t="str">
            <v xml:space="preserve"> - </v>
          </cell>
          <cell r="F179" t="str">
            <v xml:space="preserve"> - </v>
          </cell>
          <cell r="G179" t="str">
            <v xml:space="preserve"> - </v>
          </cell>
          <cell r="H179" t="str">
            <v xml:space="preserve"> - </v>
          </cell>
          <cell r="I179" t="str">
            <v xml:space="preserve"> - </v>
          </cell>
          <cell r="J179" t="str">
            <v xml:space="preserve"> - </v>
          </cell>
          <cell r="K179" t="str">
            <v xml:space="preserve"> - </v>
          </cell>
          <cell r="L179" t="str">
            <v xml:space="preserve"> - </v>
          </cell>
          <cell r="M179" t="str">
            <v xml:space="preserve"> - </v>
          </cell>
          <cell r="N179" t="str">
            <v xml:space="preserve"> - </v>
          </cell>
          <cell r="O179" t="str">
            <v xml:space="preserve"> - </v>
          </cell>
        </row>
        <row r="180">
          <cell r="A180" t="str">
            <v>1DLM / TANK WATER 400 GAL M149 TRK</v>
          </cell>
          <cell r="B180" t="str">
            <v>DEPARTMENT OF DEFENSE / DOD</v>
          </cell>
          <cell r="C180" t="str">
            <v xml:space="preserve"> - </v>
          </cell>
          <cell r="D180" t="str">
            <v xml:space="preserve"> - </v>
          </cell>
          <cell r="E180" t="str">
            <v xml:space="preserve"> - </v>
          </cell>
          <cell r="F180" t="str">
            <v xml:space="preserve"> - </v>
          </cell>
          <cell r="G180" t="str">
            <v xml:space="preserve"> - </v>
          </cell>
          <cell r="H180" t="str">
            <v xml:space="preserve"> - </v>
          </cell>
          <cell r="I180" t="str">
            <v xml:space="preserve"> - </v>
          </cell>
          <cell r="J180" t="str">
            <v xml:space="preserve"> - </v>
          </cell>
          <cell r="K180" t="str">
            <v xml:space="preserve"> - </v>
          </cell>
          <cell r="L180" t="str">
            <v xml:space="preserve"> - </v>
          </cell>
          <cell r="M180" t="str">
            <v xml:space="preserve"> - </v>
          </cell>
          <cell r="N180" t="str">
            <v xml:space="preserve"> - </v>
          </cell>
          <cell r="O180" t="str">
            <v xml:space="preserve"> - </v>
          </cell>
        </row>
        <row r="181">
          <cell r="A181" t="str">
            <v>1DNC / FORK LIFT 4000 LB GE PT</v>
          </cell>
          <cell r="B181" t="str">
            <v>DEPARTMENT OF DEFENSE / DOD</v>
          </cell>
          <cell r="C181" t="str">
            <v xml:space="preserve"> - </v>
          </cell>
          <cell r="D181" t="str">
            <v xml:space="preserve"> - </v>
          </cell>
          <cell r="E181" t="str">
            <v xml:space="preserve"> - </v>
          </cell>
          <cell r="F181" t="str">
            <v xml:space="preserve"> - </v>
          </cell>
          <cell r="G181" t="str">
            <v xml:space="preserve"> - </v>
          </cell>
          <cell r="H181" t="str">
            <v xml:space="preserve"> - </v>
          </cell>
          <cell r="I181" t="str">
            <v xml:space="preserve"> - </v>
          </cell>
          <cell r="J181" t="str">
            <v xml:space="preserve"> - </v>
          </cell>
          <cell r="K181" t="str">
            <v xml:space="preserve"> - </v>
          </cell>
          <cell r="L181" t="str">
            <v xml:space="preserve"> - </v>
          </cell>
          <cell r="M181" t="str">
            <v xml:space="preserve"> - </v>
          </cell>
          <cell r="N181" t="str">
            <v xml:space="preserve"> - </v>
          </cell>
          <cell r="O181" t="str">
            <v xml:space="preserve"> - </v>
          </cell>
        </row>
        <row r="182">
          <cell r="A182" t="str">
            <v>1DND / FORK LIFT 10000 LB DD PT RT</v>
          </cell>
          <cell r="B182" t="str">
            <v>DEPARTMENT OF DEFENSE / DOD</v>
          </cell>
          <cell r="C182" t="str">
            <v xml:space="preserve"> - </v>
          </cell>
          <cell r="D182" t="str">
            <v xml:space="preserve"> - </v>
          </cell>
          <cell r="E182" t="str">
            <v xml:space="preserve"> - </v>
          </cell>
          <cell r="F182" t="str">
            <v xml:space="preserve"> - </v>
          </cell>
          <cell r="G182" t="str">
            <v xml:space="preserve"> - </v>
          </cell>
          <cell r="H182" t="str">
            <v xml:space="preserve"> - </v>
          </cell>
          <cell r="I182" t="str">
            <v xml:space="preserve"> - </v>
          </cell>
          <cell r="J182" t="str">
            <v xml:space="preserve"> - </v>
          </cell>
          <cell r="K182" t="str">
            <v xml:space="preserve"> - </v>
          </cell>
          <cell r="L182" t="str">
            <v xml:space="preserve"> - </v>
          </cell>
          <cell r="M182" t="str">
            <v xml:space="preserve"> - </v>
          </cell>
          <cell r="N182" t="str">
            <v xml:space="preserve"> - </v>
          </cell>
          <cell r="O182" t="str">
            <v xml:space="preserve"> - </v>
          </cell>
        </row>
        <row r="183">
          <cell r="A183" t="str">
            <v>1DNF / FORK LIFT 15000 LB</v>
          </cell>
          <cell r="B183" t="str">
            <v>DEPARTMENT OF DEFENSE / DOD</v>
          </cell>
          <cell r="C183" t="str">
            <v xml:space="preserve"> - </v>
          </cell>
          <cell r="D183" t="str">
            <v xml:space="preserve"> - </v>
          </cell>
          <cell r="E183" t="str">
            <v xml:space="preserve"> - </v>
          </cell>
          <cell r="F183" t="str">
            <v xml:space="preserve"> - </v>
          </cell>
          <cell r="G183" t="str">
            <v xml:space="preserve"> - </v>
          </cell>
          <cell r="H183" t="str">
            <v xml:space="preserve"> - </v>
          </cell>
          <cell r="I183" t="str">
            <v xml:space="preserve"> - </v>
          </cell>
          <cell r="J183" t="str">
            <v xml:space="preserve"> - </v>
          </cell>
          <cell r="K183" t="str">
            <v xml:space="preserve"> - </v>
          </cell>
          <cell r="L183" t="str">
            <v xml:space="preserve"> - </v>
          </cell>
          <cell r="M183" t="str">
            <v xml:space="preserve"> - </v>
          </cell>
          <cell r="N183" t="str">
            <v xml:space="preserve"> - </v>
          </cell>
          <cell r="O183" t="str">
            <v xml:space="preserve"> - </v>
          </cell>
        </row>
        <row r="820">
          <cell r="D820" t="str">
            <v xml:space="preserve"> - </v>
          </cell>
          <cell r="E820" t="str">
            <v xml:space="preserve"> - </v>
          </cell>
          <cell r="F820" t="str">
            <v xml:space="preserve"> - </v>
          </cell>
          <cell r="G820" t="str">
            <v xml:space="preserve"> - </v>
          </cell>
          <cell r="H820" t="str">
            <v xml:space="preserve"> - </v>
          </cell>
          <cell r="I820" t="str">
            <v xml:space="preserve"> - </v>
          </cell>
          <cell r="J820" t="str">
            <v xml:space="preserve"> - </v>
          </cell>
          <cell r="K820" t="str">
            <v xml:space="preserve"> - </v>
          </cell>
          <cell r="L820" t="str">
            <v xml:space="preserve"> - </v>
          </cell>
          <cell r="M820" t="str">
            <v xml:space="preserve"> - </v>
          </cell>
          <cell r="N820" t="str">
            <v xml:space="preserve"> - </v>
          </cell>
          <cell r="O820" t="str">
            <v xml:space="preserve"> - </v>
          </cell>
        </row>
        <row r="821">
          <cell r="D821" t="str">
            <v xml:space="preserve"> - </v>
          </cell>
          <cell r="E821" t="str">
            <v xml:space="preserve"> - </v>
          </cell>
          <cell r="F821" t="str">
            <v xml:space="preserve"> - </v>
          </cell>
          <cell r="G821" t="str">
            <v xml:space="preserve"> - </v>
          </cell>
          <cell r="H821" t="str">
            <v xml:space="preserve"> - </v>
          </cell>
          <cell r="I821" t="str">
            <v xml:space="preserve"> - </v>
          </cell>
          <cell r="J821" t="str">
            <v xml:space="preserve"> - </v>
          </cell>
          <cell r="K821" t="str">
            <v xml:space="preserve"> - </v>
          </cell>
          <cell r="L821" t="str">
            <v xml:space="preserve"> - </v>
          </cell>
          <cell r="M821" t="str">
            <v xml:space="preserve"> - </v>
          </cell>
          <cell r="N821" t="str">
            <v xml:space="preserve"> - </v>
          </cell>
          <cell r="O821" t="str">
            <v xml:space="preserve"> - </v>
          </cell>
        </row>
        <row r="822">
          <cell r="D822" t="str">
            <v xml:space="preserve"> - </v>
          </cell>
          <cell r="E822" t="str">
            <v xml:space="preserve"> - </v>
          </cell>
          <cell r="F822" t="str">
            <v xml:space="preserve"> - </v>
          </cell>
          <cell r="G822" t="str">
            <v xml:space="preserve"> - </v>
          </cell>
          <cell r="H822" t="str">
            <v xml:space="preserve"> - </v>
          </cell>
          <cell r="I822" t="str">
            <v xml:space="preserve"> - </v>
          </cell>
          <cell r="J822" t="str">
            <v xml:space="preserve"> - </v>
          </cell>
          <cell r="K822" t="str">
            <v xml:space="preserve"> - </v>
          </cell>
          <cell r="L822" t="str">
            <v xml:space="preserve"> - </v>
          </cell>
          <cell r="M822" t="str">
            <v xml:space="preserve"> - </v>
          </cell>
          <cell r="N822" t="str">
            <v xml:space="preserve"> - </v>
          </cell>
          <cell r="O822" t="str">
            <v xml:space="preserve"> - </v>
          </cell>
        </row>
        <row r="823">
          <cell r="D823" t="str">
            <v xml:space="preserve"> - </v>
          </cell>
          <cell r="E823" t="str">
            <v xml:space="preserve"> - </v>
          </cell>
          <cell r="F823" t="str">
            <v xml:space="preserve"> - </v>
          </cell>
          <cell r="G823" t="str">
            <v xml:space="preserve"> - </v>
          </cell>
          <cell r="H823" t="str">
            <v xml:space="preserve"> - </v>
          </cell>
          <cell r="I823" t="str">
            <v xml:space="preserve"> - </v>
          </cell>
          <cell r="J823" t="str">
            <v xml:space="preserve"> - </v>
          </cell>
          <cell r="K823" t="str">
            <v xml:space="preserve"> - </v>
          </cell>
          <cell r="L823" t="str">
            <v xml:space="preserve"> - </v>
          </cell>
          <cell r="M823" t="str">
            <v xml:space="preserve"> - </v>
          </cell>
          <cell r="N823" t="str">
            <v xml:space="preserve"> - </v>
          </cell>
          <cell r="O823" t="str">
            <v xml:space="preserve"> - </v>
          </cell>
        </row>
        <row r="824">
          <cell r="D824" t="str">
            <v xml:space="preserve"> - </v>
          </cell>
          <cell r="E824" t="str">
            <v xml:space="preserve"> - </v>
          </cell>
          <cell r="F824" t="str">
            <v xml:space="preserve"> - </v>
          </cell>
          <cell r="G824" t="str">
            <v xml:space="preserve"> - </v>
          </cell>
          <cell r="H824" t="str">
            <v xml:space="preserve"> - </v>
          </cell>
          <cell r="I824" t="str">
            <v xml:space="preserve"> - </v>
          </cell>
          <cell r="J824" t="str">
            <v xml:space="preserve"> - </v>
          </cell>
          <cell r="K824" t="str">
            <v xml:space="preserve"> - </v>
          </cell>
          <cell r="L824" t="str">
            <v xml:space="preserve"> - </v>
          </cell>
          <cell r="M824" t="str">
            <v xml:space="preserve"> - </v>
          </cell>
          <cell r="N824" t="str">
            <v xml:space="preserve"> - </v>
          </cell>
          <cell r="O824" t="str">
            <v xml:space="preserve"> - </v>
          </cell>
        </row>
        <row r="825">
          <cell r="D825" t="str">
            <v xml:space="preserve"> - </v>
          </cell>
          <cell r="E825" t="str">
            <v xml:space="preserve"> - </v>
          </cell>
          <cell r="F825" t="str">
            <v xml:space="preserve"> - </v>
          </cell>
          <cell r="G825" t="str">
            <v xml:space="preserve"> - </v>
          </cell>
          <cell r="H825" t="str">
            <v xml:space="preserve"> - </v>
          </cell>
          <cell r="I825" t="str">
            <v xml:space="preserve"> - </v>
          </cell>
          <cell r="J825" t="str">
            <v xml:space="preserve"> - </v>
          </cell>
          <cell r="K825" t="str">
            <v xml:space="preserve"> - </v>
          </cell>
          <cell r="L825" t="str">
            <v xml:space="preserve"> - </v>
          </cell>
          <cell r="M825" t="str">
            <v xml:space="preserve"> - </v>
          </cell>
          <cell r="N825" t="str">
            <v xml:space="preserve"> - </v>
          </cell>
          <cell r="O825" t="str">
            <v xml:space="preserve"> - </v>
          </cell>
        </row>
        <row r="826">
          <cell r="D826" t="str">
            <v xml:space="preserve"> - </v>
          </cell>
          <cell r="E826" t="str">
            <v xml:space="preserve"> - </v>
          </cell>
          <cell r="F826" t="str">
            <v xml:space="preserve"> - </v>
          </cell>
          <cell r="G826" t="str">
            <v xml:space="preserve"> - </v>
          </cell>
          <cell r="H826" t="str">
            <v xml:space="preserve"> - </v>
          </cell>
          <cell r="I826" t="str">
            <v xml:space="preserve"> - </v>
          </cell>
          <cell r="J826" t="str">
            <v xml:space="preserve"> - </v>
          </cell>
          <cell r="K826" t="str">
            <v xml:space="preserve"> - </v>
          </cell>
          <cell r="L826" t="str">
            <v xml:space="preserve"> - </v>
          </cell>
          <cell r="M826" t="str">
            <v xml:space="preserve"> - </v>
          </cell>
          <cell r="N826" t="str">
            <v xml:space="preserve"> - </v>
          </cell>
          <cell r="O826" t="str">
            <v xml:space="preserve"> - </v>
          </cell>
        </row>
        <row r="827">
          <cell r="D827" t="str">
            <v xml:space="preserve"> - </v>
          </cell>
          <cell r="E827" t="str">
            <v xml:space="preserve"> - </v>
          </cell>
          <cell r="F827" t="str">
            <v xml:space="preserve"> - </v>
          </cell>
          <cell r="G827" t="str">
            <v xml:space="preserve"> - </v>
          </cell>
          <cell r="H827" t="str">
            <v xml:space="preserve"> - </v>
          </cell>
          <cell r="I827" t="str">
            <v xml:space="preserve"> - </v>
          </cell>
          <cell r="J827" t="str">
            <v xml:space="preserve"> - </v>
          </cell>
          <cell r="K827" t="str">
            <v xml:space="preserve"> - </v>
          </cell>
          <cell r="L827" t="str">
            <v xml:space="preserve"> - </v>
          </cell>
          <cell r="M827" t="str">
            <v xml:space="preserve"> - </v>
          </cell>
          <cell r="N827" t="str">
            <v xml:space="preserve"> - </v>
          </cell>
          <cell r="O827" t="str">
            <v xml:space="preserve"> - </v>
          </cell>
        </row>
        <row r="828">
          <cell r="D828" t="str">
            <v xml:space="preserve"> - </v>
          </cell>
          <cell r="E828" t="str">
            <v xml:space="preserve"> - </v>
          </cell>
          <cell r="F828" t="str">
            <v xml:space="preserve"> - </v>
          </cell>
          <cell r="G828" t="str">
            <v xml:space="preserve"> - </v>
          </cell>
          <cell r="H828" t="str">
            <v xml:space="preserve"> - </v>
          </cell>
          <cell r="I828" t="str">
            <v xml:space="preserve"> - </v>
          </cell>
          <cell r="J828" t="str">
            <v xml:space="preserve"> - </v>
          </cell>
          <cell r="K828" t="str">
            <v xml:space="preserve"> - </v>
          </cell>
          <cell r="L828" t="str">
            <v xml:space="preserve"> - </v>
          </cell>
          <cell r="M828" t="str">
            <v xml:space="preserve"> - </v>
          </cell>
          <cell r="N828" t="str">
            <v xml:space="preserve"> - </v>
          </cell>
          <cell r="O828" t="str">
            <v xml:space="preserve"> - </v>
          </cell>
        </row>
        <row r="829">
          <cell r="D829" t="str">
            <v xml:space="preserve"> - </v>
          </cell>
          <cell r="E829" t="str">
            <v xml:space="preserve"> - </v>
          </cell>
          <cell r="F829" t="str">
            <v xml:space="preserve"> - </v>
          </cell>
          <cell r="G829" t="str">
            <v xml:space="preserve"> - </v>
          </cell>
          <cell r="H829" t="str">
            <v xml:space="preserve"> - </v>
          </cell>
          <cell r="I829" t="str">
            <v xml:space="preserve"> - </v>
          </cell>
          <cell r="J829" t="str">
            <v xml:space="preserve"> - </v>
          </cell>
          <cell r="K829" t="str">
            <v xml:space="preserve"> - </v>
          </cell>
          <cell r="L829" t="str">
            <v xml:space="preserve"> - </v>
          </cell>
          <cell r="M829" t="str">
            <v xml:space="preserve"> - </v>
          </cell>
          <cell r="N829" t="str">
            <v xml:space="preserve"> - </v>
          </cell>
          <cell r="O829" t="str">
            <v xml:space="preserve"> - </v>
          </cell>
        </row>
        <row r="830">
          <cell r="D830" t="str">
            <v xml:space="preserve"> - </v>
          </cell>
          <cell r="E830" t="str">
            <v xml:space="preserve"> - </v>
          </cell>
          <cell r="F830" t="str">
            <v xml:space="preserve"> - </v>
          </cell>
          <cell r="G830" t="str">
            <v xml:space="preserve"> - </v>
          </cell>
          <cell r="H830" t="str">
            <v xml:space="preserve"> - </v>
          </cell>
          <cell r="I830" t="str">
            <v xml:space="preserve"> - </v>
          </cell>
          <cell r="J830" t="str">
            <v xml:space="preserve"> - </v>
          </cell>
          <cell r="K830" t="str">
            <v xml:space="preserve"> - </v>
          </cell>
          <cell r="L830" t="str">
            <v xml:space="preserve"> - </v>
          </cell>
          <cell r="M830" t="str">
            <v xml:space="preserve"> - </v>
          </cell>
          <cell r="N830" t="str">
            <v xml:space="preserve"> - </v>
          </cell>
          <cell r="O830" t="str">
            <v xml:space="preserve"> - </v>
          </cell>
        </row>
        <row r="831">
          <cell r="D831" t="str">
            <v xml:space="preserve"> - </v>
          </cell>
          <cell r="E831" t="str">
            <v xml:space="preserve"> - </v>
          </cell>
          <cell r="F831" t="str">
            <v xml:space="preserve"> - </v>
          </cell>
          <cell r="G831" t="str">
            <v xml:space="preserve"> - </v>
          </cell>
          <cell r="H831" t="str">
            <v xml:space="preserve"> - </v>
          </cell>
          <cell r="I831" t="str">
            <v xml:space="preserve"> - </v>
          </cell>
          <cell r="J831" t="str">
            <v xml:space="preserve"> - </v>
          </cell>
          <cell r="K831" t="str">
            <v xml:space="preserve"> - </v>
          </cell>
          <cell r="L831" t="str">
            <v xml:space="preserve"> - </v>
          </cell>
          <cell r="M831" t="str">
            <v xml:space="preserve"> - </v>
          </cell>
          <cell r="N831" t="str">
            <v xml:space="preserve"> - </v>
          </cell>
          <cell r="O831" t="str">
            <v xml:space="preserve"> - </v>
          </cell>
        </row>
        <row r="832">
          <cell r="D832" t="str">
            <v xml:space="preserve"> - </v>
          </cell>
          <cell r="E832" t="str">
            <v xml:space="preserve"> - </v>
          </cell>
          <cell r="F832" t="str">
            <v xml:space="preserve"> - </v>
          </cell>
          <cell r="G832" t="str">
            <v xml:space="preserve"> - </v>
          </cell>
          <cell r="H832" t="str">
            <v xml:space="preserve"> - </v>
          </cell>
          <cell r="I832" t="str">
            <v xml:space="preserve"> - </v>
          </cell>
          <cell r="J832" t="str">
            <v xml:space="preserve"> - </v>
          </cell>
          <cell r="K832" t="str">
            <v xml:space="preserve"> - </v>
          </cell>
          <cell r="L832" t="str">
            <v xml:space="preserve"> - </v>
          </cell>
          <cell r="M832" t="str">
            <v xml:space="preserve"> - </v>
          </cell>
          <cell r="N832" t="str">
            <v xml:space="preserve"> - </v>
          </cell>
          <cell r="O832" t="str">
            <v xml:space="preserve"> - </v>
          </cell>
        </row>
        <row r="833">
          <cell r="D833" t="str">
            <v xml:space="preserve"> - </v>
          </cell>
          <cell r="E833" t="str">
            <v xml:space="preserve"> - </v>
          </cell>
          <cell r="F833" t="str">
            <v xml:space="preserve"> - </v>
          </cell>
          <cell r="G833" t="str">
            <v xml:space="preserve"> - </v>
          </cell>
          <cell r="H833" t="str">
            <v xml:space="preserve"> - </v>
          </cell>
          <cell r="I833" t="str">
            <v xml:space="preserve"> - </v>
          </cell>
          <cell r="J833" t="str">
            <v xml:space="preserve"> - </v>
          </cell>
          <cell r="K833" t="str">
            <v xml:space="preserve"> - </v>
          </cell>
          <cell r="L833" t="str">
            <v xml:space="preserve"> - </v>
          </cell>
          <cell r="M833" t="str">
            <v xml:space="preserve"> - </v>
          </cell>
          <cell r="N833" t="str">
            <v xml:space="preserve"> - </v>
          </cell>
          <cell r="O833" t="str">
            <v xml:space="preserve"> - </v>
          </cell>
        </row>
        <row r="834">
          <cell r="D834" t="str">
            <v xml:space="preserve"> - </v>
          </cell>
          <cell r="E834" t="str">
            <v xml:space="preserve"> - </v>
          </cell>
          <cell r="F834" t="str">
            <v xml:space="preserve"> - </v>
          </cell>
          <cell r="G834" t="str">
            <v xml:space="preserve"> - </v>
          </cell>
          <cell r="H834" t="str">
            <v xml:space="preserve"> - </v>
          </cell>
          <cell r="I834" t="str">
            <v xml:space="preserve"> - </v>
          </cell>
          <cell r="J834" t="str">
            <v xml:space="preserve"> - </v>
          </cell>
          <cell r="K834" t="str">
            <v xml:space="preserve"> - </v>
          </cell>
          <cell r="L834" t="str">
            <v xml:space="preserve"> - </v>
          </cell>
          <cell r="M834" t="str">
            <v xml:space="preserve"> - </v>
          </cell>
          <cell r="N834" t="str">
            <v xml:space="preserve"> - </v>
          </cell>
          <cell r="O834" t="str">
            <v xml:space="preserve"> - </v>
          </cell>
        </row>
        <row r="835">
          <cell r="D835" t="str">
            <v xml:space="preserve"> - </v>
          </cell>
          <cell r="E835" t="str">
            <v xml:space="preserve"> - </v>
          </cell>
          <cell r="F835" t="str">
            <v xml:space="preserve"> - </v>
          </cell>
          <cell r="G835" t="str">
            <v xml:space="preserve"> - </v>
          </cell>
          <cell r="H835" t="str">
            <v xml:space="preserve"> - </v>
          </cell>
          <cell r="I835" t="str">
            <v xml:space="preserve"> - </v>
          </cell>
          <cell r="J835" t="str">
            <v xml:space="preserve"> - </v>
          </cell>
          <cell r="K835" t="str">
            <v xml:space="preserve"> - </v>
          </cell>
          <cell r="L835" t="str">
            <v xml:space="preserve"> - </v>
          </cell>
          <cell r="M835" t="str">
            <v xml:space="preserve"> - </v>
          </cell>
          <cell r="N835" t="str">
            <v xml:space="preserve"> - </v>
          </cell>
          <cell r="O835" t="str">
            <v xml:space="preserve"> - </v>
          </cell>
        </row>
        <row r="836">
          <cell r="D836" t="str">
            <v xml:space="preserve"> - </v>
          </cell>
          <cell r="E836" t="str">
            <v xml:space="preserve"> - </v>
          </cell>
          <cell r="F836" t="str">
            <v xml:space="preserve"> - </v>
          </cell>
          <cell r="G836" t="str">
            <v xml:space="preserve"> - </v>
          </cell>
          <cell r="H836" t="str">
            <v xml:space="preserve"> - </v>
          </cell>
          <cell r="I836" t="str">
            <v xml:space="preserve"> - </v>
          </cell>
          <cell r="J836" t="str">
            <v xml:space="preserve"> - </v>
          </cell>
          <cell r="K836" t="str">
            <v xml:space="preserve"> - </v>
          </cell>
          <cell r="L836" t="str">
            <v xml:space="preserve"> - </v>
          </cell>
          <cell r="M836" t="str">
            <v xml:space="preserve"> - </v>
          </cell>
          <cell r="N836" t="str">
            <v xml:space="preserve"> - </v>
          </cell>
          <cell r="O836" t="str">
            <v xml:space="preserve"> - </v>
          </cell>
        </row>
        <row r="837">
          <cell r="D837" t="str">
            <v xml:space="preserve"> - </v>
          </cell>
          <cell r="E837" t="str">
            <v xml:space="preserve"> - </v>
          </cell>
          <cell r="F837" t="str">
            <v xml:space="preserve"> - </v>
          </cell>
          <cell r="G837" t="str">
            <v xml:space="preserve"> - </v>
          </cell>
          <cell r="H837" t="str">
            <v xml:space="preserve"> - </v>
          </cell>
          <cell r="I837" t="str">
            <v xml:space="preserve"> - </v>
          </cell>
          <cell r="J837" t="str">
            <v xml:space="preserve"> - </v>
          </cell>
          <cell r="K837" t="str">
            <v xml:space="preserve"> - </v>
          </cell>
          <cell r="L837" t="str">
            <v xml:space="preserve"> - </v>
          </cell>
          <cell r="M837" t="str">
            <v xml:space="preserve"> - </v>
          </cell>
          <cell r="N837" t="str">
            <v xml:space="preserve"> - </v>
          </cell>
          <cell r="O837" t="str">
            <v xml:space="preserve"> - </v>
          </cell>
        </row>
        <row r="838">
          <cell r="D838" t="str">
            <v xml:space="preserve"> - </v>
          </cell>
          <cell r="E838" t="str">
            <v xml:space="preserve"> - </v>
          </cell>
          <cell r="F838" t="str">
            <v xml:space="preserve"> - </v>
          </cell>
          <cell r="G838" t="str">
            <v xml:space="preserve"> - </v>
          </cell>
          <cell r="H838" t="str">
            <v xml:space="preserve"> - </v>
          </cell>
          <cell r="I838" t="str">
            <v xml:space="preserve"> - </v>
          </cell>
          <cell r="J838" t="str">
            <v xml:space="preserve"> - </v>
          </cell>
          <cell r="K838" t="str">
            <v xml:space="preserve"> - </v>
          </cell>
          <cell r="L838" t="str">
            <v xml:space="preserve"> - </v>
          </cell>
          <cell r="M838" t="str">
            <v xml:space="preserve"> - </v>
          </cell>
          <cell r="N838" t="str">
            <v xml:space="preserve"> - </v>
          </cell>
          <cell r="O838" t="str">
            <v xml:space="preserve"> - </v>
          </cell>
        </row>
        <row r="839">
          <cell r="D839" t="str">
            <v xml:space="preserve"> - </v>
          </cell>
          <cell r="E839" t="str">
            <v xml:space="preserve"> - </v>
          </cell>
          <cell r="F839" t="str">
            <v xml:space="preserve"> - </v>
          </cell>
          <cell r="G839" t="str">
            <v xml:space="preserve"> - </v>
          </cell>
          <cell r="H839" t="str">
            <v xml:space="preserve"> - </v>
          </cell>
          <cell r="I839" t="str">
            <v xml:space="preserve"> - </v>
          </cell>
          <cell r="J839" t="str">
            <v xml:space="preserve"> - </v>
          </cell>
          <cell r="K839" t="str">
            <v xml:space="preserve"> - </v>
          </cell>
          <cell r="L839" t="str">
            <v xml:space="preserve"> - </v>
          </cell>
          <cell r="M839" t="str">
            <v xml:space="preserve"> - </v>
          </cell>
          <cell r="N839" t="str">
            <v xml:space="preserve"> - </v>
          </cell>
          <cell r="O839" t="str">
            <v xml:space="preserve"> - </v>
          </cell>
        </row>
        <row r="840">
          <cell r="D840" t="str">
            <v xml:space="preserve"> - </v>
          </cell>
          <cell r="E840" t="str">
            <v xml:space="preserve"> - </v>
          </cell>
          <cell r="F840" t="str">
            <v xml:space="preserve"> - </v>
          </cell>
          <cell r="G840" t="str">
            <v xml:space="preserve"> - </v>
          </cell>
          <cell r="H840" t="str">
            <v xml:space="preserve"> - </v>
          </cell>
          <cell r="I840" t="str">
            <v xml:space="preserve"> - </v>
          </cell>
          <cell r="J840" t="str">
            <v xml:space="preserve"> - </v>
          </cell>
          <cell r="K840" t="str">
            <v xml:space="preserve"> - </v>
          </cell>
          <cell r="L840" t="str">
            <v xml:space="preserve"> - </v>
          </cell>
          <cell r="M840" t="str">
            <v xml:space="preserve"> - </v>
          </cell>
          <cell r="N840" t="str">
            <v xml:space="preserve"> - </v>
          </cell>
          <cell r="O840" t="str">
            <v xml:space="preserve"> - </v>
          </cell>
        </row>
        <row r="841">
          <cell r="D841" t="str">
            <v xml:space="preserve"> - </v>
          </cell>
          <cell r="E841" t="str">
            <v xml:space="preserve"> - </v>
          </cell>
          <cell r="F841" t="str">
            <v xml:space="preserve"> - </v>
          </cell>
          <cell r="G841" t="str">
            <v xml:space="preserve"> - </v>
          </cell>
          <cell r="H841" t="str">
            <v xml:space="preserve"> - </v>
          </cell>
          <cell r="I841" t="str">
            <v xml:space="preserve"> - </v>
          </cell>
          <cell r="J841" t="str">
            <v xml:space="preserve"> - </v>
          </cell>
          <cell r="K841" t="str">
            <v xml:space="preserve"> - </v>
          </cell>
          <cell r="L841" t="str">
            <v xml:space="preserve"> - </v>
          </cell>
          <cell r="M841" t="str">
            <v xml:space="preserve"> - </v>
          </cell>
          <cell r="N841" t="str">
            <v xml:space="preserve"> - </v>
          </cell>
          <cell r="O841" t="str">
            <v xml:space="preserve"> - </v>
          </cell>
        </row>
        <row r="842">
          <cell r="D842" t="str">
            <v xml:space="preserve"> - </v>
          </cell>
          <cell r="E842" t="str">
            <v xml:space="preserve"> - </v>
          </cell>
          <cell r="F842" t="str">
            <v xml:space="preserve"> - </v>
          </cell>
          <cell r="G842" t="str">
            <v xml:space="preserve"> - </v>
          </cell>
          <cell r="H842" t="str">
            <v xml:space="preserve"> - </v>
          </cell>
          <cell r="I842" t="str">
            <v xml:space="preserve"> - </v>
          </cell>
          <cell r="J842" t="str">
            <v xml:space="preserve"> - </v>
          </cell>
          <cell r="K842" t="str">
            <v xml:space="preserve"> - </v>
          </cell>
          <cell r="L842" t="str">
            <v xml:space="preserve"> - </v>
          </cell>
          <cell r="M842" t="str">
            <v xml:space="preserve"> - </v>
          </cell>
          <cell r="N842" t="str">
            <v xml:space="preserve"> - </v>
          </cell>
          <cell r="O842" t="str">
            <v xml:space="preserve"> - </v>
          </cell>
        </row>
        <row r="843">
          <cell r="D843" t="str">
            <v xml:space="preserve"> - </v>
          </cell>
          <cell r="E843" t="str">
            <v xml:space="preserve"> - </v>
          </cell>
          <cell r="F843" t="str">
            <v xml:space="preserve"> - </v>
          </cell>
          <cell r="G843" t="str">
            <v xml:space="preserve"> - </v>
          </cell>
          <cell r="H843" t="str">
            <v xml:space="preserve"> - </v>
          </cell>
          <cell r="I843" t="str">
            <v xml:space="preserve"> - </v>
          </cell>
          <cell r="J843" t="str">
            <v xml:space="preserve"> - </v>
          </cell>
          <cell r="K843" t="str">
            <v xml:space="preserve"> - </v>
          </cell>
          <cell r="L843" t="str">
            <v xml:space="preserve"> - </v>
          </cell>
          <cell r="M843" t="str">
            <v xml:space="preserve"> - </v>
          </cell>
          <cell r="N843" t="str">
            <v xml:space="preserve"> - </v>
          </cell>
          <cell r="O843" t="str">
            <v xml:space="preserve"> - </v>
          </cell>
        </row>
        <row r="844">
          <cell r="D844" t="str">
            <v xml:space="preserve"> - </v>
          </cell>
          <cell r="E844" t="str">
            <v xml:space="preserve"> - </v>
          </cell>
          <cell r="F844" t="str">
            <v xml:space="preserve"> - </v>
          </cell>
          <cell r="G844" t="str">
            <v xml:space="preserve"> - </v>
          </cell>
          <cell r="H844" t="str">
            <v xml:space="preserve"> - </v>
          </cell>
          <cell r="I844" t="str">
            <v xml:space="preserve"> - </v>
          </cell>
          <cell r="J844" t="str">
            <v xml:space="preserve"> - </v>
          </cell>
          <cell r="K844" t="str">
            <v xml:space="preserve"> - </v>
          </cell>
          <cell r="L844" t="str">
            <v xml:space="preserve"> - </v>
          </cell>
          <cell r="M844" t="str">
            <v xml:space="preserve"> - </v>
          </cell>
          <cell r="N844" t="str">
            <v xml:space="preserve"> - </v>
          </cell>
          <cell r="O844" t="str">
            <v xml:space="preserve"> - </v>
          </cell>
        </row>
        <row r="845">
          <cell r="D845" t="str">
            <v xml:space="preserve"> - </v>
          </cell>
          <cell r="E845" t="str">
            <v xml:space="preserve"> - </v>
          </cell>
          <cell r="F845" t="str">
            <v xml:space="preserve"> - </v>
          </cell>
          <cell r="G845" t="str">
            <v xml:space="preserve"> - </v>
          </cell>
          <cell r="H845" t="str">
            <v xml:space="preserve"> - </v>
          </cell>
          <cell r="I845" t="str">
            <v xml:space="preserve"> - </v>
          </cell>
          <cell r="J845" t="str">
            <v xml:space="preserve"> - </v>
          </cell>
          <cell r="K845" t="str">
            <v xml:space="preserve"> - </v>
          </cell>
          <cell r="L845" t="str">
            <v xml:space="preserve"> - </v>
          </cell>
          <cell r="M845" t="str">
            <v xml:space="preserve"> - </v>
          </cell>
          <cell r="N845" t="str">
            <v xml:space="preserve"> - </v>
          </cell>
          <cell r="O845" t="str">
            <v xml:space="preserve"> - </v>
          </cell>
        </row>
        <row r="846">
          <cell r="D846" t="str">
            <v xml:space="preserve"> - </v>
          </cell>
          <cell r="E846" t="str">
            <v xml:space="preserve"> - </v>
          </cell>
          <cell r="F846" t="str">
            <v xml:space="preserve"> - </v>
          </cell>
          <cell r="G846" t="str">
            <v xml:space="preserve"> - </v>
          </cell>
          <cell r="H846" t="str">
            <v xml:space="preserve"> - </v>
          </cell>
          <cell r="I846" t="str">
            <v xml:space="preserve"> - </v>
          </cell>
          <cell r="J846" t="str">
            <v xml:space="preserve"> - </v>
          </cell>
          <cell r="K846" t="str">
            <v xml:space="preserve"> - </v>
          </cell>
          <cell r="L846" t="str">
            <v xml:space="preserve"> - </v>
          </cell>
          <cell r="M846" t="str">
            <v xml:space="preserve"> - </v>
          </cell>
          <cell r="N846" t="str">
            <v xml:space="preserve"> - </v>
          </cell>
          <cell r="O846" t="str">
            <v xml:space="preserve"> - </v>
          </cell>
        </row>
        <row r="847">
          <cell r="D847" t="str">
            <v xml:space="preserve"> - </v>
          </cell>
          <cell r="E847" t="str">
            <v xml:space="preserve"> - </v>
          </cell>
          <cell r="F847" t="str">
            <v xml:space="preserve"> - </v>
          </cell>
          <cell r="G847" t="str">
            <v xml:space="preserve"> - </v>
          </cell>
          <cell r="H847" t="str">
            <v xml:space="preserve"> - </v>
          </cell>
          <cell r="I847" t="str">
            <v xml:space="preserve"> - </v>
          </cell>
          <cell r="J847" t="str">
            <v xml:space="preserve"> - </v>
          </cell>
          <cell r="K847" t="str">
            <v xml:space="preserve"> - </v>
          </cell>
          <cell r="L847" t="str">
            <v xml:space="preserve"> - </v>
          </cell>
          <cell r="M847" t="str">
            <v xml:space="preserve"> - </v>
          </cell>
          <cell r="N847" t="str">
            <v xml:space="preserve"> - </v>
          </cell>
          <cell r="O847" t="str">
            <v xml:space="preserve"> - </v>
          </cell>
        </row>
        <row r="848">
          <cell r="D848" t="str">
            <v xml:space="preserve"> - </v>
          </cell>
          <cell r="E848" t="str">
            <v xml:space="preserve"> - </v>
          </cell>
          <cell r="F848" t="str">
            <v xml:space="preserve"> - </v>
          </cell>
          <cell r="G848" t="str">
            <v xml:space="preserve"> - </v>
          </cell>
          <cell r="H848" t="str">
            <v xml:space="preserve"> - </v>
          </cell>
          <cell r="I848" t="str">
            <v xml:space="preserve"> - </v>
          </cell>
          <cell r="J848" t="str">
            <v xml:space="preserve"> - </v>
          </cell>
          <cell r="K848" t="str">
            <v xml:space="preserve"> - </v>
          </cell>
          <cell r="L848" t="str">
            <v xml:space="preserve"> - </v>
          </cell>
          <cell r="M848" t="str">
            <v xml:space="preserve"> - </v>
          </cell>
          <cell r="N848" t="str">
            <v xml:space="preserve"> - </v>
          </cell>
          <cell r="O848" t="str">
            <v xml:space="preserve"> - </v>
          </cell>
        </row>
        <row r="849">
          <cell r="D849" t="str">
            <v xml:space="preserve"> - </v>
          </cell>
          <cell r="E849" t="str">
            <v xml:space="preserve"> - </v>
          </cell>
          <cell r="F849" t="str">
            <v xml:space="preserve"> - </v>
          </cell>
          <cell r="G849" t="str">
            <v xml:space="preserve"> - </v>
          </cell>
          <cell r="H849" t="str">
            <v xml:space="preserve"> - </v>
          </cell>
          <cell r="I849" t="str">
            <v xml:space="preserve"> - </v>
          </cell>
          <cell r="J849" t="str">
            <v xml:space="preserve"> - </v>
          </cell>
          <cell r="K849" t="str">
            <v xml:space="preserve"> - </v>
          </cell>
          <cell r="L849" t="str">
            <v xml:space="preserve"> - </v>
          </cell>
          <cell r="M849" t="str">
            <v xml:space="preserve"> - </v>
          </cell>
          <cell r="N849" t="str">
            <v xml:space="preserve"> - </v>
          </cell>
          <cell r="O849" t="str">
            <v xml:space="preserve"> - </v>
          </cell>
        </row>
        <row r="850">
          <cell r="D850" t="str">
            <v xml:space="preserve"> - </v>
          </cell>
          <cell r="E850" t="str">
            <v xml:space="preserve"> - </v>
          </cell>
          <cell r="F850" t="str">
            <v xml:space="preserve"> - </v>
          </cell>
          <cell r="G850" t="str">
            <v xml:space="preserve"> - </v>
          </cell>
          <cell r="H850" t="str">
            <v xml:space="preserve"> - </v>
          </cell>
          <cell r="I850" t="str">
            <v xml:space="preserve"> - </v>
          </cell>
          <cell r="J850" t="str">
            <v xml:space="preserve"> - </v>
          </cell>
          <cell r="K850" t="str">
            <v xml:space="preserve"> - </v>
          </cell>
          <cell r="L850" t="str">
            <v xml:space="preserve"> - </v>
          </cell>
          <cell r="M850" t="str">
            <v xml:space="preserve"> - </v>
          </cell>
          <cell r="N850" t="str">
            <v xml:space="preserve"> - </v>
          </cell>
          <cell r="O850" t="str">
            <v xml:space="preserve"> - </v>
          </cell>
        </row>
        <row r="851">
          <cell r="D851" t="str">
            <v xml:space="preserve"> - </v>
          </cell>
          <cell r="E851" t="str">
            <v xml:space="preserve"> - </v>
          </cell>
          <cell r="F851" t="str">
            <v xml:space="preserve"> - </v>
          </cell>
          <cell r="G851" t="str">
            <v xml:space="preserve"> - </v>
          </cell>
          <cell r="H851" t="str">
            <v xml:space="preserve"> - </v>
          </cell>
          <cell r="I851" t="str">
            <v xml:space="preserve"> - </v>
          </cell>
          <cell r="J851" t="str">
            <v xml:space="preserve"> - </v>
          </cell>
          <cell r="K851" t="str">
            <v xml:space="preserve"> - </v>
          </cell>
          <cell r="L851" t="str">
            <v xml:space="preserve"> - </v>
          </cell>
          <cell r="M851" t="str">
            <v xml:space="preserve"> - </v>
          </cell>
          <cell r="N851" t="str">
            <v xml:space="preserve"> - </v>
          </cell>
          <cell r="O851" t="str">
            <v xml:space="preserve"> - </v>
          </cell>
        </row>
        <row r="852">
          <cell r="D852" t="str">
            <v xml:space="preserve"> - </v>
          </cell>
          <cell r="E852" t="str">
            <v xml:space="preserve"> - </v>
          </cell>
          <cell r="F852" t="str">
            <v xml:space="preserve"> - </v>
          </cell>
          <cell r="G852" t="str">
            <v xml:space="preserve"> - </v>
          </cell>
          <cell r="H852" t="str">
            <v xml:space="preserve"> - </v>
          </cell>
          <cell r="I852" t="str">
            <v xml:space="preserve"> - </v>
          </cell>
          <cell r="J852" t="str">
            <v xml:space="preserve"> - </v>
          </cell>
          <cell r="K852" t="str">
            <v xml:space="preserve"> - </v>
          </cell>
          <cell r="L852" t="str">
            <v xml:space="preserve"> - </v>
          </cell>
          <cell r="M852" t="str">
            <v xml:space="preserve"> - </v>
          </cell>
          <cell r="N852" t="str">
            <v xml:space="preserve"> - </v>
          </cell>
          <cell r="O852" t="str">
            <v xml:space="preserve"> - </v>
          </cell>
        </row>
        <row r="853">
          <cell r="D853" t="str">
            <v xml:space="preserve"> - </v>
          </cell>
          <cell r="E853" t="str">
            <v xml:space="preserve"> - </v>
          </cell>
          <cell r="F853" t="str">
            <v xml:space="preserve"> - </v>
          </cell>
          <cell r="G853" t="str">
            <v xml:space="preserve"> - </v>
          </cell>
          <cell r="H853" t="str">
            <v xml:space="preserve"> - </v>
          </cell>
          <cell r="I853" t="str">
            <v xml:space="preserve"> - </v>
          </cell>
          <cell r="J853" t="str">
            <v xml:space="preserve"> - </v>
          </cell>
          <cell r="K853" t="str">
            <v xml:space="preserve"> - </v>
          </cell>
          <cell r="L853" t="str">
            <v xml:space="preserve"> - </v>
          </cell>
          <cell r="M853" t="str">
            <v xml:space="preserve"> - </v>
          </cell>
          <cell r="N853" t="str">
            <v xml:space="preserve"> - </v>
          </cell>
          <cell r="O853" t="str">
            <v xml:space="preserve"> - </v>
          </cell>
        </row>
        <row r="854">
          <cell r="D854" t="str">
            <v xml:space="preserve"> - </v>
          </cell>
          <cell r="E854" t="str">
            <v xml:space="preserve"> - </v>
          </cell>
          <cell r="F854" t="str">
            <v xml:space="preserve"> - </v>
          </cell>
          <cell r="G854" t="str">
            <v xml:space="preserve"> - </v>
          </cell>
          <cell r="H854" t="str">
            <v xml:space="preserve"> - </v>
          </cell>
          <cell r="I854" t="str">
            <v xml:space="preserve"> - </v>
          </cell>
          <cell r="J854" t="str">
            <v xml:space="preserve"> - </v>
          </cell>
          <cell r="K854" t="str">
            <v xml:space="preserve"> - </v>
          </cell>
          <cell r="L854" t="str">
            <v xml:space="preserve"> - </v>
          </cell>
          <cell r="M854" t="str">
            <v xml:space="preserve"> - </v>
          </cell>
          <cell r="N854" t="str">
            <v xml:space="preserve"> - </v>
          </cell>
          <cell r="O854" t="str">
            <v xml:space="preserve"> - </v>
          </cell>
        </row>
        <row r="855">
          <cell r="D855" t="str">
            <v xml:space="preserve"> - </v>
          </cell>
          <cell r="E855" t="str">
            <v xml:space="preserve"> - </v>
          </cell>
          <cell r="F855" t="str">
            <v xml:space="preserve"> - </v>
          </cell>
          <cell r="G855" t="str">
            <v xml:space="preserve"> - </v>
          </cell>
          <cell r="H855" t="str">
            <v xml:space="preserve"> - </v>
          </cell>
          <cell r="I855" t="str">
            <v xml:space="preserve"> - </v>
          </cell>
          <cell r="J855" t="str">
            <v xml:space="preserve"> - </v>
          </cell>
          <cell r="K855" t="str">
            <v xml:space="preserve"> - </v>
          </cell>
          <cell r="L855" t="str">
            <v xml:space="preserve"> - </v>
          </cell>
          <cell r="M855" t="str">
            <v xml:space="preserve"> - </v>
          </cell>
          <cell r="N855" t="str">
            <v xml:space="preserve"> - </v>
          </cell>
          <cell r="O855" t="str">
            <v xml:space="preserve"> - </v>
          </cell>
        </row>
        <row r="856">
          <cell r="D856" t="str">
            <v xml:space="preserve"> - </v>
          </cell>
          <cell r="E856" t="str">
            <v xml:space="preserve"> - </v>
          </cell>
          <cell r="F856" t="str">
            <v xml:space="preserve"> - </v>
          </cell>
          <cell r="G856" t="str">
            <v xml:space="preserve"> - </v>
          </cell>
          <cell r="H856" t="str">
            <v xml:space="preserve"> - </v>
          </cell>
          <cell r="I856" t="str">
            <v xml:space="preserve"> - </v>
          </cell>
          <cell r="J856" t="str">
            <v xml:space="preserve"> - </v>
          </cell>
          <cell r="K856" t="str">
            <v xml:space="preserve"> - </v>
          </cell>
          <cell r="L856" t="str">
            <v xml:space="preserve"> - </v>
          </cell>
          <cell r="M856" t="str">
            <v xml:space="preserve"> - </v>
          </cell>
          <cell r="N856" t="str">
            <v xml:space="preserve"> - </v>
          </cell>
          <cell r="O856" t="str">
            <v xml:space="preserve"> - </v>
          </cell>
        </row>
        <row r="857">
          <cell r="D857" t="str">
            <v xml:space="preserve"> - </v>
          </cell>
          <cell r="E857" t="str">
            <v xml:space="preserve"> - </v>
          </cell>
          <cell r="F857" t="str">
            <v xml:space="preserve"> - </v>
          </cell>
          <cell r="G857" t="str">
            <v xml:space="preserve"> - </v>
          </cell>
          <cell r="H857" t="str">
            <v xml:space="preserve"> - </v>
          </cell>
          <cell r="I857" t="str">
            <v xml:space="preserve"> - </v>
          </cell>
          <cell r="J857" t="str">
            <v xml:space="preserve"> - </v>
          </cell>
          <cell r="K857" t="str">
            <v xml:space="preserve"> - </v>
          </cell>
          <cell r="L857" t="str">
            <v xml:space="preserve"> - </v>
          </cell>
          <cell r="M857" t="str">
            <v xml:space="preserve"> - </v>
          </cell>
          <cell r="N857" t="str">
            <v xml:space="preserve"> - </v>
          </cell>
          <cell r="O857" t="str">
            <v xml:space="preserve"> - </v>
          </cell>
        </row>
        <row r="858">
          <cell r="D858" t="str">
            <v xml:space="preserve"> - </v>
          </cell>
          <cell r="E858" t="str">
            <v xml:space="preserve"> - </v>
          </cell>
          <cell r="F858" t="str">
            <v xml:space="preserve"> - </v>
          </cell>
          <cell r="G858" t="str">
            <v xml:space="preserve"> - </v>
          </cell>
          <cell r="H858" t="str">
            <v xml:space="preserve"> - </v>
          </cell>
          <cell r="I858" t="str">
            <v xml:space="preserve"> - </v>
          </cell>
          <cell r="J858" t="str">
            <v xml:space="preserve"> - </v>
          </cell>
          <cell r="K858" t="str">
            <v xml:space="preserve"> - </v>
          </cell>
          <cell r="L858" t="str">
            <v xml:space="preserve"> - </v>
          </cell>
          <cell r="M858" t="str">
            <v xml:space="preserve"> - </v>
          </cell>
          <cell r="N858" t="str">
            <v xml:space="preserve"> - </v>
          </cell>
          <cell r="O858" t="str">
            <v xml:space="preserve"> - </v>
          </cell>
        </row>
        <row r="859">
          <cell r="D859" t="str">
            <v xml:space="preserve"> - </v>
          </cell>
          <cell r="E859" t="str">
            <v xml:space="preserve"> - </v>
          </cell>
          <cell r="F859" t="str">
            <v xml:space="preserve"> - </v>
          </cell>
          <cell r="G859" t="str">
            <v xml:space="preserve"> - </v>
          </cell>
          <cell r="H859" t="str">
            <v xml:space="preserve"> - </v>
          </cell>
          <cell r="I859" t="str">
            <v xml:space="preserve"> - </v>
          </cell>
          <cell r="J859" t="str">
            <v xml:space="preserve"> - </v>
          </cell>
          <cell r="K859" t="str">
            <v xml:space="preserve"> - </v>
          </cell>
          <cell r="L859" t="str">
            <v xml:space="preserve"> - </v>
          </cell>
          <cell r="M859" t="str">
            <v xml:space="preserve"> - </v>
          </cell>
          <cell r="N859" t="str">
            <v xml:space="preserve"> - </v>
          </cell>
          <cell r="O859" t="str">
            <v xml:space="preserve"> - </v>
          </cell>
        </row>
        <row r="860">
          <cell r="D860" t="str">
            <v xml:space="preserve"> - </v>
          </cell>
          <cell r="E860" t="str">
            <v xml:space="preserve"> - </v>
          </cell>
          <cell r="F860" t="str">
            <v xml:space="preserve"> - </v>
          </cell>
          <cell r="G860" t="str">
            <v xml:space="preserve"> - </v>
          </cell>
          <cell r="H860" t="str">
            <v xml:space="preserve"> - </v>
          </cell>
          <cell r="I860" t="str">
            <v xml:space="preserve"> - </v>
          </cell>
          <cell r="J860" t="str">
            <v xml:space="preserve"> - </v>
          </cell>
          <cell r="K860" t="str">
            <v xml:space="preserve"> - </v>
          </cell>
          <cell r="L860" t="str">
            <v xml:space="preserve"> - </v>
          </cell>
          <cell r="M860" t="str">
            <v xml:space="preserve"> - </v>
          </cell>
          <cell r="N860" t="str">
            <v xml:space="preserve"> - </v>
          </cell>
          <cell r="O860" t="str">
            <v xml:space="preserve"> - </v>
          </cell>
        </row>
        <row r="861">
          <cell r="D861" t="str">
            <v xml:space="preserve"> - </v>
          </cell>
          <cell r="E861" t="str">
            <v xml:space="preserve"> - </v>
          </cell>
          <cell r="F861" t="str">
            <v xml:space="preserve"> - </v>
          </cell>
          <cell r="G861" t="str">
            <v xml:space="preserve"> - </v>
          </cell>
          <cell r="H861" t="str">
            <v xml:space="preserve"> - </v>
          </cell>
          <cell r="I861" t="str">
            <v xml:space="preserve"> - </v>
          </cell>
          <cell r="J861" t="str">
            <v xml:space="preserve"> - </v>
          </cell>
          <cell r="K861" t="str">
            <v xml:space="preserve"> - </v>
          </cell>
          <cell r="L861" t="str">
            <v xml:space="preserve"> - </v>
          </cell>
          <cell r="M861" t="str">
            <v xml:space="preserve"> - </v>
          </cell>
          <cell r="N861" t="str">
            <v xml:space="preserve"> - </v>
          </cell>
          <cell r="O861" t="str">
            <v xml:space="preserve"> - </v>
          </cell>
        </row>
        <row r="862">
          <cell r="D862" t="str">
            <v xml:space="preserve"> - </v>
          </cell>
          <cell r="E862" t="str">
            <v xml:space="preserve"> - </v>
          </cell>
          <cell r="F862" t="str">
            <v xml:space="preserve"> - </v>
          </cell>
          <cell r="G862" t="str">
            <v xml:space="preserve"> - </v>
          </cell>
          <cell r="H862" t="str">
            <v xml:space="preserve"> - </v>
          </cell>
          <cell r="I862" t="str">
            <v xml:space="preserve"> - </v>
          </cell>
          <cell r="J862" t="str">
            <v xml:space="preserve"> - </v>
          </cell>
          <cell r="K862" t="str">
            <v xml:space="preserve"> - </v>
          </cell>
          <cell r="L862" t="str">
            <v xml:space="preserve"> - </v>
          </cell>
          <cell r="M862" t="str">
            <v xml:space="preserve"> - </v>
          </cell>
          <cell r="N862" t="str">
            <v xml:space="preserve"> - </v>
          </cell>
          <cell r="O862" t="str">
            <v xml:space="preserve"> - </v>
          </cell>
        </row>
        <row r="863">
          <cell r="D863" t="str">
            <v xml:space="preserve"> - </v>
          </cell>
          <cell r="E863" t="str">
            <v xml:space="preserve"> - </v>
          </cell>
          <cell r="F863" t="str">
            <v xml:space="preserve"> - </v>
          </cell>
          <cell r="G863" t="str">
            <v xml:space="preserve"> - </v>
          </cell>
          <cell r="H863" t="str">
            <v xml:space="preserve"> - </v>
          </cell>
          <cell r="I863" t="str">
            <v xml:space="preserve"> - </v>
          </cell>
          <cell r="J863" t="str">
            <v xml:space="preserve"> - </v>
          </cell>
          <cell r="K863" t="str">
            <v xml:space="preserve"> - </v>
          </cell>
          <cell r="L863" t="str">
            <v xml:space="preserve"> - </v>
          </cell>
          <cell r="M863" t="str">
            <v xml:space="preserve"> - </v>
          </cell>
          <cell r="N863" t="str">
            <v xml:space="preserve"> - </v>
          </cell>
          <cell r="O863" t="str">
            <v xml:space="preserve"> - </v>
          </cell>
        </row>
        <row r="864">
          <cell r="D864" t="str">
            <v xml:space="preserve"> - </v>
          </cell>
          <cell r="E864" t="str">
            <v xml:space="preserve"> - </v>
          </cell>
          <cell r="F864" t="str">
            <v xml:space="preserve"> - </v>
          </cell>
          <cell r="G864" t="str">
            <v xml:space="preserve"> - </v>
          </cell>
          <cell r="H864" t="str">
            <v xml:space="preserve"> - </v>
          </cell>
          <cell r="I864" t="str">
            <v xml:space="preserve"> - </v>
          </cell>
          <cell r="J864" t="str">
            <v xml:space="preserve"> - </v>
          </cell>
          <cell r="K864" t="str">
            <v xml:space="preserve"> - </v>
          </cell>
          <cell r="L864" t="str">
            <v xml:space="preserve"> - </v>
          </cell>
          <cell r="M864" t="str">
            <v xml:space="preserve"> - </v>
          </cell>
          <cell r="N864" t="str">
            <v xml:space="preserve"> - </v>
          </cell>
          <cell r="O864" t="str">
            <v xml:space="preserve"> - </v>
          </cell>
        </row>
        <row r="865">
          <cell r="D865" t="str">
            <v xml:space="preserve"> - </v>
          </cell>
          <cell r="E865" t="str">
            <v xml:space="preserve"> - </v>
          </cell>
          <cell r="F865" t="str">
            <v xml:space="preserve"> - </v>
          </cell>
          <cell r="G865" t="str">
            <v xml:space="preserve"> - </v>
          </cell>
          <cell r="H865" t="str">
            <v xml:space="preserve"> - </v>
          </cell>
          <cell r="I865" t="str">
            <v xml:space="preserve"> - </v>
          </cell>
          <cell r="J865" t="str">
            <v xml:space="preserve"> - </v>
          </cell>
          <cell r="K865" t="str">
            <v xml:space="preserve"> - </v>
          </cell>
          <cell r="L865" t="str">
            <v xml:space="preserve"> - </v>
          </cell>
          <cell r="M865" t="str">
            <v xml:space="preserve"> - </v>
          </cell>
          <cell r="N865" t="str">
            <v xml:space="preserve"> - </v>
          </cell>
          <cell r="O865" t="str">
            <v xml:space="preserve"> - </v>
          </cell>
        </row>
        <row r="866">
          <cell r="D866" t="str">
            <v xml:space="preserve"> - </v>
          </cell>
          <cell r="E866" t="str">
            <v xml:space="preserve"> - </v>
          </cell>
          <cell r="F866" t="str">
            <v xml:space="preserve"> - </v>
          </cell>
          <cell r="G866" t="str">
            <v xml:space="preserve"> - </v>
          </cell>
          <cell r="H866" t="str">
            <v xml:space="preserve"> - </v>
          </cell>
          <cell r="I866" t="str">
            <v xml:space="preserve"> - </v>
          </cell>
          <cell r="J866" t="str">
            <v xml:space="preserve"> - </v>
          </cell>
          <cell r="K866" t="str">
            <v xml:space="preserve"> - </v>
          </cell>
          <cell r="L866" t="str">
            <v xml:space="preserve"> - </v>
          </cell>
          <cell r="M866" t="str">
            <v xml:space="preserve"> - </v>
          </cell>
          <cell r="N866" t="str">
            <v xml:space="preserve"> - </v>
          </cell>
          <cell r="O866" t="str">
            <v xml:space="preserve"> - </v>
          </cell>
        </row>
        <row r="867">
          <cell r="D867" t="str">
            <v xml:space="preserve"> - </v>
          </cell>
          <cell r="E867" t="str">
            <v xml:space="preserve"> - </v>
          </cell>
          <cell r="F867" t="str">
            <v xml:space="preserve"> - </v>
          </cell>
          <cell r="G867" t="str">
            <v xml:space="preserve"> - </v>
          </cell>
          <cell r="H867" t="str">
            <v xml:space="preserve"> - </v>
          </cell>
          <cell r="I867" t="str">
            <v xml:space="preserve"> - </v>
          </cell>
          <cell r="J867" t="str">
            <v xml:space="preserve"> - </v>
          </cell>
          <cell r="K867" t="str">
            <v xml:space="preserve"> - </v>
          </cell>
          <cell r="L867" t="str">
            <v xml:space="preserve"> - </v>
          </cell>
          <cell r="M867" t="str">
            <v xml:space="preserve"> - </v>
          </cell>
          <cell r="N867" t="str">
            <v xml:space="preserve"> - </v>
          </cell>
          <cell r="O867" t="str">
            <v xml:space="preserve"> - </v>
          </cell>
        </row>
        <row r="868">
          <cell r="D868" t="str">
            <v xml:space="preserve"> - </v>
          </cell>
          <cell r="E868" t="str">
            <v xml:space="preserve"> - </v>
          </cell>
          <cell r="F868" t="str">
            <v xml:space="preserve"> - </v>
          </cell>
          <cell r="G868" t="str">
            <v xml:space="preserve"> - </v>
          </cell>
          <cell r="H868" t="str">
            <v xml:space="preserve"> - </v>
          </cell>
          <cell r="I868" t="str">
            <v xml:space="preserve"> - </v>
          </cell>
          <cell r="J868" t="str">
            <v xml:space="preserve"> - </v>
          </cell>
          <cell r="K868" t="str">
            <v xml:space="preserve"> - </v>
          </cell>
          <cell r="L868" t="str">
            <v xml:space="preserve"> - </v>
          </cell>
          <cell r="M868" t="str">
            <v xml:space="preserve"> - </v>
          </cell>
          <cell r="N868" t="str">
            <v xml:space="preserve"> - </v>
          </cell>
          <cell r="O868" t="str">
            <v xml:space="preserve"> - </v>
          </cell>
        </row>
        <row r="869">
          <cell r="D869" t="str">
            <v xml:space="preserve"> - </v>
          </cell>
          <cell r="E869" t="str">
            <v xml:space="preserve"> - </v>
          </cell>
          <cell r="F869" t="str">
            <v xml:space="preserve"> - </v>
          </cell>
          <cell r="G869" t="str">
            <v xml:space="preserve"> - </v>
          </cell>
          <cell r="H869" t="str">
            <v xml:space="preserve"> - </v>
          </cell>
          <cell r="I869" t="str">
            <v xml:space="preserve"> - </v>
          </cell>
          <cell r="J869" t="str">
            <v xml:space="preserve"> - </v>
          </cell>
          <cell r="K869" t="str">
            <v xml:space="preserve"> - </v>
          </cell>
          <cell r="L869" t="str">
            <v xml:space="preserve"> - </v>
          </cell>
          <cell r="M869" t="str">
            <v xml:space="preserve"> - </v>
          </cell>
          <cell r="N869" t="str">
            <v xml:space="preserve"> - </v>
          </cell>
          <cell r="O869" t="str">
            <v xml:space="preserve"> - </v>
          </cell>
        </row>
        <row r="870">
          <cell r="D870" t="str">
            <v xml:space="preserve"> - </v>
          </cell>
          <cell r="E870" t="str">
            <v xml:space="preserve"> - </v>
          </cell>
          <cell r="F870" t="str">
            <v xml:space="preserve"> - </v>
          </cell>
          <cell r="G870" t="str">
            <v xml:space="preserve"> - </v>
          </cell>
          <cell r="H870" t="str">
            <v xml:space="preserve"> - </v>
          </cell>
          <cell r="I870" t="str">
            <v xml:space="preserve"> - </v>
          </cell>
          <cell r="J870" t="str">
            <v xml:space="preserve"> - </v>
          </cell>
          <cell r="K870" t="str">
            <v xml:space="preserve"> - </v>
          </cell>
          <cell r="L870" t="str">
            <v xml:space="preserve"> - </v>
          </cell>
          <cell r="M870" t="str">
            <v xml:space="preserve"> - </v>
          </cell>
          <cell r="N870" t="str">
            <v xml:space="preserve"> - </v>
          </cell>
          <cell r="O870" t="str">
            <v xml:space="preserve"> - </v>
          </cell>
        </row>
        <row r="871">
          <cell r="D871" t="str">
            <v xml:space="preserve"> - </v>
          </cell>
          <cell r="E871" t="str">
            <v xml:space="preserve"> - </v>
          </cell>
          <cell r="F871" t="str">
            <v xml:space="preserve"> - </v>
          </cell>
          <cell r="G871" t="str">
            <v xml:space="preserve"> - </v>
          </cell>
          <cell r="H871" t="str">
            <v xml:space="preserve"> - </v>
          </cell>
          <cell r="I871" t="str">
            <v xml:space="preserve"> - </v>
          </cell>
          <cell r="J871" t="str">
            <v xml:space="preserve"> - </v>
          </cell>
          <cell r="K871" t="str">
            <v xml:space="preserve"> - </v>
          </cell>
          <cell r="L871" t="str">
            <v xml:space="preserve"> - </v>
          </cell>
          <cell r="M871" t="str">
            <v xml:space="preserve"> - </v>
          </cell>
          <cell r="N871" t="str">
            <v xml:space="preserve"> - </v>
          </cell>
          <cell r="O871" t="str">
            <v xml:space="preserve"> - </v>
          </cell>
        </row>
        <row r="872">
          <cell r="D872" t="str">
            <v xml:space="preserve"> - </v>
          </cell>
          <cell r="E872" t="str">
            <v xml:space="preserve"> - </v>
          </cell>
          <cell r="F872" t="str">
            <v xml:space="preserve"> - </v>
          </cell>
          <cell r="G872" t="str">
            <v xml:space="preserve"> - </v>
          </cell>
          <cell r="H872" t="str">
            <v xml:space="preserve"> - </v>
          </cell>
          <cell r="I872" t="str">
            <v xml:space="preserve"> - </v>
          </cell>
          <cell r="J872" t="str">
            <v xml:space="preserve"> - </v>
          </cell>
          <cell r="K872" t="str">
            <v xml:space="preserve"> - </v>
          </cell>
          <cell r="L872" t="str">
            <v xml:space="preserve"> - </v>
          </cell>
          <cell r="M872" t="str">
            <v xml:space="preserve"> - </v>
          </cell>
          <cell r="N872" t="str">
            <v xml:space="preserve"> - </v>
          </cell>
          <cell r="O872" t="str">
            <v xml:space="preserve"> - </v>
          </cell>
        </row>
        <row r="873">
          <cell r="D873" t="str">
            <v xml:space="preserve"> - </v>
          </cell>
          <cell r="E873" t="str">
            <v xml:space="preserve"> - </v>
          </cell>
          <cell r="F873" t="str">
            <v xml:space="preserve"> - </v>
          </cell>
          <cell r="G873" t="str">
            <v xml:space="preserve"> - </v>
          </cell>
          <cell r="H873" t="str">
            <v xml:space="preserve"> - </v>
          </cell>
          <cell r="I873" t="str">
            <v xml:space="preserve"> - </v>
          </cell>
          <cell r="J873" t="str">
            <v xml:space="preserve"> - </v>
          </cell>
          <cell r="K873" t="str">
            <v xml:space="preserve"> - </v>
          </cell>
          <cell r="L873" t="str">
            <v xml:space="preserve"> - </v>
          </cell>
          <cell r="M873" t="str">
            <v xml:space="preserve"> - </v>
          </cell>
          <cell r="N873" t="str">
            <v xml:space="preserve"> - </v>
          </cell>
          <cell r="O873" t="str">
            <v xml:space="preserve"> - </v>
          </cell>
        </row>
        <row r="874">
          <cell r="D874" t="str">
            <v xml:space="preserve"> - </v>
          </cell>
          <cell r="E874" t="str">
            <v xml:space="preserve"> - </v>
          </cell>
          <cell r="F874" t="str">
            <v xml:space="preserve"> - </v>
          </cell>
          <cell r="G874" t="str">
            <v xml:space="preserve"> - </v>
          </cell>
          <cell r="H874" t="str">
            <v xml:space="preserve"> - </v>
          </cell>
          <cell r="I874" t="str">
            <v xml:space="preserve"> - </v>
          </cell>
          <cell r="J874" t="str">
            <v xml:space="preserve"> - </v>
          </cell>
          <cell r="K874" t="str">
            <v xml:space="preserve"> - </v>
          </cell>
          <cell r="L874" t="str">
            <v xml:space="preserve"> - </v>
          </cell>
          <cell r="M874" t="str">
            <v xml:space="preserve"> - </v>
          </cell>
          <cell r="N874" t="str">
            <v xml:space="preserve"> - </v>
          </cell>
          <cell r="O874" t="str">
            <v xml:space="preserve"> - </v>
          </cell>
        </row>
        <row r="875">
          <cell r="D875" t="str">
            <v xml:space="preserve"> - </v>
          </cell>
          <cell r="E875" t="str">
            <v xml:space="preserve"> - </v>
          </cell>
          <cell r="F875" t="str">
            <v xml:space="preserve"> - </v>
          </cell>
          <cell r="G875" t="str">
            <v xml:space="preserve"> - </v>
          </cell>
          <cell r="H875" t="str">
            <v xml:space="preserve"> - </v>
          </cell>
          <cell r="I875" t="str">
            <v xml:space="preserve"> - </v>
          </cell>
          <cell r="J875" t="str">
            <v xml:space="preserve"> - </v>
          </cell>
          <cell r="K875" t="str">
            <v xml:space="preserve"> - </v>
          </cell>
          <cell r="L875" t="str">
            <v xml:space="preserve"> - </v>
          </cell>
          <cell r="M875" t="str">
            <v xml:space="preserve"> - </v>
          </cell>
          <cell r="N875" t="str">
            <v xml:space="preserve"> - </v>
          </cell>
          <cell r="O875" t="str">
            <v xml:space="preserve"> - </v>
          </cell>
        </row>
        <row r="876">
          <cell r="D876" t="str">
            <v xml:space="preserve"> - </v>
          </cell>
          <cell r="E876" t="str">
            <v xml:space="preserve"> - </v>
          </cell>
          <cell r="F876" t="str">
            <v xml:space="preserve"> - </v>
          </cell>
          <cell r="G876" t="str">
            <v xml:space="preserve"> - </v>
          </cell>
          <cell r="H876" t="str">
            <v xml:space="preserve"> - </v>
          </cell>
          <cell r="I876" t="str">
            <v xml:space="preserve"> - </v>
          </cell>
          <cell r="J876" t="str">
            <v xml:space="preserve"> - </v>
          </cell>
          <cell r="K876" t="str">
            <v xml:space="preserve"> - </v>
          </cell>
          <cell r="L876" t="str">
            <v xml:space="preserve"> - </v>
          </cell>
          <cell r="M876" t="str">
            <v xml:space="preserve"> - </v>
          </cell>
          <cell r="N876" t="str">
            <v xml:space="preserve"> - </v>
          </cell>
          <cell r="O876" t="str">
            <v xml:space="preserve"> - </v>
          </cell>
        </row>
        <row r="877">
          <cell r="D877" t="str">
            <v xml:space="preserve"> - </v>
          </cell>
          <cell r="E877" t="str">
            <v xml:space="preserve"> - </v>
          </cell>
          <cell r="F877" t="str">
            <v xml:space="preserve"> - </v>
          </cell>
          <cell r="G877" t="str">
            <v xml:space="preserve"> - </v>
          </cell>
          <cell r="H877" t="str">
            <v xml:space="preserve"> - </v>
          </cell>
          <cell r="I877" t="str">
            <v xml:space="preserve"> - </v>
          </cell>
          <cell r="J877" t="str">
            <v xml:space="preserve"> - </v>
          </cell>
          <cell r="K877" t="str">
            <v xml:space="preserve"> - </v>
          </cell>
          <cell r="L877" t="str">
            <v xml:space="preserve"> - </v>
          </cell>
          <cell r="M877" t="str">
            <v xml:space="preserve"> - </v>
          </cell>
          <cell r="N877" t="str">
            <v xml:space="preserve"> - </v>
          </cell>
          <cell r="O877" t="str">
            <v xml:space="preserve"> - </v>
          </cell>
        </row>
        <row r="878">
          <cell r="D878" t="str">
            <v xml:space="preserve"> - </v>
          </cell>
          <cell r="E878" t="str">
            <v xml:space="preserve"> - </v>
          </cell>
          <cell r="F878" t="str">
            <v xml:space="preserve"> - </v>
          </cell>
          <cell r="G878" t="str">
            <v xml:space="preserve"> - </v>
          </cell>
          <cell r="H878" t="str">
            <v xml:space="preserve"> - </v>
          </cell>
          <cell r="I878" t="str">
            <v xml:space="preserve"> - </v>
          </cell>
          <cell r="J878" t="str">
            <v xml:space="preserve"> - </v>
          </cell>
          <cell r="K878" t="str">
            <v xml:space="preserve"> - </v>
          </cell>
          <cell r="L878" t="str">
            <v xml:space="preserve"> - </v>
          </cell>
          <cell r="M878" t="str">
            <v xml:space="preserve"> - </v>
          </cell>
          <cell r="N878" t="str">
            <v xml:space="preserve"> - </v>
          </cell>
          <cell r="O878" t="str">
            <v xml:space="preserve"> - </v>
          </cell>
        </row>
        <row r="879">
          <cell r="D879" t="str">
            <v xml:space="preserve"> - </v>
          </cell>
          <cell r="E879" t="str">
            <v xml:space="preserve"> - </v>
          </cell>
          <cell r="F879" t="str">
            <v xml:space="preserve"> - </v>
          </cell>
          <cell r="G879" t="str">
            <v xml:space="preserve"> - </v>
          </cell>
          <cell r="H879" t="str">
            <v xml:space="preserve"> - </v>
          </cell>
          <cell r="I879" t="str">
            <v xml:space="preserve"> - </v>
          </cell>
          <cell r="J879" t="str">
            <v xml:space="preserve"> - </v>
          </cell>
          <cell r="K879" t="str">
            <v xml:space="preserve"> - </v>
          </cell>
          <cell r="L879" t="str">
            <v xml:space="preserve"> - </v>
          </cell>
          <cell r="M879" t="str">
            <v xml:space="preserve"> - </v>
          </cell>
          <cell r="N879" t="str">
            <v xml:space="preserve"> - </v>
          </cell>
          <cell r="O879" t="str">
            <v xml:space="preserve"> - </v>
          </cell>
        </row>
        <row r="880">
          <cell r="D880" t="str">
            <v xml:space="preserve"> - </v>
          </cell>
          <cell r="E880" t="str">
            <v xml:space="preserve"> - </v>
          </cell>
          <cell r="F880" t="str">
            <v xml:space="preserve"> - </v>
          </cell>
          <cell r="G880" t="str">
            <v xml:space="preserve"> - </v>
          </cell>
          <cell r="H880" t="str">
            <v xml:space="preserve"> - </v>
          </cell>
          <cell r="I880" t="str">
            <v xml:space="preserve"> - </v>
          </cell>
          <cell r="J880" t="str">
            <v xml:space="preserve"> - </v>
          </cell>
          <cell r="K880" t="str">
            <v xml:space="preserve"> - </v>
          </cell>
          <cell r="L880" t="str">
            <v xml:space="preserve"> - </v>
          </cell>
          <cell r="M880" t="str">
            <v xml:space="preserve"> - </v>
          </cell>
          <cell r="N880" t="str">
            <v xml:space="preserve"> - </v>
          </cell>
          <cell r="O880" t="str">
            <v xml:space="preserve"> - </v>
          </cell>
        </row>
        <row r="881">
          <cell r="D881" t="str">
            <v xml:space="preserve"> - </v>
          </cell>
          <cell r="E881" t="str">
            <v xml:space="preserve"> - </v>
          </cell>
          <cell r="F881" t="str">
            <v xml:space="preserve"> - </v>
          </cell>
          <cell r="G881" t="str">
            <v xml:space="preserve"> - </v>
          </cell>
          <cell r="H881" t="str">
            <v xml:space="preserve"> - </v>
          </cell>
          <cell r="I881" t="str">
            <v xml:space="preserve"> - </v>
          </cell>
          <cell r="J881" t="str">
            <v xml:space="preserve"> - </v>
          </cell>
          <cell r="K881" t="str">
            <v xml:space="preserve"> - </v>
          </cell>
          <cell r="L881" t="str">
            <v xml:space="preserve"> - </v>
          </cell>
          <cell r="M881" t="str">
            <v xml:space="preserve"> - </v>
          </cell>
          <cell r="N881" t="str">
            <v xml:space="preserve"> - </v>
          </cell>
          <cell r="O881" t="str">
            <v xml:space="preserve"> - </v>
          </cell>
        </row>
        <row r="882">
          <cell r="D882" t="str">
            <v xml:space="preserve"> - </v>
          </cell>
          <cell r="E882" t="str">
            <v xml:space="preserve"> - </v>
          </cell>
          <cell r="F882" t="str">
            <v xml:space="preserve"> - </v>
          </cell>
          <cell r="G882" t="str">
            <v xml:space="preserve"> - </v>
          </cell>
          <cell r="H882" t="str">
            <v xml:space="preserve"> - </v>
          </cell>
          <cell r="I882" t="str">
            <v xml:space="preserve"> - </v>
          </cell>
          <cell r="J882" t="str">
            <v xml:space="preserve"> - </v>
          </cell>
          <cell r="K882" t="str">
            <v xml:space="preserve"> - </v>
          </cell>
          <cell r="L882" t="str">
            <v xml:space="preserve"> - </v>
          </cell>
          <cell r="M882" t="str">
            <v xml:space="preserve"> - </v>
          </cell>
          <cell r="N882" t="str">
            <v xml:space="preserve"> - </v>
          </cell>
          <cell r="O882" t="str">
            <v xml:space="preserve"> - </v>
          </cell>
        </row>
        <row r="883">
          <cell r="D883" t="str">
            <v xml:space="preserve"> - </v>
          </cell>
          <cell r="E883" t="str">
            <v xml:space="preserve"> - </v>
          </cell>
          <cell r="F883" t="str">
            <v xml:space="preserve"> - </v>
          </cell>
          <cell r="G883" t="str">
            <v xml:space="preserve"> - </v>
          </cell>
          <cell r="H883" t="str">
            <v xml:space="preserve"> - </v>
          </cell>
          <cell r="I883" t="str">
            <v xml:space="preserve"> - </v>
          </cell>
          <cell r="J883" t="str">
            <v xml:space="preserve"> - </v>
          </cell>
          <cell r="K883" t="str">
            <v xml:space="preserve"> - </v>
          </cell>
          <cell r="L883" t="str">
            <v xml:space="preserve"> - </v>
          </cell>
          <cell r="M883" t="str">
            <v xml:space="preserve"> - </v>
          </cell>
          <cell r="N883" t="str">
            <v xml:space="preserve"> - </v>
          </cell>
          <cell r="O883" t="str">
            <v xml:space="preserve"> - </v>
          </cell>
        </row>
        <row r="884">
          <cell r="D884" t="str">
            <v xml:space="preserve"> - </v>
          </cell>
          <cell r="E884" t="str">
            <v xml:space="preserve"> - </v>
          </cell>
          <cell r="F884" t="str">
            <v xml:space="preserve"> - </v>
          </cell>
          <cell r="G884" t="str">
            <v xml:space="preserve"> - </v>
          </cell>
          <cell r="H884" t="str">
            <v xml:space="preserve"> - </v>
          </cell>
          <cell r="I884" t="str">
            <v xml:space="preserve"> - </v>
          </cell>
          <cell r="J884" t="str">
            <v xml:space="preserve"> - </v>
          </cell>
          <cell r="K884" t="str">
            <v xml:space="preserve"> - </v>
          </cell>
          <cell r="L884" t="str">
            <v xml:space="preserve"> - </v>
          </cell>
          <cell r="M884" t="str">
            <v xml:space="preserve"> - </v>
          </cell>
          <cell r="N884" t="str">
            <v xml:space="preserve"> - </v>
          </cell>
          <cell r="O884" t="str">
            <v xml:space="preserve"> - </v>
          </cell>
        </row>
        <row r="885">
          <cell r="D885" t="str">
            <v xml:space="preserve"> - </v>
          </cell>
          <cell r="E885" t="str">
            <v xml:space="preserve"> - </v>
          </cell>
          <cell r="F885" t="str">
            <v xml:space="preserve"> - </v>
          </cell>
          <cell r="G885" t="str">
            <v xml:space="preserve"> - </v>
          </cell>
          <cell r="H885" t="str">
            <v xml:space="preserve"> - </v>
          </cell>
          <cell r="I885" t="str">
            <v xml:space="preserve"> - </v>
          </cell>
          <cell r="J885" t="str">
            <v xml:space="preserve"> - </v>
          </cell>
          <cell r="K885" t="str">
            <v xml:space="preserve"> - </v>
          </cell>
          <cell r="L885" t="str">
            <v xml:space="preserve"> - </v>
          </cell>
          <cell r="M885" t="str">
            <v xml:space="preserve"> - </v>
          </cell>
          <cell r="N885" t="str">
            <v xml:space="preserve"> - </v>
          </cell>
          <cell r="O885" t="str">
            <v xml:space="preserve"> - </v>
          </cell>
        </row>
        <row r="886">
          <cell r="D886" t="str">
            <v xml:space="preserve"> - </v>
          </cell>
          <cell r="E886" t="str">
            <v xml:space="preserve"> - </v>
          </cell>
          <cell r="F886" t="str">
            <v xml:space="preserve"> - </v>
          </cell>
          <cell r="G886" t="str">
            <v xml:space="preserve"> - </v>
          </cell>
          <cell r="H886" t="str">
            <v xml:space="preserve"> - </v>
          </cell>
          <cell r="I886" t="str">
            <v xml:space="preserve"> - </v>
          </cell>
          <cell r="J886" t="str">
            <v xml:space="preserve"> - </v>
          </cell>
          <cell r="K886" t="str">
            <v xml:space="preserve"> - </v>
          </cell>
          <cell r="L886" t="str">
            <v xml:space="preserve"> - </v>
          </cell>
          <cell r="M886" t="str">
            <v xml:space="preserve"> - </v>
          </cell>
          <cell r="N886" t="str">
            <v xml:space="preserve"> - </v>
          </cell>
          <cell r="O886" t="str">
            <v xml:space="preserve"> - </v>
          </cell>
        </row>
        <row r="887">
          <cell r="D887" t="str">
            <v xml:space="preserve"> - </v>
          </cell>
          <cell r="E887" t="str">
            <v xml:space="preserve"> - </v>
          </cell>
          <cell r="F887" t="str">
            <v xml:space="preserve"> - </v>
          </cell>
          <cell r="G887" t="str">
            <v xml:space="preserve"> - </v>
          </cell>
          <cell r="H887" t="str">
            <v xml:space="preserve"> - </v>
          </cell>
          <cell r="I887" t="str">
            <v xml:space="preserve"> - </v>
          </cell>
          <cell r="J887" t="str">
            <v xml:space="preserve"> - </v>
          </cell>
          <cell r="K887" t="str">
            <v xml:space="preserve"> - </v>
          </cell>
          <cell r="L887" t="str">
            <v xml:space="preserve"> - </v>
          </cell>
          <cell r="M887" t="str">
            <v xml:space="preserve"> - </v>
          </cell>
          <cell r="N887" t="str">
            <v xml:space="preserve"> - </v>
          </cell>
          <cell r="O887" t="str">
            <v xml:space="preserve"> - </v>
          </cell>
        </row>
        <row r="888">
          <cell r="D888" t="str">
            <v xml:space="preserve"> - </v>
          </cell>
          <cell r="E888" t="str">
            <v xml:space="preserve"> - </v>
          </cell>
          <cell r="F888" t="str">
            <v xml:space="preserve"> - </v>
          </cell>
          <cell r="G888" t="str">
            <v xml:space="preserve"> - </v>
          </cell>
          <cell r="H888" t="str">
            <v xml:space="preserve"> - </v>
          </cell>
          <cell r="I888" t="str">
            <v xml:space="preserve"> - </v>
          </cell>
          <cell r="J888" t="str">
            <v xml:space="preserve"> - </v>
          </cell>
          <cell r="K888" t="str">
            <v xml:space="preserve"> - </v>
          </cell>
          <cell r="L888" t="str">
            <v xml:space="preserve"> - </v>
          </cell>
          <cell r="M888" t="str">
            <v xml:space="preserve"> - </v>
          </cell>
          <cell r="N888" t="str">
            <v xml:space="preserve"> - </v>
          </cell>
          <cell r="O888" t="str">
            <v xml:space="preserve"> - </v>
          </cell>
        </row>
        <row r="889">
          <cell r="D889" t="str">
            <v xml:space="preserve"> - </v>
          </cell>
          <cell r="E889" t="str">
            <v xml:space="preserve"> - </v>
          </cell>
          <cell r="F889" t="str">
            <v xml:space="preserve"> - </v>
          </cell>
          <cell r="G889" t="str">
            <v xml:space="preserve"> - </v>
          </cell>
          <cell r="H889" t="str">
            <v xml:space="preserve"> - </v>
          </cell>
          <cell r="I889" t="str">
            <v xml:space="preserve"> - </v>
          </cell>
          <cell r="J889" t="str">
            <v xml:space="preserve"> - </v>
          </cell>
          <cell r="K889" t="str">
            <v xml:space="preserve"> - </v>
          </cell>
          <cell r="L889" t="str">
            <v xml:space="preserve"> - </v>
          </cell>
          <cell r="M889" t="str">
            <v xml:space="preserve"> - </v>
          </cell>
          <cell r="N889" t="str">
            <v xml:space="preserve"> - </v>
          </cell>
          <cell r="O889" t="str">
            <v xml:space="preserve"> - </v>
          </cell>
        </row>
        <row r="890">
          <cell r="D890" t="str">
            <v xml:space="preserve"> - </v>
          </cell>
          <cell r="E890" t="str">
            <v xml:space="preserve"> - </v>
          </cell>
          <cell r="F890" t="str">
            <v xml:space="preserve"> - </v>
          </cell>
          <cell r="G890" t="str">
            <v xml:space="preserve"> - </v>
          </cell>
          <cell r="H890" t="str">
            <v xml:space="preserve"> - </v>
          </cell>
          <cell r="I890" t="str">
            <v xml:space="preserve"> - </v>
          </cell>
          <cell r="J890" t="str">
            <v xml:space="preserve"> - </v>
          </cell>
          <cell r="K890" t="str">
            <v xml:space="preserve"> - </v>
          </cell>
          <cell r="L890" t="str">
            <v xml:space="preserve"> - </v>
          </cell>
          <cell r="M890" t="str">
            <v xml:space="preserve"> - </v>
          </cell>
          <cell r="N890" t="str">
            <v xml:space="preserve"> - </v>
          </cell>
          <cell r="O890" t="str">
            <v xml:space="preserve"> - </v>
          </cell>
        </row>
        <row r="891">
          <cell r="D891" t="str">
            <v xml:space="preserve"> - </v>
          </cell>
          <cell r="E891" t="str">
            <v xml:space="preserve"> - </v>
          </cell>
          <cell r="F891" t="str">
            <v xml:space="preserve"> - </v>
          </cell>
          <cell r="G891" t="str">
            <v xml:space="preserve"> - </v>
          </cell>
          <cell r="H891" t="str">
            <v xml:space="preserve"> - </v>
          </cell>
          <cell r="I891" t="str">
            <v xml:space="preserve"> - </v>
          </cell>
          <cell r="J891" t="str">
            <v xml:space="preserve"> - </v>
          </cell>
          <cell r="K891" t="str">
            <v xml:space="preserve"> - </v>
          </cell>
          <cell r="L891" t="str">
            <v xml:space="preserve"> - </v>
          </cell>
          <cell r="M891" t="str">
            <v xml:space="preserve"> - </v>
          </cell>
          <cell r="N891" t="str">
            <v xml:space="preserve"> - </v>
          </cell>
          <cell r="O891" t="str">
            <v xml:space="preserve"> - </v>
          </cell>
        </row>
        <row r="892">
          <cell r="D892" t="str">
            <v xml:space="preserve"> - </v>
          </cell>
          <cell r="E892" t="str">
            <v xml:space="preserve"> - </v>
          </cell>
          <cell r="F892" t="str">
            <v xml:space="preserve"> - </v>
          </cell>
          <cell r="G892" t="str">
            <v xml:space="preserve"> - </v>
          </cell>
          <cell r="H892" t="str">
            <v xml:space="preserve"> - </v>
          </cell>
          <cell r="I892" t="str">
            <v xml:space="preserve"> - </v>
          </cell>
          <cell r="J892" t="str">
            <v xml:space="preserve"> - </v>
          </cell>
          <cell r="K892" t="str">
            <v xml:space="preserve"> - </v>
          </cell>
          <cell r="L892" t="str">
            <v xml:space="preserve"> - </v>
          </cell>
          <cell r="M892" t="str">
            <v xml:space="preserve"> - </v>
          </cell>
          <cell r="N892" t="str">
            <v xml:space="preserve"> - </v>
          </cell>
          <cell r="O892" t="str">
            <v xml:space="preserve"> - </v>
          </cell>
        </row>
        <row r="893">
          <cell r="D893" t="str">
            <v xml:space="preserve"> - </v>
          </cell>
          <cell r="E893" t="str">
            <v xml:space="preserve"> - </v>
          </cell>
          <cell r="F893" t="str">
            <v xml:space="preserve"> - </v>
          </cell>
          <cell r="G893" t="str">
            <v xml:space="preserve"> - </v>
          </cell>
          <cell r="H893" t="str">
            <v xml:space="preserve"> - </v>
          </cell>
          <cell r="I893" t="str">
            <v xml:space="preserve"> - </v>
          </cell>
          <cell r="J893" t="str">
            <v xml:space="preserve"> - </v>
          </cell>
          <cell r="K893" t="str">
            <v xml:space="preserve"> - </v>
          </cell>
          <cell r="L893" t="str">
            <v xml:space="preserve"> - </v>
          </cell>
          <cell r="M893" t="str">
            <v xml:space="preserve"> - </v>
          </cell>
          <cell r="N893" t="str">
            <v xml:space="preserve"> - </v>
          </cell>
          <cell r="O893" t="str">
            <v xml:space="preserve"> - </v>
          </cell>
        </row>
        <row r="894">
          <cell r="D894" t="str">
            <v xml:space="preserve"> - </v>
          </cell>
          <cell r="E894" t="str">
            <v xml:space="preserve"> - </v>
          </cell>
          <cell r="F894" t="str">
            <v xml:space="preserve"> - </v>
          </cell>
          <cell r="G894" t="str">
            <v xml:space="preserve"> - </v>
          </cell>
          <cell r="H894" t="str">
            <v xml:space="preserve"> - </v>
          </cell>
          <cell r="I894" t="str">
            <v xml:space="preserve"> - </v>
          </cell>
          <cell r="J894" t="str">
            <v xml:space="preserve"> - </v>
          </cell>
          <cell r="K894" t="str">
            <v xml:space="preserve"> - </v>
          </cell>
          <cell r="L894" t="str">
            <v xml:space="preserve"> - </v>
          </cell>
          <cell r="M894" t="str">
            <v xml:space="preserve"> - </v>
          </cell>
          <cell r="N894" t="str">
            <v xml:space="preserve"> - </v>
          </cell>
          <cell r="O894" t="str">
            <v xml:space="preserve"> - </v>
          </cell>
        </row>
        <row r="895">
          <cell r="D895" t="str">
            <v xml:space="preserve"> - </v>
          </cell>
          <cell r="E895" t="str">
            <v xml:space="preserve"> - </v>
          </cell>
          <cell r="F895" t="str">
            <v xml:space="preserve"> - </v>
          </cell>
          <cell r="G895" t="str">
            <v xml:space="preserve"> - </v>
          </cell>
          <cell r="H895" t="str">
            <v xml:space="preserve"> - </v>
          </cell>
          <cell r="I895" t="str">
            <v xml:space="preserve"> - </v>
          </cell>
          <cell r="J895" t="str">
            <v xml:space="preserve"> - </v>
          </cell>
          <cell r="K895" t="str">
            <v xml:space="preserve"> - </v>
          </cell>
          <cell r="L895" t="str">
            <v xml:space="preserve"> - </v>
          </cell>
          <cell r="M895" t="str">
            <v xml:space="preserve"> - </v>
          </cell>
          <cell r="N895" t="str">
            <v xml:space="preserve"> - </v>
          </cell>
          <cell r="O895" t="str">
            <v xml:space="preserve"> - </v>
          </cell>
        </row>
        <row r="896">
          <cell r="D896" t="str">
            <v xml:space="preserve"> - </v>
          </cell>
          <cell r="E896" t="str">
            <v xml:space="preserve"> - </v>
          </cell>
          <cell r="F896" t="str">
            <v xml:space="preserve"> - </v>
          </cell>
          <cell r="G896" t="str">
            <v xml:space="preserve"> - </v>
          </cell>
          <cell r="H896" t="str">
            <v xml:space="preserve"> - </v>
          </cell>
          <cell r="I896" t="str">
            <v xml:space="preserve"> - </v>
          </cell>
          <cell r="J896" t="str">
            <v xml:space="preserve"> - </v>
          </cell>
          <cell r="K896" t="str">
            <v xml:space="preserve"> - </v>
          </cell>
          <cell r="L896" t="str">
            <v xml:space="preserve"> - </v>
          </cell>
          <cell r="M896" t="str">
            <v xml:space="preserve"> - </v>
          </cell>
          <cell r="N896" t="str">
            <v xml:space="preserve"> - </v>
          </cell>
          <cell r="O896" t="str">
            <v xml:space="preserve"> - </v>
          </cell>
        </row>
        <row r="897">
          <cell r="D897" t="str">
            <v xml:space="preserve"> - </v>
          </cell>
          <cell r="E897" t="str">
            <v xml:space="preserve"> - </v>
          </cell>
          <cell r="F897" t="str">
            <v xml:space="preserve"> - </v>
          </cell>
          <cell r="G897" t="str">
            <v xml:space="preserve"> - </v>
          </cell>
          <cell r="H897" t="str">
            <v xml:space="preserve"> - </v>
          </cell>
          <cell r="I897" t="str">
            <v xml:space="preserve"> - </v>
          </cell>
          <cell r="J897" t="str">
            <v xml:space="preserve"> - </v>
          </cell>
          <cell r="K897" t="str">
            <v xml:space="preserve"> - </v>
          </cell>
          <cell r="L897" t="str">
            <v xml:space="preserve"> - </v>
          </cell>
          <cell r="M897" t="str">
            <v xml:space="preserve"> - </v>
          </cell>
          <cell r="N897" t="str">
            <v xml:space="preserve"> - </v>
          </cell>
          <cell r="O897" t="str">
            <v xml:space="preserve"> - </v>
          </cell>
        </row>
        <row r="898">
          <cell r="D898" t="str">
            <v xml:space="preserve"> - </v>
          </cell>
          <cell r="E898" t="str">
            <v xml:space="preserve"> - </v>
          </cell>
          <cell r="F898" t="str">
            <v xml:space="preserve"> - </v>
          </cell>
          <cell r="G898" t="str">
            <v xml:space="preserve"> - </v>
          </cell>
          <cell r="H898" t="str">
            <v xml:space="preserve"> - </v>
          </cell>
          <cell r="I898" t="str">
            <v xml:space="preserve"> - </v>
          </cell>
          <cell r="J898" t="str">
            <v xml:space="preserve"> - </v>
          </cell>
          <cell r="K898" t="str">
            <v xml:space="preserve"> - </v>
          </cell>
          <cell r="L898" t="str">
            <v xml:space="preserve"> - </v>
          </cell>
          <cell r="M898" t="str">
            <v xml:space="preserve"> - </v>
          </cell>
          <cell r="N898" t="str">
            <v xml:space="preserve"> - </v>
          </cell>
          <cell r="O898" t="str">
            <v xml:space="preserve"> - </v>
          </cell>
        </row>
        <row r="899">
          <cell r="D899" t="str">
            <v xml:space="preserve"> - </v>
          </cell>
          <cell r="E899" t="str">
            <v xml:space="preserve"> - </v>
          </cell>
          <cell r="F899" t="str">
            <v xml:space="preserve"> - </v>
          </cell>
          <cell r="G899" t="str">
            <v xml:space="preserve"> - </v>
          </cell>
          <cell r="H899" t="str">
            <v xml:space="preserve"> - </v>
          </cell>
          <cell r="I899" t="str">
            <v xml:space="preserve"> - </v>
          </cell>
          <cell r="J899" t="str">
            <v xml:space="preserve"> - </v>
          </cell>
          <cell r="K899" t="str">
            <v xml:space="preserve"> - </v>
          </cell>
          <cell r="L899" t="str">
            <v xml:space="preserve"> - </v>
          </cell>
          <cell r="M899" t="str">
            <v xml:space="preserve"> - </v>
          </cell>
          <cell r="N899" t="str">
            <v xml:space="preserve"> - </v>
          </cell>
          <cell r="O899" t="str">
            <v xml:space="preserve"> - </v>
          </cell>
        </row>
        <row r="900">
          <cell r="D900" t="str">
            <v xml:space="preserve"> - </v>
          </cell>
          <cell r="E900" t="str">
            <v xml:space="preserve"> - </v>
          </cell>
          <cell r="F900" t="str">
            <v xml:space="preserve"> - </v>
          </cell>
          <cell r="G900" t="str">
            <v xml:space="preserve"> - </v>
          </cell>
          <cell r="H900" t="str">
            <v xml:space="preserve"> - </v>
          </cell>
          <cell r="I900" t="str">
            <v xml:space="preserve"> - </v>
          </cell>
          <cell r="J900" t="str">
            <v xml:space="preserve"> - </v>
          </cell>
          <cell r="K900" t="str">
            <v xml:space="preserve"> - </v>
          </cell>
          <cell r="L900" t="str">
            <v xml:space="preserve"> - </v>
          </cell>
          <cell r="M900" t="str">
            <v xml:space="preserve"> - </v>
          </cell>
          <cell r="N900" t="str">
            <v xml:space="preserve"> - </v>
          </cell>
          <cell r="O900" t="str">
            <v xml:space="preserve"> - </v>
          </cell>
        </row>
        <row r="901">
          <cell r="D901" t="str">
            <v xml:space="preserve"> - </v>
          </cell>
          <cell r="E901" t="str">
            <v xml:space="preserve"> - </v>
          </cell>
          <cell r="F901" t="str">
            <v xml:space="preserve"> - </v>
          </cell>
          <cell r="G901" t="str">
            <v xml:space="preserve"> - </v>
          </cell>
          <cell r="H901" t="str">
            <v xml:space="preserve"> - </v>
          </cell>
          <cell r="I901" t="str">
            <v xml:space="preserve"> - </v>
          </cell>
          <cell r="J901" t="str">
            <v xml:space="preserve"> - </v>
          </cell>
          <cell r="K901" t="str">
            <v xml:space="preserve"> - </v>
          </cell>
          <cell r="L901" t="str">
            <v xml:space="preserve"> - </v>
          </cell>
          <cell r="M901" t="str">
            <v xml:space="preserve"> - </v>
          </cell>
          <cell r="N901" t="str">
            <v xml:space="preserve"> - </v>
          </cell>
          <cell r="O901" t="str">
            <v xml:space="preserve"> - </v>
          </cell>
        </row>
        <row r="902">
          <cell r="D902" t="str">
            <v xml:space="preserve"> - </v>
          </cell>
          <cell r="E902" t="str">
            <v xml:space="preserve"> - </v>
          </cell>
          <cell r="F902" t="str">
            <v xml:space="preserve"> - </v>
          </cell>
          <cell r="G902" t="str">
            <v xml:space="preserve"> - </v>
          </cell>
          <cell r="H902" t="str">
            <v xml:space="preserve"> - </v>
          </cell>
          <cell r="I902" t="str">
            <v xml:space="preserve"> - </v>
          </cell>
          <cell r="J902" t="str">
            <v xml:space="preserve"> - </v>
          </cell>
          <cell r="K902" t="str">
            <v xml:space="preserve"> - </v>
          </cell>
          <cell r="L902" t="str">
            <v xml:space="preserve"> - </v>
          </cell>
          <cell r="M902" t="str">
            <v xml:space="preserve"> - </v>
          </cell>
          <cell r="N902" t="str">
            <v xml:space="preserve"> - </v>
          </cell>
          <cell r="O902" t="str">
            <v xml:space="preserve"> - </v>
          </cell>
        </row>
        <row r="903">
          <cell r="D903" t="str">
            <v xml:space="preserve"> - </v>
          </cell>
          <cell r="E903" t="str">
            <v xml:space="preserve"> - </v>
          </cell>
          <cell r="F903" t="str">
            <v xml:space="preserve"> - </v>
          </cell>
          <cell r="G903" t="str">
            <v xml:space="preserve"> - </v>
          </cell>
          <cell r="H903" t="str">
            <v xml:space="preserve"> - </v>
          </cell>
          <cell r="I903" t="str">
            <v xml:space="preserve"> - </v>
          </cell>
          <cell r="J903" t="str">
            <v xml:space="preserve"> - </v>
          </cell>
          <cell r="K903" t="str">
            <v xml:space="preserve"> - </v>
          </cell>
          <cell r="L903" t="str">
            <v xml:space="preserve"> - </v>
          </cell>
          <cell r="M903" t="str">
            <v xml:space="preserve"> - </v>
          </cell>
          <cell r="N903" t="str">
            <v xml:space="preserve"> - </v>
          </cell>
          <cell r="O903" t="str">
            <v xml:space="preserve"> - </v>
          </cell>
        </row>
        <row r="904">
          <cell r="D904" t="str">
            <v xml:space="preserve"> - </v>
          </cell>
          <cell r="E904" t="str">
            <v xml:space="preserve"> - </v>
          </cell>
          <cell r="F904" t="str">
            <v xml:space="preserve"> - </v>
          </cell>
          <cell r="G904" t="str">
            <v xml:space="preserve"> - </v>
          </cell>
          <cell r="H904" t="str">
            <v xml:space="preserve"> - </v>
          </cell>
          <cell r="I904" t="str">
            <v xml:space="preserve"> - </v>
          </cell>
          <cell r="J904" t="str">
            <v xml:space="preserve"> - </v>
          </cell>
          <cell r="K904" t="str">
            <v xml:space="preserve"> - </v>
          </cell>
          <cell r="L904" t="str">
            <v xml:space="preserve"> - </v>
          </cell>
          <cell r="M904" t="str">
            <v xml:space="preserve"> - </v>
          </cell>
          <cell r="N904" t="str">
            <v xml:space="preserve"> - </v>
          </cell>
          <cell r="O904" t="str">
            <v xml:space="preserve"> - </v>
          </cell>
        </row>
        <row r="905">
          <cell r="D905" t="str">
            <v xml:space="preserve"> - </v>
          </cell>
          <cell r="E905" t="str">
            <v xml:space="preserve"> - </v>
          </cell>
          <cell r="F905" t="str">
            <v xml:space="preserve"> - </v>
          </cell>
          <cell r="G905" t="str">
            <v xml:space="preserve"> - </v>
          </cell>
          <cell r="H905" t="str">
            <v xml:space="preserve"> - </v>
          </cell>
          <cell r="I905" t="str">
            <v xml:space="preserve"> - </v>
          </cell>
          <cell r="J905" t="str">
            <v xml:space="preserve"> - </v>
          </cell>
          <cell r="K905" t="str">
            <v xml:space="preserve"> - </v>
          </cell>
          <cell r="L905" t="str">
            <v xml:space="preserve"> - </v>
          </cell>
          <cell r="M905" t="str">
            <v xml:space="preserve"> - </v>
          </cell>
          <cell r="N905" t="str">
            <v xml:space="preserve"> - </v>
          </cell>
          <cell r="O905" t="str">
            <v xml:space="preserve"> - </v>
          </cell>
        </row>
        <row r="906">
          <cell r="D906" t="str">
            <v xml:space="preserve"> - </v>
          </cell>
          <cell r="E906" t="str">
            <v xml:space="preserve"> - </v>
          </cell>
          <cell r="F906" t="str">
            <v xml:space="preserve"> - </v>
          </cell>
          <cell r="G906" t="str">
            <v xml:space="preserve"> - </v>
          </cell>
          <cell r="H906" t="str">
            <v xml:space="preserve"> - </v>
          </cell>
          <cell r="I906" t="str">
            <v xml:space="preserve"> - </v>
          </cell>
          <cell r="J906" t="str">
            <v xml:space="preserve"> - </v>
          </cell>
          <cell r="K906" t="str">
            <v xml:space="preserve"> - </v>
          </cell>
          <cell r="L906" t="str">
            <v xml:space="preserve"> - </v>
          </cell>
          <cell r="M906" t="str">
            <v xml:space="preserve"> - </v>
          </cell>
          <cell r="N906" t="str">
            <v xml:space="preserve"> - </v>
          </cell>
          <cell r="O906" t="str">
            <v xml:space="preserve"> - </v>
          </cell>
        </row>
        <row r="907">
          <cell r="D907" t="str">
            <v xml:space="preserve"> - </v>
          </cell>
          <cell r="E907" t="str">
            <v xml:space="preserve"> - </v>
          </cell>
          <cell r="F907" t="str">
            <v xml:space="preserve"> - </v>
          </cell>
          <cell r="G907" t="str">
            <v xml:space="preserve"> - </v>
          </cell>
          <cell r="H907" t="str">
            <v xml:space="preserve"> - </v>
          </cell>
          <cell r="I907" t="str">
            <v xml:space="preserve"> - </v>
          </cell>
          <cell r="J907" t="str">
            <v xml:space="preserve"> - </v>
          </cell>
          <cell r="K907" t="str">
            <v xml:space="preserve"> - </v>
          </cell>
          <cell r="L907" t="str">
            <v xml:space="preserve"> - </v>
          </cell>
          <cell r="M907" t="str">
            <v xml:space="preserve"> - </v>
          </cell>
          <cell r="N907" t="str">
            <v xml:space="preserve"> - </v>
          </cell>
          <cell r="O907" t="str">
            <v xml:space="preserve"> - </v>
          </cell>
        </row>
        <row r="908">
          <cell r="D908" t="str">
            <v xml:space="preserve"> - </v>
          </cell>
          <cell r="E908" t="str">
            <v xml:space="preserve"> - </v>
          </cell>
          <cell r="F908" t="str">
            <v xml:space="preserve"> - </v>
          </cell>
          <cell r="G908" t="str">
            <v xml:space="preserve"> - </v>
          </cell>
          <cell r="H908" t="str">
            <v xml:space="preserve"> - </v>
          </cell>
          <cell r="I908" t="str">
            <v xml:space="preserve"> - </v>
          </cell>
          <cell r="J908" t="str">
            <v xml:space="preserve"> - </v>
          </cell>
          <cell r="K908" t="str">
            <v xml:space="preserve"> - </v>
          </cell>
          <cell r="L908" t="str">
            <v xml:space="preserve"> - </v>
          </cell>
          <cell r="M908" t="str">
            <v xml:space="preserve"> - </v>
          </cell>
          <cell r="N908" t="str">
            <v xml:space="preserve"> - </v>
          </cell>
          <cell r="O908" t="str">
            <v xml:space="preserve"> - </v>
          </cell>
        </row>
        <row r="909">
          <cell r="D909" t="str">
            <v xml:space="preserve"> - </v>
          </cell>
          <cell r="E909" t="str">
            <v xml:space="preserve"> - </v>
          </cell>
          <cell r="F909" t="str">
            <v xml:space="preserve"> - </v>
          </cell>
          <cell r="G909" t="str">
            <v xml:space="preserve"> - </v>
          </cell>
          <cell r="H909" t="str">
            <v xml:space="preserve"> - </v>
          </cell>
          <cell r="I909" t="str">
            <v xml:space="preserve"> - </v>
          </cell>
          <cell r="J909" t="str">
            <v xml:space="preserve"> - </v>
          </cell>
          <cell r="K909" t="str">
            <v xml:space="preserve"> - </v>
          </cell>
          <cell r="L909" t="str">
            <v xml:space="preserve"> - </v>
          </cell>
          <cell r="M909" t="str">
            <v xml:space="preserve"> - </v>
          </cell>
          <cell r="N909" t="str">
            <v xml:space="preserve"> - </v>
          </cell>
          <cell r="O909" t="str">
            <v xml:space="preserve"> - </v>
          </cell>
        </row>
        <row r="910">
          <cell r="D910" t="str">
            <v xml:space="preserve"> - </v>
          </cell>
          <cell r="E910" t="str">
            <v xml:space="preserve"> - </v>
          </cell>
          <cell r="F910" t="str">
            <v xml:space="preserve"> - </v>
          </cell>
          <cell r="G910" t="str">
            <v xml:space="preserve"> - </v>
          </cell>
          <cell r="H910" t="str">
            <v xml:space="preserve"> - </v>
          </cell>
          <cell r="I910" t="str">
            <v xml:space="preserve"> - </v>
          </cell>
          <cell r="J910" t="str">
            <v xml:space="preserve"> - </v>
          </cell>
          <cell r="K910" t="str">
            <v xml:space="preserve"> - </v>
          </cell>
          <cell r="L910" t="str">
            <v xml:space="preserve"> - </v>
          </cell>
          <cell r="M910" t="str">
            <v xml:space="preserve"> - </v>
          </cell>
          <cell r="N910" t="str">
            <v xml:space="preserve"> - </v>
          </cell>
          <cell r="O910" t="str">
            <v xml:space="preserve"> - </v>
          </cell>
        </row>
        <row r="911">
          <cell r="D911" t="str">
            <v xml:space="preserve"> - </v>
          </cell>
          <cell r="E911" t="str">
            <v xml:space="preserve"> - </v>
          </cell>
          <cell r="F911" t="str">
            <v xml:space="preserve"> - </v>
          </cell>
          <cell r="G911" t="str">
            <v xml:space="preserve"> - </v>
          </cell>
          <cell r="H911" t="str">
            <v xml:space="preserve"> - </v>
          </cell>
          <cell r="I911" t="str">
            <v xml:space="preserve"> - </v>
          </cell>
          <cell r="J911" t="str">
            <v xml:space="preserve"> - </v>
          </cell>
          <cell r="K911" t="str">
            <v xml:space="preserve"> - </v>
          </cell>
          <cell r="L911" t="str">
            <v xml:space="preserve"> - </v>
          </cell>
          <cell r="M911" t="str">
            <v xml:space="preserve"> - </v>
          </cell>
          <cell r="N911" t="str">
            <v xml:space="preserve"> - </v>
          </cell>
          <cell r="O911" t="str">
            <v xml:space="preserve"> - </v>
          </cell>
        </row>
        <row r="912">
          <cell r="D912" t="str">
            <v xml:space="preserve"> - </v>
          </cell>
          <cell r="E912" t="str">
            <v xml:space="preserve"> - </v>
          </cell>
          <cell r="F912" t="str">
            <v xml:space="preserve"> - </v>
          </cell>
          <cell r="G912" t="str">
            <v xml:space="preserve"> - </v>
          </cell>
          <cell r="H912" t="str">
            <v xml:space="preserve"> - </v>
          </cell>
          <cell r="I912" t="str">
            <v xml:space="preserve"> - </v>
          </cell>
          <cell r="J912" t="str">
            <v xml:space="preserve"> - </v>
          </cell>
          <cell r="K912" t="str">
            <v xml:space="preserve"> - </v>
          </cell>
          <cell r="L912" t="str">
            <v xml:space="preserve"> - </v>
          </cell>
          <cell r="M912" t="str">
            <v xml:space="preserve"> - </v>
          </cell>
          <cell r="N912" t="str">
            <v xml:space="preserve"> - </v>
          </cell>
          <cell r="O912" t="str">
            <v xml:space="preserve"> - </v>
          </cell>
        </row>
        <row r="913">
          <cell r="D913" t="str">
            <v xml:space="preserve"> - </v>
          </cell>
          <cell r="E913" t="str">
            <v xml:space="preserve"> - </v>
          </cell>
          <cell r="F913" t="str">
            <v xml:space="preserve"> - </v>
          </cell>
          <cell r="G913" t="str">
            <v xml:space="preserve"> - </v>
          </cell>
          <cell r="H913" t="str">
            <v xml:space="preserve"> - </v>
          </cell>
          <cell r="I913" t="str">
            <v xml:space="preserve"> - </v>
          </cell>
          <cell r="J913" t="str">
            <v xml:space="preserve"> - </v>
          </cell>
          <cell r="K913" t="str">
            <v xml:space="preserve"> - </v>
          </cell>
          <cell r="L913" t="str">
            <v xml:space="preserve"> - </v>
          </cell>
          <cell r="M913" t="str">
            <v xml:space="preserve"> - </v>
          </cell>
          <cell r="N913" t="str">
            <v xml:space="preserve"> - </v>
          </cell>
          <cell r="O913" t="str">
            <v xml:space="preserve"> - </v>
          </cell>
        </row>
        <row r="914">
          <cell r="D914" t="str">
            <v xml:space="preserve"> - </v>
          </cell>
          <cell r="E914" t="str">
            <v xml:space="preserve"> - </v>
          </cell>
          <cell r="F914" t="str">
            <v xml:space="preserve"> - </v>
          </cell>
          <cell r="G914" t="str">
            <v xml:space="preserve"> - </v>
          </cell>
          <cell r="H914" t="str">
            <v xml:space="preserve"> - </v>
          </cell>
          <cell r="I914" t="str">
            <v xml:space="preserve"> - </v>
          </cell>
          <cell r="J914" t="str">
            <v xml:space="preserve"> - </v>
          </cell>
          <cell r="K914" t="str">
            <v xml:space="preserve"> - </v>
          </cell>
          <cell r="L914" t="str">
            <v xml:space="preserve"> - </v>
          </cell>
          <cell r="M914" t="str">
            <v xml:space="preserve"> - </v>
          </cell>
          <cell r="N914" t="str">
            <v xml:space="preserve"> - </v>
          </cell>
          <cell r="O914" t="str">
            <v xml:space="preserve"> - </v>
          </cell>
        </row>
        <row r="915">
          <cell r="D915" t="str">
            <v xml:space="preserve"> - </v>
          </cell>
          <cell r="E915" t="str">
            <v xml:space="preserve"> - </v>
          </cell>
          <cell r="F915" t="str">
            <v xml:space="preserve"> - </v>
          </cell>
          <cell r="G915" t="str">
            <v xml:space="preserve"> - </v>
          </cell>
          <cell r="H915" t="str">
            <v xml:space="preserve"> - </v>
          </cell>
          <cell r="I915" t="str">
            <v xml:space="preserve"> - </v>
          </cell>
          <cell r="J915" t="str">
            <v xml:space="preserve"> - </v>
          </cell>
          <cell r="K915" t="str">
            <v xml:space="preserve"> - </v>
          </cell>
          <cell r="L915" t="str">
            <v xml:space="preserve"> - </v>
          </cell>
          <cell r="M915" t="str">
            <v xml:space="preserve"> - </v>
          </cell>
          <cell r="N915" t="str">
            <v xml:space="preserve"> - </v>
          </cell>
          <cell r="O915" t="str">
            <v xml:space="preserve"> - </v>
          </cell>
        </row>
        <row r="916">
          <cell r="D916" t="str">
            <v xml:space="preserve"> - </v>
          </cell>
          <cell r="E916" t="str">
            <v xml:space="preserve"> - </v>
          </cell>
          <cell r="F916" t="str">
            <v xml:space="preserve"> - </v>
          </cell>
          <cell r="G916" t="str">
            <v xml:space="preserve"> - </v>
          </cell>
          <cell r="H916" t="str">
            <v xml:space="preserve"> - </v>
          </cell>
          <cell r="I916" t="str">
            <v xml:space="preserve"> - </v>
          </cell>
          <cell r="J916" t="str">
            <v xml:space="preserve"> - </v>
          </cell>
          <cell r="K916" t="str">
            <v xml:space="preserve"> - </v>
          </cell>
          <cell r="L916" t="str">
            <v xml:space="preserve"> - </v>
          </cell>
          <cell r="M916" t="str">
            <v xml:space="preserve"> - </v>
          </cell>
          <cell r="N916" t="str">
            <v xml:space="preserve"> - </v>
          </cell>
          <cell r="O916" t="str">
            <v xml:space="preserve"> - </v>
          </cell>
        </row>
        <row r="917">
          <cell r="D917" t="str">
            <v xml:space="preserve"> - </v>
          </cell>
          <cell r="E917" t="str">
            <v xml:space="preserve"> - </v>
          </cell>
          <cell r="F917" t="str">
            <v xml:space="preserve"> - </v>
          </cell>
          <cell r="G917" t="str">
            <v xml:space="preserve"> - </v>
          </cell>
          <cell r="H917" t="str">
            <v xml:space="preserve"> - </v>
          </cell>
          <cell r="I917" t="str">
            <v xml:space="preserve"> - </v>
          </cell>
          <cell r="J917" t="str">
            <v xml:space="preserve"> - </v>
          </cell>
          <cell r="K917" t="str">
            <v xml:space="preserve"> - </v>
          </cell>
          <cell r="L917" t="str">
            <v xml:space="preserve"> - </v>
          </cell>
          <cell r="M917" t="str">
            <v xml:space="preserve"> - </v>
          </cell>
          <cell r="N917" t="str">
            <v xml:space="preserve"> - </v>
          </cell>
          <cell r="O917" t="str">
            <v xml:space="preserve"> - </v>
          </cell>
        </row>
        <row r="918">
          <cell r="D918" t="str">
            <v xml:space="preserve"> - </v>
          </cell>
          <cell r="E918" t="str">
            <v xml:space="preserve"> - </v>
          </cell>
          <cell r="F918" t="str">
            <v xml:space="preserve"> - </v>
          </cell>
          <cell r="G918" t="str">
            <v xml:space="preserve"> - </v>
          </cell>
          <cell r="H918" t="str">
            <v xml:space="preserve"> - </v>
          </cell>
          <cell r="I918" t="str">
            <v xml:space="preserve"> - </v>
          </cell>
          <cell r="J918" t="str">
            <v xml:space="preserve"> - </v>
          </cell>
          <cell r="K918" t="str">
            <v xml:space="preserve"> - </v>
          </cell>
          <cell r="L918" t="str">
            <v xml:space="preserve"> - </v>
          </cell>
          <cell r="M918" t="str">
            <v xml:space="preserve"> - </v>
          </cell>
          <cell r="N918" t="str">
            <v xml:space="preserve"> - </v>
          </cell>
          <cell r="O918" t="str">
            <v xml:space="preserve"> - </v>
          </cell>
        </row>
        <row r="919">
          <cell r="D919" t="str">
            <v xml:space="preserve"> - </v>
          </cell>
          <cell r="E919" t="str">
            <v xml:space="preserve"> - </v>
          </cell>
          <cell r="F919" t="str">
            <v xml:space="preserve"> - </v>
          </cell>
          <cell r="G919" t="str">
            <v xml:space="preserve"> - </v>
          </cell>
          <cell r="H919" t="str">
            <v xml:space="preserve"> - </v>
          </cell>
          <cell r="I919" t="str">
            <v xml:space="preserve"> - </v>
          </cell>
          <cell r="J919" t="str">
            <v xml:space="preserve"> - </v>
          </cell>
          <cell r="K919" t="str">
            <v xml:space="preserve"> - </v>
          </cell>
          <cell r="L919" t="str">
            <v xml:space="preserve"> - </v>
          </cell>
          <cell r="M919" t="str">
            <v xml:space="preserve"> - </v>
          </cell>
          <cell r="N919" t="str">
            <v xml:space="preserve"> - </v>
          </cell>
          <cell r="O919" t="str">
            <v xml:space="preserve"> - </v>
          </cell>
        </row>
        <row r="920">
          <cell r="D920" t="str">
            <v xml:space="preserve"> - </v>
          </cell>
          <cell r="E920" t="str">
            <v xml:space="preserve"> - </v>
          </cell>
          <cell r="F920" t="str">
            <v xml:space="preserve"> - </v>
          </cell>
          <cell r="G920" t="str">
            <v xml:space="preserve"> - </v>
          </cell>
          <cell r="H920" t="str">
            <v xml:space="preserve"> - </v>
          </cell>
          <cell r="I920" t="str">
            <v xml:space="preserve"> - </v>
          </cell>
          <cell r="J920" t="str">
            <v xml:space="preserve"> - </v>
          </cell>
          <cell r="K920" t="str">
            <v xml:space="preserve"> - </v>
          </cell>
          <cell r="L920" t="str">
            <v xml:space="preserve"> - </v>
          </cell>
          <cell r="M920" t="str">
            <v xml:space="preserve"> - </v>
          </cell>
          <cell r="N920" t="str">
            <v xml:space="preserve"> - </v>
          </cell>
          <cell r="O920" t="str">
            <v xml:space="preserve"> - </v>
          </cell>
        </row>
        <row r="921">
          <cell r="D921" t="str">
            <v xml:space="preserve"> - </v>
          </cell>
          <cell r="E921" t="str">
            <v xml:space="preserve"> - </v>
          </cell>
          <cell r="F921" t="str">
            <v xml:space="preserve"> - </v>
          </cell>
          <cell r="G921" t="str">
            <v xml:space="preserve"> - </v>
          </cell>
          <cell r="H921" t="str">
            <v xml:space="preserve"> - </v>
          </cell>
          <cell r="I921" t="str">
            <v xml:space="preserve"> - </v>
          </cell>
          <cell r="J921" t="str">
            <v xml:space="preserve"> - </v>
          </cell>
          <cell r="K921" t="str">
            <v xml:space="preserve"> - </v>
          </cell>
          <cell r="L921" t="str">
            <v xml:space="preserve"> - </v>
          </cell>
          <cell r="M921" t="str">
            <v xml:space="preserve"> - </v>
          </cell>
          <cell r="N921" t="str">
            <v xml:space="preserve"> - </v>
          </cell>
          <cell r="O921" t="str">
            <v xml:space="preserve"> - </v>
          </cell>
        </row>
        <row r="922">
          <cell r="D922" t="str">
            <v xml:space="preserve"> - </v>
          </cell>
          <cell r="E922" t="str">
            <v xml:space="preserve"> - </v>
          </cell>
          <cell r="F922" t="str">
            <v xml:space="preserve"> - </v>
          </cell>
          <cell r="G922" t="str">
            <v xml:space="preserve"> - </v>
          </cell>
          <cell r="H922" t="str">
            <v xml:space="preserve"> - </v>
          </cell>
          <cell r="I922" t="str">
            <v xml:space="preserve"> - </v>
          </cell>
          <cell r="J922" t="str">
            <v xml:space="preserve"> - </v>
          </cell>
          <cell r="K922" t="str">
            <v xml:space="preserve"> - </v>
          </cell>
          <cell r="L922" t="str">
            <v xml:space="preserve"> - </v>
          </cell>
          <cell r="M922" t="str">
            <v xml:space="preserve"> - </v>
          </cell>
          <cell r="N922" t="str">
            <v xml:space="preserve"> - </v>
          </cell>
          <cell r="O922" t="str">
            <v xml:space="preserve"> - </v>
          </cell>
        </row>
        <row r="923">
          <cell r="D923" t="str">
            <v xml:space="preserve"> - </v>
          </cell>
          <cell r="E923" t="str">
            <v xml:space="preserve"> - </v>
          </cell>
          <cell r="F923" t="str">
            <v xml:space="preserve"> - </v>
          </cell>
          <cell r="G923" t="str">
            <v xml:space="preserve"> - </v>
          </cell>
          <cell r="H923" t="str">
            <v xml:space="preserve"> - </v>
          </cell>
          <cell r="I923" t="str">
            <v xml:space="preserve"> - </v>
          </cell>
          <cell r="J923" t="str">
            <v xml:space="preserve"> - </v>
          </cell>
          <cell r="K923" t="str">
            <v xml:space="preserve"> - </v>
          </cell>
          <cell r="L923" t="str">
            <v xml:space="preserve"> - </v>
          </cell>
          <cell r="M923" t="str">
            <v xml:space="preserve"> - </v>
          </cell>
          <cell r="N923" t="str">
            <v xml:space="preserve"> - </v>
          </cell>
          <cell r="O923" t="str">
            <v xml:space="preserve"> -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2"/>
      <sheetName val="Time-Cost2"/>
      <sheetName val="Service2"/>
      <sheetName val="Service3"/>
      <sheetName val="Prime2"/>
      <sheetName val="Prime3"/>
      <sheetName val="Comp-Scatter"/>
      <sheetName val="Funding-Scatter"/>
      <sheetName val="Muturity vs cost growth"/>
      <sheetName val="Time-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29"/>
  <sheetViews>
    <sheetView tabSelected="1" zoomScaleNormal="100" workbookViewId="0"/>
  </sheetViews>
  <sheetFormatPr defaultRowHeight="12.75" x14ac:dyDescent="0.2"/>
  <cols>
    <col min="1" max="1" width="60.42578125" style="1" customWidth="1"/>
    <col min="2" max="2" width="12.7109375" style="1" bestFit="1" customWidth="1"/>
    <col min="3" max="3" width="12.7109375" style="1" customWidth="1"/>
    <col min="4" max="4" width="16" style="1" bestFit="1" customWidth="1"/>
    <col min="5" max="5" width="11.7109375" style="1" bestFit="1" customWidth="1"/>
    <col min="6" max="6" width="12.28515625" style="1" bestFit="1" customWidth="1"/>
    <col min="7" max="7" width="12.140625" style="1" customWidth="1"/>
    <col min="8" max="8" width="11.28515625" style="1" bestFit="1" customWidth="1"/>
    <col min="9" max="9" width="12.28515625" style="1" bestFit="1" customWidth="1"/>
    <col min="10" max="10" width="12.28515625" style="1" customWidth="1"/>
    <col min="11" max="11" width="15" style="1" customWidth="1"/>
    <col min="12" max="12" width="16.140625" style="1" bestFit="1" customWidth="1"/>
    <col min="13" max="13" width="18.28515625" style="1" bestFit="1" customWidth="1"/>
    <col min="14" max="14" width="17.42578125" style="1" bestFit="1" customWidth="1"/>
    <col min="15" max="15" width="12.85546875" style="1" bestFit="1" customWidth="1"/>
    <col min="16" max="16" width="14.85546875" style="1" bestFit="1" customWidth="1"/>
    <col min="17" max="17" width="23.28515625" style="1" bestFit="1" customWidth="1"/>
    <col min="18" max="18" width="11.85546875" style="1" bestFit="1" customWidth="1"/>
    <col min="19" max="19" width="13.42578125" style="1" customWidth="1"/>
    <col min="20" max="20" width="14" style="1" customWidth="1"/>
    <col min="21" max="21" width="10.7109375" style="1" bestFit="1" customWidth="1"/>
    <col min="22" max="16384" width="9.140625" style="1"/>
  </cols>
  <sheetData>
    <row r="1" spans="1:15" ht="57" x14ac:dyDescent="0.85">
      <c r="A1" s="11" t="s">
        <v>100</v>
      </c>
    </row>
    <row r="2" spans="1:15" ht="57" x14ac:dyDescent="0.85">
      <c r="A2" s="11"/>
      <c r="B2" s="1">
        <f>HLOOKUP(B3,[1]!LOOKUP_SARS_Unified2,2,FALSE)</f>
        <v>38</v>
      </c>
      <c r="D2" s="34" t="e">
        <f ca="1">SUM(D4:D88)</f>
        <v>#N/A</v>
      </c>
      <c r="E2" s="1">
        <f>HLOOKUP(E3,[1]!LOOKUP_SARS_Unified2,2,FALSE)</f>
        <v>31</v>
      </c>
    </row>
    <row r="3" spans="1:15" ht="51" x14ac:dyDescent="0.2">
      <c r="A3" s="9" t="s">
        <v>80</v>
      </c>
      <c r="B3" s="2" t="s">
        <v>169</v>
      </c>
      <c r="C3" s="2"/>
      <c r="D3" s="33" t="s">
        <v>99</v>
      </c>
      <c r="E3" s="17" t="s">
        <v>204</v>
      </c>
      <c r="F3" s="17"/>
      <c r="G3" s="17"/>
      <c r="H3" s="17"/>
    </row>
    <row r="4" spans="1:15" s="16" customFormat="1" ht="15" x14ac:dyDescent="0.25">
      <c r="A4" s="92" t="s">
        <v>0</v>
      </c>
      <c r="B4" s="3">
        <f ca="1">VLOOKUP($A4,[1]!LOOKUP_SARS_Unified2,B$2,FALSE)</f>
        <v>0.42399999999999999</v>
      </c>
      <c r="C4" s="3"/>
      <c r="D4" s="94">
        <f t="shared" ref="D4:D35" ca="1" si="0">B4*E4</f>
        <v>3071.1528683541505</v>
      </c>
      <c r="E4" s="93">
        <f ca="1">VLOOKUP($A4,[1]!LOOKUP_SARS_Unified2,E$2,FALSE)</f>
        <v>7243.285066872997</v>
      </c>
      <c r="F4" s="26" t="b">
        <f t="shared" ref="F4:F35" ca="1" si="1">B4&lt;=0.15</f>
        <v>0</v>
      </c>
      <c r="G4" s="31" t="b">
        <f t="shared" ref="G4:G35" ca="1" si="2">D4&lt;=1000</f>
        <v>0</v>
      </c>
      <c r="H4" s="26"/>
    </row>
    <row r="5" spans="1:15" s="16" customFormat="1" ht="15" x14ac:dyDescent="0.25">
      <c r="A5" s="92" t="s">
        <v>212</v>
      </c>
      <c r="B5" s="3">
        <f ca="1">VLOOKUP($A5,[1]!LOOKUP_SARS_Unified2,B$2,FALSE)</f>
        <v>-0.14899999999999999</v>
      </c>
      <c r="C5" s="3"/>
      <c r="D5" s="94">
        <f t="shared" ca="1" si="0"/>
        <v>-695.83847923477413</v>
      </c>
      <c r="E5" s="93">
        <f ca="1">VLOOKUP($A5,[1]!LOOKUP_SARS_Unified2,E$2,FALSE)</f>
        <v>4670.0569076159336</v>
      </c>
      <c r="F5" s="26" t="b">
        <f t="shared" ca="1" si="1"/>
        <v>1</v>
      </c>
      <c r="G5" s="31" t="b">
        <f t="shared" ca="1" si="2"/>
        <v>1</v>
      </c>
      <c r="H5" s="26"/>
    </row>
    <row r="6" spans="1:15" s="16" customFormat="1" ht="15" x14ac:dyDescent="0.25">
      <c r="A6" s="92" t="s">
        <v>25</v>
      </c>
      <c r="B6" s="3">
        <f ca="1">VLOOKUP($A6,[1]!LOOKUP_SARS_Unified2,B$2,FALSE)</f>
        <v>0.33600000000000002</v>
      </c>
      <c r="C6" s="3"/>
      <c r="D6" s="94">
        <f t="shared" ca="1" si="0"/>
        <v>2409.1906056860321</v>
      </c>
      <c r="E6" s="93">
        <f ca="1">VLOOKUP($A6,[1]!LOOKUP_SARS_Unified2,E$2,FALSE)</f>
        <v>7170.2101359703329</v>
      </c>
      <c r="F6" s="26" t="b">
        <f t="shared" ca="1" si="1"/>
        <v>0</v>
      </c>
      <c r="G6" s="31" t="b">
        <f t="shared" ca="1" si="2"/>
        <v>0</v>
      </c>
      <c r="H6" s="26"/>
      <c r="O6" s="92" t="s">
        <v>25</v>
      </c>
    </row>
    <row r="7" spans="1:15" s="16" customFormat="1" ht="15" x14ac:dyDescent="0.25">
      <c r="A7" s="92" t="s">
        <v>18</v>
      </c>
      <c r="B7" s="3">
        <f ca="1">VLOOKUP($A7,[1]!LOOKUP_SARS_Unified2,B$2,FALSE)</f>
        <v>7.8E-2</v>
      </c>
      <c r="C7" s="3"/>
      <c r="D7" s="94">
        <f t="shared" ca="1" si="0"/>
        <v>144.35524881946967</v>
      </c>
      <c r="E7" s="93">
        <f ca="1">VLOOKUP($A7,[1]!LOOKUP_SARS_Unified2,E$2,FALSE)</f>
        <v>1850.7083181983289</v>
      </c>
      <c r="F7" s="26" t="b">
        <f t="shared" ca="1" si="1"/>
        <v>1</v>
      </c>
      <c r="G7" s="31" t="b">
        <f t="shared" ca="1" si="2"/>
        <v>1</v>
      </c>
      <c r="H7" s="26"/>
      <c r="O7" s="92" t="s">
        <v>4</v>
      </c>
    </row>
    <row r="8" spans="1:15" s="16" customFormat="1" ht="15" x14ac:dyDescent="0.25">
      <c r="A8" s="92" t="s">
        <v>12</v>
      </c>
      <c r="B8" s="3">
        <f ca="1">VLOOKUP($A8,[1]!LOOKUP_SARS_Unified2,B$2,FALSE)</f>
        <v>0.187</v>
      </c>
      <c r="C8" s="3"/>
      <c r="D8" s="94">
        <f t="shared" ca="1" si="0"/>
        <v>620.06190283945637</v>
      </c>
      <c r="E8" s="93">
        <f ca="1">VLOOKUP($A8,[1]!LOOKUP_SARS_Unified2,E$2,FALSE)</f>
        <v>3315.8390526174135</v>
      </c>
      <c r="F8" s="26" t="b">
        <f t="shared" ca="1" si="1"/>
        <v>0</v>
      </c>
      <c r="G8" s="31" t="b">
        <f t="shared" ca="1" si="2"/>
        <v>1</v>
      </c>
      <c r="H8" s="26"/>
      <c r="O8" s="92" t="s">
        <v>65</v>
      </c>
    </row>
    <row r="9" spans="1:15" s="16" customFormat="1" ht="15" x14ac:dyDescent="0.25">
      <c r="A9" s="92" t="s">
        <v>174</v>
      </c>
      <c r="B9" s="3">
        <f ca="1">VLOOKUP($A9,[1]!LOOKUP_SARS_Unified2,B$2,FALSE)</f>
        <v>-0.191</v>
      </c>
      <c r="C9" s="3"/>
      <c r="D9" s="94">
        <f t="shared" ca="1" si="0"/>
        <v>-1554.4871499003461</v>
      </c>
      <c r="E9" s="93">
        <f ca="1">VLOOKUP($A9,[1]!LOOKUP_SARS_Unified2,E$2,FALSE)</f>
        <v>8138.6761774887236</v>
      </c>
      <c r="F9" s="26" t="b">
        <f t="shared" ca="1" si="1"/>
        <v>1</v>
      </c>
      <c r="G9" s="31" t="b">
        <f t="shared" ca="1" si="2"/>
        <v>1</v>
      </c>
      <c r="H9" s="26"/>
      <c r="O9" s="92" t="s">
        <v>69</v>
      </c>
    </row>
    <row r="10" spans="1:15" s="16" customFormat="1" ht="15" x14ac:dyDescent="0.25">
      <c r="A10" s="92" t="s">
        <v>9</v>
      </c>
      <c r="B10" s="3">
        <f ca="1">VLOOKUP($A10,[1]!LOOKUP_SARS_Unified2,B$2,FALSE)</f>
        <v>0.28300000000000003</v>
      </c>
      <c r="C10" s="3"/>
      <c r="D10" s="94">
        <f t="shared" ca="1" si="0"/>
        <v>5173.8097081596197</v>
      </c>
      <c r="E10" s="93">
        <f ca="1">VLOOKUP($A10,[1]!LOOKUP_SARS_Unified2,E$2,FALSE)</f>
        <v>18282.013103037523</v>
      </c>
      <c r="F10" s="26" t="b">
        <f t="shared" ca="1" si="1"/>
        <v>0</v>
      </c>
      <c r="G10" s="31" t="b">
        <f t="shared" ca="1" si="2"/>
        <v>0</v>
      </c>
      <c r="H10" s="26"/>
      <c r="O10" s="92" t="s">
        <v>64</v>
      </c>
    </row>
    <row r="11" spans="1:15" s="16" customFormat="1" ht="15" x14ac:dyDescent="0.25">
      <c r="A11" s="92" t="s">
        <v>213</v>
      </c>
      <c r="B11" s="3">
        <f ca="1">VLOOKUP($A11,[1]!LOOKUP_SARS_Unified2,B$2,FALSE)</f>
        <v>-0.60099999999999998</v>
      </c>
      <c r="C11" s="3"/>
      <c r="D11" s="94">
        <f t="shared" ca="1" si="0"/>
        <v>-2163.7236766891506</v>
      </c>
      <c r="E11" s="93">
        <f ca="1">VLOOKUP($A11,[1]!LOOKUP_SARS_Unified2,E$2,FALSE)</f>
        <v>3600.2057848405166</v>
      </c>
      <c r="F11" s="26" t="b">
        <f t="shared" ca="1" si="1"/>
        <v>1</v>
      </c>
      <c r="G11" s="31" t="b">
        <f t="shared" ca="1" si="2"/>
        <v>1</v>
      </c>
      <c r="H11" s="26"/>
      <c r="O11" s="92" t="s">
        <v>79</v>
      </c>
    </row>
    <row r="12" spans="1:15" s="16" customFormat="1" ht="15" x14ac:dyDescent="0.25">
      <c r="A12" s="92" t="s">
        <v>214</v>
      </c>
      <c r="B12" s="3">
        <f ca="1">VLOOKUP($A12,[1]!LOOKUP_SARS_Unified2,B$2,FALSE)</f>
        <v>2.7999999999999997E-2</v>
      </c>
      <c r="C12" s="3"/>
      <c r="D12" s="94">
        <f t="shared" ca="1" si="0"/>
        <v>62.309238406586744</v>
      </c>
      <c r="E12" s="93">
        <f ca="1">VLOOKUP($A12,[1]!LOOKUP_SARS_Unified2,E$2,FALSE)</f>
        <v>2225.3299430923839</v>
      </c>
      <c r="F12" s="26" t="b">
        <f t="shared" ca="1" si="1"/>
        <v>1</v>
      </c>
      <c r="G12" s="31" t="b">
        <f t="shared" ca="1" si="2"/>
        <v>1</v>
      </c>
      <c r="H12" s="26"/>
      <c r="O12" s="92" t="s">
        <v>59</v>
      </c>
    </row>
    <row r="13" spans="1:15" s="16" customFormat="1" ht="15" x14ac:dyDescent="0.25">
      <c r="A13" s="92" t="s">
        <v>175</v>
      </c>
      <c r="B13" s="3">
        <f ca="1">VLOOKUP($A13,[1]!LOOKUP_SARS_Unified2,B$2,FALSE)</f>
        <v>-1E-3</v>
      </c>
      <c r="C13" s="3"/>
      <c r="D13" s="94">
        <f t="shared" ca="1" si="0"/>
        <v>-0.55440254803246691</v>
      </c>
      <c r="E13" s="93">
        <f ca="1">VLOOKUP($A13,[1]!LOOKUP_SARS_Unified2,E$2,FALSE)</f>
        <v>554.40254803246694</v>
      </c>
      <c r="F13" s="26" t="b">
        <f t="shared" ca="1" si="1"/>
        <v>1</v>
      </c>
      <c r="G13" s="31" t="b">
        <f t="shared" ca="1" si="2"/>
        <v>1</v>
      </c>
      <c r="H13" s="26"/>
    </row>
    <row r="14" spans="1:15" s="16" customFormat="1" ht="15" x14ac:dyDescent="0.25">
      <c r="A14" s="92" t="s">
        <v>13</v>
      </c>
      <c r="B14" s="3">
        <f ca="1">VLOOKUP($A14,[1]!LOOKUP_SARS_Unified2,B$2,FALSE)</f>
        <v>1.8000000000000002E-2</v>
      </c>
      <c r="C14" s="3"/>
      <c r="D14" s="94">
        <f t="shared" ca="1" si="0"/>
        <v>60.930621140573919</v>
      </c>
      <c r="E14" s="93">
        <f ca="1">VLOOKUP($A14,[1]!LOOKUP_SARS_Unified2,E$2,FALSE)</f>
        <v>3385.0345078096616</v>
      </c>
      <c r="F14" s="26" t="b">
        <f t="shared" ca="1" si="1"/>
        <v>1</v>
      </c>
      <c r="G14" s="31" t="b">
        <f t="shared" ca="1" si="2"/>
        <v>1</v>
      </c>
      <c r="H14" s="26"/>
    </row>
    <row r="15" spans="1:15" s="16" customFormat="1" ht="15" x14ac:dyDescent="0.25">
      <c r="A15" s="92" t="s">
        <v>17</v>
      </c>
      <c r="B15" s="3">
        <f ca="1">VLOOKUP($A15,[1]!LOOKUP_SARS_Unified2,B$2,FALSE)</f>
        <v>-0.17699999999999999</v>
      </c>
      <c r="C15" s="3"/>
      <c r="D15" s="94">
        <f t="shared" ca="1" si="0"/>
        <v>-125.29981757699325</v>
      </c>
      <c r="E15" s="93">
        <f ca="1">VLOOKUP($A15,[1]!LOOKUP_SARS_Unified2,E$2,FALSE)</f>
        <v>707.90857388131781</v>
      </c>
      <c r="F15" s="26" t="b">
        <f t="shared" ca="1" si="1"/>
        <v>1</v>
      </c>
      <c r="G15" s="31" t="b">
        <f t="shared" ca="1" si="2"/>
        <v>1</v>
      </c>
      <c r="H15" s="26"/>
    </row>
    <row r="16" spans="1:15" s="16" customFormat="1" ht="15" x14ac:dyDescent="0.25">
      <c r="A16" s="92" t="s">
        <v>30</v>
      </c>
      <c r="B16" s="3">
        <f ca="1">VLOOKUP($A16,[1]!LOOKUP_SARS_Unified2,B$2,FALSE)</f>
        <v>-7.8E-2</v>
      </c>
      <c r="C16" s="3"/>
      <c r="D16" s="94">
        <f t="shared" ca="1" si="0"/>
        <v>-108.37197104793874</v>
      </c>
      <c r="E16" s="93">
        <f ca="1">VLOOKUP($A16,[1]!LOOKUP_SARS_Unified2,E$2,FALSE)</f>
        <v>1389.3842442043428</v>
      </c>
      <c r="F16" s="26" t="b">
        <f t="shared" ca="1" si="1"/>
        <v>1</v>
      </c>
      <c r="G16" s="31" t="b">
        <f t="shared" ca="1" si="2"/>
        <v>1</v>
      </c>
      <c r="H16" s="26"/>
    </row>
    <row r="17" spans="1:11" s="16" customFormat="1" ht="15" x14ac:dyDescent="0.25">
      <c r="A17" s="92" t="s">
        <v>176</v>
      </c>
      <c r="B17" s="3">
        <f ca="1">VLOOKUP($A17,[1]!LOOKUP_SARS_Unified2,B$2,FALSE)</f>
        <v>0.2</v>
      </c>
      <c r="C17" s="3"/>
      <c r="D17" s="94">
        <f t="shared" ca="1" si="0"/>
        <v>2564.6700933599077</v>
      </c>
      <c r="E17" s="93">
        <f ca="1">VLOOKUP($A17,[1]!LOOKUP_SARS_Unified2,E$2,FALSE)</f>
        <v>12823.350466799538</v>
      </c>
      <c r="F17" s="26" t="b">
        <f t="shared" ca="1" si="1"/>
        <v>0</v>
      </c>
      <c r="G17" s="31" t="b">
        <f t="shared" ca="1" si="2"/>
        <v>0</v>
      </c>
      <c r="H17" s="26"/>
    </row>
    <row r="18" spans="1:11" s="16" customFormat="1" ht="15" x14ac:dyDescent="0.25">
      <c r="A18" s="92" t="s">
        <v>28</v>
      </c>
      <c r="B18" s="3">
        <f ca="1">VLOOKUP($A18,[1]!LOOKUP_SARS_Unified2,B$2,FALSE)</f>
        <v>-9.8000000000000004E-2</v>
      </c>
      <c r="C18" s="3"/>
      <c r="D18" s="94">
        <f t="shared" ca="1" si="0"/>
        <v>-597.10222952840854</v>
      </c>
      <c r="E18" s="93">
        <f ca="1">VLOOKUP($A18,[1]!LOOKUP_SARS_Unified2,E$2,FALSE)</f>
        <v>6092.8798931470255</v>
      </c>
      <c r="F18" s="26" t="b">
        <f t="shared" ca="1" si="1"/>
        <v>1</v>
      </c>
      <c r="G18" s="31" t="b">
        <f t="shared" ca="1" si="2"/>
        <v>1</v>
      </c>
      <c r="H18" s="26"/>
    </row>
    <row r="19" spans="1:11" s="16" customFormat="1" ht="15" x14ac:dyDescent="0.25">
      <c r="A19" s="92" t="s">
        <v>19</v>
      </c>
      <c r="B19" s="3">
        <f ca="1">VLOOKUP($A19,[1]!LOOKUP_SARS_Unified2,B$2,FALSE)</f>
        <v>0.318</v>
      </c>
      <c r="C19" s="3"/>
      <c r="D19" s="94">
        <f t="shared" ca="1" si="0"/>
        <v>318.43579553241062</v>
      </c>
      <c r="E19" s="93">
        <f ca="1">VLOOKUP($A19,[1]!LOOKUP_SARS_Unified2,E$2,FALSE)</f>
        <v>1001.3704262025491</v>
      </c>
      <c r="F19" s="26" t="b">
        <f t="shared" ca="1" si="1"/>
        <v>0</v>
      </c>
      <c r="G19" s="31" t="b">
        <f t="shared" ca="1" si="2"/>
        <v>1</v>
      </c>
      <c r="H19" s="26"/>
    </row>
    <row r="20" spans="1:11" s="16" customFormat="1" ht="15" x14ac:dyDescent="0.25">
      <c r="A20" s="92" t="s">
        <v>24</v>
      </c>
      <c r="B20" s="3">
        <f ca="1">VLOOKUP($A20,[1]!LOOKUP_SARS_Unified2,B$2,FALSE)</f>
        <v>0.47</v>
      </c>
      <c r="C20" s="3"/>
      <c r="D20" s="94">
        <f t="shared" ca="1" si="0"/>
        <v>26569.717692202274</v>
      </c>
      <c r="E20" s="93">
        <f ca="1">VLOOKUP($A20,[1]!LOOKUP_SARS_Unified2,E$2,FALSE)</f>
        <v>56531.314238728242</v>
      </c>
      <c r="F20" s="26" t="b">
        <f t="shared" ca="1" si="1"/>
        <v>0</v>
      </c>
      <c r="G20" s="31" t="b">
        <f t="shared" ca="1" si="2"/>
        <v>0</v>
      </c>
      <c r="H20" s="26"/>
    </row>
    <row r="21" spans="1:11" s="16" customFormat="1" ht="15" x14ac:dyDescent="0.25">
      <c r="A21" s="92" t="s">
        <v>27</v>
      </c>
      <c r="B21" s="3">
        <f ca="1">VLOOKUP($A21,[1]!LOOKUP_SARS_Unified2,B$2,FALSE)</f>
        <v>-1.9E-2</v>
      </c>
      <c r="C21" s="3"/>
      <c r="D21" s="94">
        <f t="shared" ca="1" si="0"/>
        <v>-142.43721808454842</v>
      </c>
      <c r="E21" s="93">
        <f ca="1">VLOOKUP($A21,[1]!LOOKUP_SARS_Unified2,E$2,FALSE)</f>
        <v>7496.695688660443</v>
      </c>
      <c r="F21" s="26" t="b">
        <f t="shared" ca="1" si="1"/>
        <v>1</v>
      </c>
      <c r="G21" s="31" t="b">
        <f t="shared" ca="1" si="2"/>
        <v>1</v>
      </c>
      <c r="H21" s="26"/>
    </row>
    <row r="22" spans="1:11" s="16" customFormat="1" ht="15" x14ac:dyDescent="0.25">
      <c r="A22" s="92" t="s">
        <v>31</v>
      </c>
      <c r="B22" s="3" t="e">
        <f>VLOOKUP($A22,[1]!LOOKUP_SARS_Unified2,B$2,FALSE)</f>
        <v>#N/A</v>
      </c>
      <c r="C22" s="3"/>
      <c r="D22" s="94" t="e">
        <f t="shared" si="0"/>
        <v>#N/A</v>
      </c>
      <c r="E22" s="93" t="e">
        <f>VLOOKUP($A22,[1]!LOOKUP_SARS_Unified2,E$2,FALSE)</f>
        <v>#N/A</v>
      </c>
      <c r="F22" s="26" t="e">
        <f t="shared" si="1"/>
        <v>#N/A</v>
      </c>
      <c r="G22" s="31" t="e">
        <f t="shared" si="2"/>
        <v>#N/A</v>
      </c>
      <c r="H22" s="26"/>
    </row>
    <row r="23" spans="1:11" s="16" customFormat="1" ht="15" x14ac:dyDescent="0.25">
      <c r="A23" s="92" t="s">
        <v>16</v>
      </c>
      <c r="B23" s="3">
        <f ca="1">VLOOKUP($A23,[1]!LOOKUP_SARS_Unified2,B$2,FALSE)</f>
        <v>0.11699999999999999</v>
      </c>
      <c r="C23" s="3"/>
      <c r="D23" s="94">
        <f t="shared" ca="1" si="0"/>
        <v>596.32398022249686</v>
      </c>
      <c r="E23" s="93">
        <f ca="1">VLOOKUP($A23,[1]!LOOKUP_SARS_Unified2,E$2,FALSE)</f>
        <v>5096.7861557478363</v>
      </c>
      <c r="F23" s="26" t="b">
        <f t="shared" ca="1" si="1"/>
        <v>1</v>
      </c>
      <c r="G23" s="31" t="b">
        <f t="shared" ca="1" si="2"/>
        <v>1</v>
      </c>
      <c r="H23" s="26"/>
    </row>
    <row r="24" spans="1:11" s="16" customFormat="1" ht="15" x14ac:dyDescent="0.25">
      <c r="A24" s="92" t="s">
        <v>22</v>
      </c>
      <c r="B24" s="3">
        <f ca="1">VLOOKUP($A24,[1]!LOOKUP_SARS_Unified2,B$2,FALSE)</f>
        <v>0.13100000000000001</v>
      </c>
      <c r="C24" s="3"/>
      <c r="D24" s="94">
        <f t="shared" ca="1" si="0"/>
        <v>1589.7322510575052</v>
      </c>
      <c r="E24" s="93">
        <f ca="1">VLOOKUP($A24,[1]!LOOKUP_SARS_Unified2,E$2,FALSE)</f>
        <v>12135.36069509546</v>
      </c>
      <c r="F24" s="26" t="b">
        <f t="shared" ca="1" si="1"/>
        <v>1</v>
      </c>
      <c r="G24" s="31" t="b">
        <f t="shared" ca="1" si="2"/>
        <v>0</v>
      </c>
      <c r="H24" s="26"/>
    </row>
    <row r="25" spans="1:11" s="16" customFormat="1" ht="15" x14ac:dyDescent="0.25">
      <c r="A25" s="92" t="s">
        <v>23</v>
      </c>
      <c r="B25" s="3">
        <f ca="1">VLOOKUP($A25,[1]!LOOKUP_SARS_Unified2,B$2,FALSE)</f>
        <v>0.17699999999999999</v>
      </c>
      <c r="C25" s="3"/>
      <c r="D25" s="94">
        <f t="shared" ca="1" si="0"/>
        <v>2930.9376588924506</v>
      </c>
      <c r="E25" s="93">
        <f ca="1">VLOOKUP($A25,[1]!LOOKUP_SARS_Unified2,E$2,FALSE)</f>
        <v>16558.969824251133</v>
      </c>
      <c r="F25" s="26" t="b">
        <f t="shared" ca="1" si="1"/>
        <v>0</v>
      </c>
      <c r="G25" s="31" t="b">
        <f t="shared" ca="1" si="2"/>
        <v>0</v>
      </c>
      <c r="H25" s="26"/>
    </row>
    <row r="26" spans="1:11" s="16" customFormat="1" ht="15" x14ac:dyDescent="0.25">
      <c r="A26" s="104" t="s">
        <v>47</v>
      </c>
      <c r="B26" s="3">
        <f ca="1">VLOOKUP($A26,[1]!LOOKUP_SARS_Unified2,B$2,FALSE)</f>
        <v>2.8439999999999999</v>
      </c>
      <c r="C26" s="106"/>
      <c r="D26" s="108">
        <f t="shared" ca="1" si="0"/>
        <v>7486.4414478353447</v>
      </c>
      <c r="E26" s="93">
        <f ca="1">VLOOKUP($A26,[1]!LOOKUP_SARS_Unified2,E$2,FALSE)</f>
        <v>2632.36337828247</v>
      </c>
      <c r="F26" s="109" t="b">
        <f t="shared" ca="1" si="1"/>
        <v>0</v>
      </c>
      <c r="G26" s="110" t="b">
        <f t="shared" ca="1" si="2"/>
        <v>0</v>
      </c>
      <c r="H26" s="26"/>
      <c r="I26" s="1"/>
      <c r="J26" s="1" t="s">
        <v>237</v>
      </c>
      <c r="K26" s="1" t="s">
        <v>238</v>
      </c>
    </row>
    <row r="27" spans="1:11" s="16" customFormat="1" ht="15" x14ac:dyDescent="0.25">
      <c r="A27" s="92" t="s">
        <v>55</v>
      </c>
      <c r="B27" s="3">
        <f ca="1">VLOOKUP($A27,[1]!LOOKUP_SARS_Unified2,B$2,FALSE)</f>
        <v>0.80200000000000005</v>
      </c>
      <c r="C27" s="3"/>
      <c r="D27" s="94">
        <f t="shared" ca="1" si="0"/>
        <v>13172.59258202568</v>
      </c>
      <c r="E27" s="93">
        <f ca="1">VLOOKUP($A27,[1]!LOOKUP_SARS_Unified2,E$2,FALSE)</f>
        <v>16424.679029957206</v>
      </c>
      <c r="F27" s="26" t="b">
        <f t="shared" ca="1" si="1"/>
        <v>0</v>
      </c>
      <c r="G27" s="31" t="b">
        <f t="shared" ca="1" si="2"/>
        <v>0</v>
      </c>
      <c r="H27" s="26"/>
      <c r="I27" s="1" t="s">
        <v>239</v>
      </c>
      <c r="J27" s="19">
        <v>-0.25</v>
      </c>
      <c r="K27" s="1">
        <v>-2000</v>
      </c>
    </row>
    <row r="28" spans="1:11" s="16" customFormat="1" ht="15" x14ac:dyDescent="0.25">
      <c r="A28" s="92" t="s">
        <v>20</v>
      </c>
      <c r="B28" s="3">
        <f ca="1">VLOOKUP($A28,[1]!LOOKUP_SARS_Unified2,B$2,FALSE)</f>
        <v>0.11699999999999999</v>
      </c>
      <c r="C28" s="3"/>
      <c r="D28" s="94">
        <f t="shared" ca="1" si="0"/>
        <v>193.37086814384307</v>
      </c>
      <c r="E28" s="93">
        <f ca="1">VLOOKUP($A28,[1]!LOOKUP_SARS_Unified2,E$2,FALSE)</f>
        <v>1652.7424627678895</v>
      </c>
      <c r="F28" s="26" t="b">
        <f t="shared" ca="1" si="1"/>
        <v>1</v>
      </c>
      <c r="G28" s="31" t="b">
        <f t="shared" ca="1" si="2"/>
        <v>1</v>
      </c>
      <c r="H28" s="26"/>
      <c r="I28" s="1" t="s">
        <v>240</v>
      </c>
      <c r="J28" s="19">
        <v>0.5</v>
      </c>
      <c r="K28" s="1">
        <v>-2000</v>
      </c>
    </row>
    <row r="29" spans="1:11" s="16" customFormat="1" ht="15" x14ac:dyDescent="0.25">
      <c r="A29" s="92" t="s">
        <v>215</v>
      </c>
      <c r="B29" s="3">
        <f ca="1">VLOOKUP($A29,[1]!LOOKUP_SARS_Unified2,B$2,FALSE)</f>
        <v>0.151</v>
      </c>
      <c r="C29" s="3"/>
      <c r="D29" s="94">
        <f t="shared" ca="1" si="0"/>
        <v>7366.7066615226322</v>
      </c>
      <c r="E29" s="93">
        <f ca="1">VLOOKUP($A29,[1]!LOOKUP_SARS_Unified2,E$2,FALSE)</f>
        <v>48786.136831275711</v>
      </c>
      <c r="F29" s="26" t="b">
        <f t="shared" ca="1" si="1"/>
        <v>0</v>
      </c>
      <c r="G29" s="31" t="b">
        <f t="shared" ca="1" si="2"/>
        <v>0</v>
      </c>
      <c r="H29" s="26"/>
      <c r="I29" s="1" t="s">
        <v>241</v>
      </c>
      <c r="J29" s="19">
        <v>0.5</v>
      </c>
      <c r="K29" s="1">
        <v>10000</v>
      </c>
    </row>
    <row r="30" spans="1:11" s="16" customFormat="1" ht="15" x14ac:dyDescent="0.25">
      <c r="A30" s="92" t="s">
        <v>11</v>
      </c>
      <c r="B30" s="3">
        <f ca="1">VLOOKUP($A30,[1]!LOOKUP_SARS_Unified2,B$2,FALSE)</f>
        <v>-0.129</v>
      </c>
      <c r="C30" s="3"/>
      <c r="D30" s="94">
        <f t="shared" ca="1" si="0"/>
        <v>-4761.3873456790125</v>
      </c>
      <c r="E30" s="93">
        <f ca="1">VLOOKUP($A30,[1]!LOOKUP_SARS_Unified2,E$2,FALSE)</f>
        <v>36909.97942386831</v>
      </c>
      <c r="F30" s="26" t="b">
        <f t="shared" ca="1" si="1"/>
        <v>1</v>
      </c>
      <c r="G30" s="31" t="b">
        <f t="shared" ca="1" si="2"/>
        <v>1</v>
      </c>
      <c r="H30" s="26"/>
      <c r="I30" s="1" t="s">
        <v>242</v>
      </c>
      <c r="J30" s="19">
        <v>-0.25</v>
      </c>
      <c r="K30" s="1">
        <v>10000</v>
      </c>
    </row>
    <row r="31" spans="1:11" s="16" customFormat="1" ht="15" x14ac:dyDescent="0.25">
      <c r="A31" s="92" t="s">
        <v>32</v>
      </c>
      <c r="B31" s="3">
        <f ca="1">VLOOKUP($A31,[1]!LOOKUP_SARS_Unified2,B$2,FALSE)</f>
        <v>8.3000000000000004E-2</v>
      </c>
      <c r="C31" s="3"/>
      <c r="D31" s="94">
        <f t="shared" ca="1" si="0"/>
        <v>2993.5700240082319</v>
      </c>
      <c r="E31" s="93">
        <f ca="1">VLOOKUP($A31,[1]!LOOKUP_SARS_Unified2,E$2,FALSE)</f>
        <v>36067.108722990743</v>
      </c>
      <c r="F31" s="26" t="b">
        <f t="shared" ca="1" si="1"/>
        <v>1</v>
      </c>
      <c r="G31" s="31" t="b">
        <f t="shared" ca="1" si="2"/>
        <v>0</v>
      </c>
      <c r="H31" s="26"/>
      <c r="I31" s="1" t="s">
        <v>239</v>
      </c>
      <c r="J31" s="19">
        <v>-0.25</v>
      </c>
      <c r="K31" s="1">
        <v>-2000</v>
      </c>
    </row>
    <row r="32" spans="1:11" s="16" customFormat="1" ht="15" x14ac:dyDescent="0.25">
      <c r="A32" s="92" t="s">
        <v>51</v>
      </c>
      <c r="B32" s="3">
        <f ca="1">VLOOKUP($A32,[1]!LOOKUP_SARS_Unified2,B$2,FALSE)</f>
        <v>0.22399999999999998</v>
      </c>
      <c r="C32" s="3"/>
      <c r="D32" s="94">
        <f t="shared" ca="1" si="0"/>
        <v>6693.0363059569963</v>
      </c>
      <c r="E32" s="93">
        <f ca="1">VLOOKUP($A32,[1]!LOOKUP_SARS_Unified2,E$2,FALSE)</f>
        <v>29879.626365879452</v>
      </c>
      <c r="F32" s="26" t="b">
        <f t="shared" ca="1" si="1"/>
        <v>0</v>
      </c>
      <c r="G32" s="31" t="b">
        <f t="shared" ca="1" si="2"/>
        <v>0</v>
      </c>
      <c r="H32" s="26"/>
    </row>
    <row r="33" spans="1:8" s="16" customFormat="1" ht="15" x14ac:dyDescent="0.25">
      <c r="A33" s="92" t="s">
        <v>216</v>
      </c>
      <c r="B33" s="3">
        <f ca="1">VLOOKUP($A33,[1]!LOOKUP_SARS_Unified2,B$2,FALSE)</f>
        <v>-0.10300000000000001</v>
      </c>
      <c r="C33" s="3"/>
      <c r="D33" s="94">
        <f t="shared" ca="1" si="0"/>
        <v>-104.72421933683873</v>
      </c>
      <c r="E33" s="93">
        <f ca="1">VLOOKUP($A33,[1]!LOOKUP_SARS_Unified2,E$2,FALSE)</f>
        <v>1016.739993561541</v>
      </c>
      <c r="F33" s="26" t="b">
        <f t="shared" ca="1" si="1"/>
        <v>1</v>
      </c>
      <c r="G33" s="31" t="b">
        <f t="shared" ca="1" si="2"/>
        <v>1</v>
      </c>
      <c r="H33" s="26"/>
    </row>
    <row r="34" spans="1:8" s="16" customFormat="1" ht="15" x14ac:dyDescent="0.25">
      <c r="A34" s="92" t="s">
        <v>8</v>
      </c>
      <c r="B34" s="3">
        <f ca="1">VLOOKUP($A34,[1]!LOOKUP_SARS_Unified2,B$2,FALSE)</f>
        <v>7.0999999999999994E-2</v>
      </c>
      <c r="C34" s="3"/>
      <c r="D34" s="94">
        <f t="shared" ca="1" si="0"/>
        <v>1283.9240165631468</v>
      </c>
      <c r="E34" s="93">
        <f ca="1">VLOOKUP($A34,[1]!LOOKUP_SARS_Unified2,E$2,FALSE)</f>
        <v>18083.436853002069</v>
      </c>
      <c r="F34" s="26" t="b">
        <f t="shared" ca="1" si="1"/>
        <v>1</v>
      </c>
      <c r="G34" s="31" t="b">
        <f t="shared" ca="1" si="2"/>
        <v>0</v>
      </c>
      <c r="H34" s="26"/>
    </row>
    <row r="35" spans="1:8" s="16" customFormat="1" ht="15" x14ac:dyDescent="0.25">
      <c r="A35" t="s">
        <v>15</v>
      </c>
      <c r="B35" s="3">
        <f ca="1">VLOOKUP($A35,[1]!LOOKUP_SARS_Unified2,B$2,FALSE)</f>
        <v>2.7999999999999997E-2</v>
      </c>
      <c r="C35" s="3"/>
      <c r="D35" s="94">
        <f t="shared" ca="1" si="0"/>
        <v>248.92267736985008</v>
      </c>
      <c r="E35" s="93">
        <f ca="1">VLOOKUP($A35,[1]!LOOKUP_SARS_Unified2,E$2,FALSE)</f>
        <v>8890.095620351789</v>
      </c>
      <c r="F35" s="26" t="b">
        <f t="shared" ca="1" si="1"/>
        <v>1</v>
      </c>
      <c r="G35" s="31" t="b">
        <f t="shared" ca="1" si="2"/>
        <v>1</v>
      </c>
      <c r="H35" s="26"/>
    </row>
    <row r="36" spans="1:8" s="16" customFormat="1" ht="15" x14ac:dyDescent="0.25">
      <c r="A36" t="s">
        <v>26</v>
      </c>
      <c r="B36" s="3">
        <f ca="1">VLOOKUP($A36,[1]!LOOKUP_SARS_Unified2,B$2,FALSE)</f>
        <v>0.63400000000000001</v>
      </c>
      <c r="C36" s="3"/>
      <c r="D36" s="94">
        <f t="shared" ref="D36:D67" ca="1" si="3">B36*E36</f>
        <v>5778.1830668526682</v>
      </c>
      <c r="E36" s="93">
        <f ca="1">VLOOKUP($A36,[1]!LOOKUP_SARS_Unified2,E$2,FALSE)</f>
        <v>9113.8534177486872</v>
      </c>
      <c r="F36" s="26" t="b">
        <f t="shared" ref="F36:F67" ca="1" si="4">B36&lt;=0.15</f>
        <v>0</v>
      </c>
      <c r="G36" s="31" t="b">
        <f t="shared" ref="G36:G67" ca="1" si="5">D36&lt;=1000</f>
        <v>0</v>
      </c>
      <c r="H36" s="26"/>
    </row>
    <row r="37" spans="1:8" s="16" customFormat="1" ht="15" x14ac:dyDescent="0.25">
      <c r="A37" t="s">
        <v>180</v>
      </c>
      <c r="B37" s="3">
        <f ca="1">VLOOKUP($A37,[1]!LOOKUP_SARS_Unified2,B$2,FALSE)</f>
        <v>-0.183</v>
      </c>
      <c r="C37" s="3"/>
      <c r="D37" s="94">
        <f t="shared" ca="1" si="3"/>
        <v>-592.16942361039764</v>
      </c>
      <c r="E37" s="93">
        <f ca="1">VLOOKUP($A37,[1]!LOOKUP_SARS_Unified2,E$2,FALSE)</f>
        <v>3235.8984896743041</v>
      </c>
      <c r="F37" s="26" t="b">
        <f t="shared" ca="1" si="4"/>
        <v>1</v>
      </c>
      <c r="G37" s="31" t="b">
        <f t="shared" ca="1" si="5"/>
        <v>1</v>
      </c>
      <c r="H37" s="26"/>
    </row>
    <row r="38" spans="1:8" s="16" customFormat="1" ht="15" x14ac:dyDescent="0.25">
      <c r="A38" t="s">
        <v>178</v>
      </c>
      <c r="B38" s="3" t="str">
        <f ca="1">VLOOKUP($A38,[1]!LOOKUP_SARS_Unified2,B$2,FALSE)</f>
        <v/>
      </c>
      <c r="C38" s="3"/>
      <c r="D38" s="94" t="e">
        <f t="shared" ca="1" si="3"/>
        <v>#VALUE!</v>
      </c>
      <c r="E38" s="93" t="e">
        <f ca="1">VLOOKUP($A38,[1]!LOOKUP_SARS_Unified2,E$2,FALSE)</f>
        <v>#VALUE!</v>
      </c>
      <c r="F38" s="26" t="b">
        <f t="shared" ca="1" si="4"/>
        <v>0</v>
      </c>
      <c r="G38" s="31" t="e">
        <f t="shared" ca="1" si="5"/>
        <v>#VALUE!</v>
      </c>
      <c r="H38" s="26"/>
    </row>
    <row r="39" spans="1:8" s="16" customFormat="1" ht="15" x14ac:dyDescent="0.25">
      <c r="A39" t="s">
        <v>217</v>
      </c>
      <c r="B39" s="3">
        <f ca="1">VLOOKUP($A39,[1]!LOOKUP_SARS_Unified2,B$2,FALSE)</f>
        <v>3.6000000000000004E-2</v>
      </c>
      <c r="C39" s="3"/>
      <c r="D39" s="94">
        <f t="shared" ca="1" si="3"/>
        <v>51.145764262032699</v>
      </c>
      <c r="E39" s="93">
        <f ca="1">VLOOKUP($A39,[1]!LOOKUP_SARS_Unified2,E$2,FALSE)</f>
        <v>1420.7156739453526</v>
      </c>
      <c r="F39" s="26" t="b">
        <f t="shared" ca="1" si="4"/>
        <v>1</v>
      </c>
      <c r="G39" s="31" t="b">
        <f t="shared" ca="1" si="5"/>
        <v>1</v>
      </c>
      <c r="H39" s="26"/>
    </row>
    <row r="40" spans="1:8" s="16" customFormat="1" ht="15" x14ac:dyDescent="0.25">
      <c r="A40" t="s">
        <v>29</v>
      </c>
      <c r="B40" s="3">
        <f ca="1">VLOOKUP($A40,[1]!LOOKUP_SARS_Unified2,B$2,FALSE)</f>
        <v>-1.6E-2</v>
      </c>
      <c r="C40" s="3"/>
      <c r="D40" s="94">
        <f t="shared" ca="1" si="3"/>
        <v>-28.408198304539113</v>
      </c>
      <c r="E40" s="93">
        <f ca="1">VLOOKUP($A40,[1]!LOOKUP_SARS_Unified2,E$2,FALSE)</f>
        <v>1775.5123940336946</v>
      </c>
      <c r="F40" s="26" t="b">
        <f t="shared" ca="1" si="4"/>
        <v>1</v>
      </c>
      <c r="G40" s="31" t="b">
        <f t="shared" ca="1" si="5"/>
        <v>1</v>
      </c>
      <c r="H40" s="26"/>
    </row>
    <row r="41" spans="1:8" s="16" customFormat="1" ht="15" x14ac:dyDescent="0.25">
      <c r="A41" t="s">
        <v>48</v>
      </c>
      <c r="B41" s="3">
        <f ca="1">VLOOKUP($A41,[1]!LOOKUP_SARS_Unified2,B$2,FALSE)</f>
        <v>5.0999999999999997E-2</v>
      </c>
      <c r="C41" s="3"/>
      <c r="D41" s="94">
        <f t="shared" ca="1" si="3"/>
        <v>2550.3082561728388</v>
      </c>
      <c r="E41" s="93">
        <f ca="1">VLOOKUP($A41,[1]!LOOKUP_SARS_Unified2,E$2,FALSE)</f>
        <v>50006.04423868312</v>
      </c>
      <c r="F41" s="26" t="b">
        <f t="shared" ca="1" si="4"/>
        <v>1</v>
      </c>
      <c r="G41" s="31" t="b">
        <f t="shared" ca="1" si="5"/>
        <v>0</v>
      </c>
      <c r="H41" s="26"/>
    </row>
    <row r="42" spans="1:8" s="16" customFormat="1" ht="15" x14ac:dyDescent="0.25">
      <c r="A42" t="s">
        <v>73</v>
      </c>
      <c r="B42" s="3" t="e">
        <f>VLOOKUP($A42,[1]!LOOKUP_SARS_Unified2,B$2,FALSE)</f>
        <v>#N/A</v>
      </c>
      <c r="C42" s="3"/>
      <c r="D42" s="94" t="e">
        <f t="shared" si="3"/>
        <v>#N/A</v>
      </c>
      <c r="E42" s="93" t="e">
        <f>VLOOKUP($A42,[1]!LOOKUP_SARS_Unified2,E$2,FALSE)</f>
        <v>#N/A</v>
      </c>
      <c r="F42" s="26" t="e">
        <f t="shared" si="4"/>
        <v>#N/A</v>
      </c>
      <c r="G42" s="31" t="e">
        <f t="shared" si="5"/>
        <v>#N/A</v>
      </c>
      <c r="H42" s="26"/>
    </row>
    <row r="43" spans="1:8" s="16" customFormat="1" ht="15" x14ac:dyDescent="0.25">
      <c r="A43" s="104" t="s">
        <v>10</v>
      </c>
      <c r="B43" s="3">
        <f ca="1">VLOOKUP($A43,[1]!LOOKUP_SARS_Unified2,B$2,FALSE)</f>
        <v>0.52800000000000002</v>
      </c>
      <c r="C43" s="106"/>
      <c r="D43" s="108">
        <f t="shared" ca="1" si="3"/>
        <v>115585.66131025959</v>
      </c>
      <c r="E43" s="93">
        <f ca="1">VLOOKUP($A43,[1]!LOOKUP_SARS_Unified2,E$2,FALSE)</f>
        <v>218912.23733003708</v>
      </c>
      <c r="F43" s="109" t="b">
        <f t="shared" ca="1" si="4"/>
        <v>0</v>
      </c>
      <c r="G43" s="110" t="b">
        <f t="shared" ca="1" si="5"/>
        <v>0</v>
      </c>
      <c r="H43" s="26"/>
    </row>
    <row r="44" spans="1:8" s="16" customFormat="1" ht="15" x14ac:dyDescent="0.25">
      <c r="A44" t="s">
        <v>1</v>
      </c>
      <c r="B44" s="3">
        <f ca="1">VLOOKUP($A44,[1]!LOOKUP_SARS_Unified2,B$2,FALSE)</f>
        <v>0.32299999999999995</v>
      </c>
      <c r="C44" s="3"/>
      <c r="D44" s="94">
        <f t="shared" ca="1" si="3"/>
        <v>1054.960321384425</v>
      </c>
      <c r="E44" s="93">
        <f ca="1">VLOOKUP($A44,[1]!LOOKUP_SARS_Unified2,E$2,FALSE)</f>
        <v>3266.1310259579727</v>
      </c>
      <c r="F44" s="26" t="b">
        <f t="shared" ca="1" si="4"/>
        <v>0</v>
      </c>
      <c r="G44" s="31" t="b">
        <f t="shared" ca="1" si="5"/>
        <v>0</v>
      </c>
      <c r="H44" s="26"/>
    </row>
    <row r="45" spans="1:8" s="16" customFormat="1" ht="15" x14ac:dyDescent="0.25">
      <c r="A45" t="s">
        <v>14</v>
      </c>
      <c r="B45" s="3">
        <f ca="1">VLOOKUP($A45,[1]!LOOKUP_SARS_Unified2,B$2,FALSE)</f>
        <v>0.20899999999999999</v>
      </c>
      <c r="C45" s="3"/>
      <c r="D45" s="94">
        <f t="shared" ca="1" si="3"/>
        <v>377.49982851263286</v>
      </c>
      <c r="E45" s="93">
        <f ca="1">VLOOKUP($A45,[1]!LOOKUP_SARS_Unified2,E$2,FALSE)</f>
        <v>1806.2192751800617</v>
      </c>
      <c r="F45" s="26" t="b">
        <f t="shared" ca="1" si="4"/>
        <v>0</v>
      </c>
      <c r="G45" s="31" t="b">
        <f t="shared" ca="1" si="5"/>
        <v>1</v>
      </c>
      <c r="H45" s="26"/>
    </row>
    <row r="46" spans="1:8" s="16" customFormat="1" ht="15" x14ac:dyDescent="0.25">
      <c r="A46" s="104" t="s">
        <v>218</v>
      </c>
      <c r="B46" s="3">
        <f ca="1">VLOOKUP($A46,[1]!LOOKUP_SARS_Unified2,B$2,FALSE)</f>
        <v>0.44500000000000001</v>
      </c>
      <c r="C46" s="106"/>
      <c r="D46" s="108">
        <f t="shared" ca="1" si="3"/>
        <v>41919.118537353184</v>
      </c>
      <c r="E46" s="93">
        <f ca="1">VLOOKUP($A46,[1]!LOOKUP_SARS_Unified2,E$2,FALSE)</f>
        <v>94200.266376074578</v>
      </c>
      <c r="F46" s="109" t="b">
        <f t="shared" ca="1" si="4"/>
        <v>0</v>
      </c>
      <c r="G46" s="110" t="b">
        <f t="shared" ca="1" si="5"/>
        <v>0</v>
      </c>
      <c r="H46" s="26"/>
    </row>
    <row r="47" spans="1:8" s="16" customFormat="1" ht="15" x14ac:dyDescent="0.25">
      <c r="A47" t="s">
        <v>7</v>
      </c>
      <c r="B47" s="3">
        <f ca="1">VLOOKUP($A47,[1]!LOOKUP_SARS_Unified2,B$2,FALSE)</f>
        <v>0.252</v>
      </c>
      <c r="C47" s="3"/>
      <c r="D47" s="94">
        <f t="shared" ca="1" si="3"/>
        <v>4004.0268603535706</v>
      </c>
      <c r="E47" s="93">
        <f ca="1">VLOOKUP($A47,[1]!LOOKUP_SARS_Unified2,E$2,FALSE)</f>
        <v>15888.995477593533</v>
      </c>
      <c r="F47" s="26" t="b">
        <f t="shared" ca="1" si="4"/>
        <v>0</v>
      </c>
      <c r="G47" s="31" t="b">
        <f t="shared" ca="1" si="5"/>
        <v>0</v>
      </c>
      <c r="H47" s="26"/>
    </row>
    <row r="48" spans="1:8" s="16" customFormat="1" ht="15" x14ac:dyDescent="0.25">
      <c r="A48" t="s">
        <v>54</v>
      </c>
      <c r="B48" s="3">
        <f ca="1">VLOOKUP($A48,[1]!LOOKUP_SARS_Unified2,B$2,FALSE)</f>
        <v>0.20100000000000001</v>
      </c>
      <c r="C48" s="3"/>
      <c r="D48" s="94">
        <f t="shared" ca="1" si="3"/>
        <v>122.09850625756965</v>
      </c>
      <c r="E48" s="93">
        <f ca="1">VLOOKUP($A48,[1]!LOOKUP_SARS_Unified2,E$2,FALSE)</f>
        <v>607.45525501278428</v>
      </c>
      <c r="F48" s="26" t="b">
        <f t="shared" ca="1" si="4"/>
        <v>0</v>
      </c>
      <c r="G48" s="31" t="b">
        <f t="shared" ca="1" si="5"/>
        <v>1</v>
      </c>
      <c r="H48" s="26"/>
    </row>
    <row r="49" spans="1:8" s="16" customFormat="1" ht="15" x14ac:dyDescent="0.25">
      <c r="A49" t="s">
        <v>53</v>
      </c>
      <c r="B49" s="3">
        <f ca="1">VLOOKUP($A49,[1]!LOOKUP_SARS_Unified2,B$2,FALSE)</f>
        <v>0.25800000000000001</v>
      </c>
      <c r="C49" s="3"/>
      <c r="D49" s="94">
        <f t="shared" ca="1" si="3"/>
        <v>3055.202324736651</v>
      </c>
      <c r="E49" s="93">
        <f ca="1">VLOOKUP($A49,[1]!LOOKUP_SARS_Unified2,E$2,FALSE)</f>
        <v>11841.869475723453</v>
      </c>
      <c r="F49" s="26" t="b">
        <f t="shared" ca="1" si="4"/>
        <v>0</v>
      </c>
      <c r="G49" s="31" t="b">
        <f t="shared" ca="1" si="5"/>
        <v>0</v>
      </c>
      <c r="H49" s="26"/>
    </row>
    <row r="50" spans="1:8" s="16" customFormat="1" ht="15" x14ac:dyDescent="0.25">
      <c r="A50" t="s">
        <v>4</v>
      </c>
      <c r="B50" s="3">
        <f ca="1">VLOOKUP($A50,[1]!LOOKUP_SARS_Unified2,B$2,FALSE)</f>
        <v>-3.2000000000000001E-2</v>
      </c>
      <c r="C50" s="3"/>
      <c r="D50" s="94">
        <f t="shared" ca="1" si="3"/>
        <v>-136.20959621904859</v>
      </c>
      <c r="E50" s="93">
        <f ca="1">VLOOKUP($A50,[1]!LOOKUP_SARS_Unified2,E$2,FALSE)</f>
        <v>4256.5498818452688</v>
      </c>
      <c r="F50" s="26" t="b">
        <f t="shared" ca="1" si="4"/>
        <v>1</v>
      </c>
      <c r="G50" s="31" t="b">
        <f t="shared" ca="1" si="5"/>
        <v>1</v>
      </c>
      <c r="H50" s="26"/>
    </row>
    <row r="51" spans="1:8" s="16" customFormat="1" ht="15" x14ac:dyDescent="0.25">
      <c r="A51" t="s">
        <v>39</v>
      </c>
      <c r="B51" s="3">
        <f ca="1">VLOOKUP($A51,[1]!LOOKUP_SARS_Unified2,B$2,FALSE)</f>
        <v>6.5000000000000002E-2</v>
      </c>
      <c r="C51" s="3"/>
      <c r="D51" s="94">
        <f t="shared" ca="1" si="3"/>
        <v>763.89489142977027</v>
      </c>
      <c r="E51" s="93">
        <f ca="1">VLOOKUP($A51,[1]!LOOKUP_SARS_Unified2,E$2,FALSE)</f>
        <v>11752.229098919543</v>
      </c>
      <c r="F51" s="26" t="b">
        <f t="shared" ca="1" si="4"/>
        <v>1</v>
      </c>
      <c r="G51" s="31" t="b">
        <f t="shared" ca="1" si="5"/>
        <v>1</v>
      </c>
      <c r="H51" s="26"/>
    </row>
    <row r="52" spans="1:8" s="16" customFormat="1" ht="15" x14ac:dyDescent="0.25">
      <c r="A52" t="s">
        <v>3</v>
      </c>
      <c r="B52" s="3">
        <f ca="1">VLOOKUP($A52,[1]!LOOKUP_SARS_Unified2,B$2,FALSE)</f>
        <v>-0.13</v>
      </c>
      <c r="C52" s="3"/>
      <c r="D52" s="94">
        <f t="shared" ca="1" si="3"/>
        <v>-584.22084998183789</v>
      </c>
      <c r="E52" s="93">
        <f ca="1">VLOOKUP($A52,[1]!LOOKUP_SARS_Unified2,E$2,FALSE)</f>
        <v>4494.0065383218298</v>
      </c>
      <c r="F52" s="26" t="b">
        <f t="shared" ca="1" si="4"/>
        <v>1</v>
      </c>
      <c r="G52" s="31" t="b">
        <f t="shared" ca="1" si="5"/>
        <v>1</v>
      </c>
      <c r="H52" s="26"/>
    </row>
    <row r="53" spans="1:8" s="16" customFormat="1" ht="15" x14ac:dyDescent="0.25">
      <c r="A53" t="s">
        <v>179</v>
      </c>
      <c r="B53" s="3">
        <f ca="1">VLOOKUP($A53,[1]!LOOKUP_SARS_Unified2,B$2,FALSE)</f>
        <v>-0.122</v>
      </c>
      <c r="C53" s="3"/>
      <c r="D53" s="94">
        <f t="shared" ca="1" si="3"/>
        <v>-613.35942028985517</v>
      </c>
      <c r="E53" s="93">
        <f ca="1">VLOOKUP($A53,[1]!LOOKUP_SARS_Unified2,E$2,FALSE)</f>
        <v>5027.5362318840589</v>
      </c>
      <c r="F53" s="26" t="b">
        <f t="shared" ca="1" si="4"/>
        <v>1</v>
      </c>
      <c r="G53" s="31" t="b">
        <f t="shared" ca="1" si="5"/>
        <v>1</v>
      </c>
      <c r="H53" s="26"/>
    </row>
    <row r="54" spans="1:8" s="16" customFormat="1" ht="15" x14ac:dyDescent="0.25">
      <c r="A54" t="s">
        <v>2</v>
      </c>
      <c r="B54" s="3" t="str">
        <f ca="1">VLOOKUP($A54,[1]!LOOKUP_SARS_Unified2,B$2,FALSE)</f>
        <v/>
      </c>
      <c r="C54" s="3"/>
      <c r="D54" s="94" t="e">
        <f t="shared" ca="1" si="3"/>
        <v>#VALUE!</v>
      </c>
      <c r="E54" s="93" t="e">
        <f ca="1">VLOOKUP($A54,[1]!LOOKUP_SARS_Unified2,E$2,FALSE)</f>
        <v>#VALUE!</v>
      </c>
      <c r="F54" s="26" t="b">
        <f t="shared" ca="1" si="4"/>
        <v>0</v>
      </c>
      <c r="G54" s="31" t="e">
        <f t="shared" ca="1" si="5"/>
        <v>#VALUE!</v>
      </c>
      <c r="H54" s="26"/>
    </row>
    <row r="55" spans="1:8" s="16" customFormat="1" ht="15" x14ac:dyDescent="0.25">
      <c r="A55" t="s">
        <v>61</v>
      </c>
      <c r="B55" s="3">
        <f ca="1">VLOOKUP($A55,[1]!LOOKUP_SARS_Unified2,B$2,FALSE)</f>
        <v>0.44600000000000001</v>
      </c>
      <c r="C55" s="3"/>
      <c r="D55" s="94">
        <f t="shared" ca="1" si="3"/>
        <v>2502.1852213996372</v>
      </c>
      <c r="E55" s="93">
        <f ca="1">VLOOKUP($A55,[1]!LOOKUP_SARS_Unified2,E$2,FALSE)</f>
        <v>5610.2807654700382</v>
      </c>
      <c r="F55" s="26" t="b">
        <f t="shared" ca="1" si="4"/>
        <v>0</v>
      </c>
      <c r="G55" s="31" t="b">
        <f t="shared" ca="1" si="5"/>
        <v>0</v>
      </c>
      <c r="H55" s="26"/>
    </row>
    <row r="56" spans="1:8" s="16" customFormat="1" ht="15" x14ac:dyDescent="0.25">
      <c r="A56" t="s">
        <v>5</v>
      </c>
      <c r="B56" s="3">
        <f ca="1">VLOOKUP($A56,[1]!LOOKUP_SARS_Unified2,B$2,FALSE)</f>
        <v>-0.12</v>
      </c>
      <c r="C56" s="3"/>
      <c r="D56" s="94">
        <f t="shared" ca="1" si="3"/>
        <v>-468.10172765318168</v>
      </c>
      <c r="E56" s="93">
        <f ca="1">VLOOKUP($A56,[1]!LOOKUP_SARS_Unified2,E$2,FALSE)</f>
        <v>3900.8477304431808</v>
      </c>
      <c r="F56" s="26" t="b">
        <f t="shared" ca="1" si="4"/>
        <v>1</v>
      </c>
      <c r="G56" s="31" t="b">
        <f t="shared" ca="1" si="5"/>
        <v>1</v>
      </c>
      <c r="H56" s="26"/>
    </row>
    <row r="57" spans="1:8" s="16" customFormat="1" ht="15" x14ac:dyDescent="0.25">
      <c r="A57" t="s">
        <v>219</v>
      </c>
      <c r="B57" s="3">
        <f ca="1">VLOOKUP($A57,[1]!LOOKUP_SARS_Unified2,B$2,FALSE)</f>
        <v>-0.70599999999999996</v>
      </c>
      <c r="C57" s="3"/>
      <c r="D57" s="94">
        <f t="shared" ca="1" si="3"/>
        <v>-5643.166096092551</v>
      </c>
      <c r="E57" s="93">
        <f ca="1">VLOOKUP($A57,[1]!LOOKUP_SARS_Unified2,E$2,FALSE)</f>
        <v>7993.1531106126786</v>
      </c>
      <c r="F57" s="26" t="b">
        <f t="shared" ca="1" si="4"/>
        <v>1</v>
      </c>
      <c r="G57" s="31" t="b">
        <f t="shared" ca="1" si="5"/>
        <v>1</v>
      </c>
      <c r="H57" s="26"/>
    </row>
    <row r="58" spans="1:8" s="16" customFormat="1" ht="15" x14ac:dyDescent="0.25">
      <c r="A58" t="s">
        <v>34</v>
      </c>
      <c r="B58" s="3">
        <f ca="1">VLOOKUP($A58,[1]!LOOKUP_SARS_Unified2,B$2,FALSE)</f>
        <v>0.27200000000000002</v>
      </c>
      <c r="C58" s="3"/>
      <c r="D58" s="94">
        <f t="shared" ca="1" si="3"/>
        <v>873.97904735298243</v>
      </c>
      <c r="E58" s="93">
        <f ca="1">VLOOKUP($A58,[1]!LOOKUP_SARS_Unified2,E$2,FALSE)</f>
        <v>3213.1582623271411</v>
      </c>
      <c r="F58" s="26" t="b">
        <f t="shared" ca="1" si="4"/>
        <v>0</v>
      </c>
      <c r="G58" s="31" t="b">
        <f t="shared" ca="1" si="5"/>
        <v>1</v>
      </c>
      <c r="H58" s="26"/>
    </row>
    <row r="59" spans="1:8" s="16" customFormat="1" ht="15" x14ac:dyDescent="0.25">
      <c r="A59" t="s">
        <v>181</v>
      </c>
      <c r="B59" s="3">
        <f ca="1">VLOOKUP($A59,[1]!LOOKUP_SARS_Unified2,B$2,FALSE)</f>
        <v>-7.4999999999999997E-2</v>
      </c>
      <c r="C59" s="3"/>
      <c r="D59" s="94">
        <f t="shared" ca="1" si="3"/>
        <v>-272.2123151159131</v>
      </c>
      <c r="E59" s="93">
        <f ca="1">VLOOKUP($A59,[1]!LOOKUP_SARS_Unified2,E$2,FALSE)</f>
        <v>3629.4975348788416</v>
      </c>
      <c r="F59" s="26" t="b">
        <f t="shared" ca="1" si="4"/>
        <v>1</v>
      </c>
      <c r="G59" s="31" t="b">
        <f t="shared" ca="1" si="5"/>
        <v>1</v>
      </c>
      <c r="H59" s="26"/>
    </row>
    <row r="60" spans="1:8" s="16" customFormat="1" ht="15" x14ac:dyDescent="0.25">
      <c r="A60" t="s">
        <v>78</v>
      </c>
      <c r="B60" s="3">
        <f ca="1">VLOOKUP($A60,[1]!LOOKUP_SARS_Unified2,B$2,FALSE)</f>
        <v>-0.222</v>
      </c>
      <c r="C60" s="3"/>
      <c r="D60" s="94">
        <f t="shared" ca="1" si="3"/>
        <v>-1484.7376243283411</v>
      </c>
      <c r="E60" s="93">
        <f ca="1">VLOOKUP($A60,[1]!LOOKUP_SARS_Unified2,E$2,FALSE)</f>
        <v>6688.0073167943292</v>
      </c>
      <c r="F60" s="26" t="b">
        <f t="shared" ca="1" si="4"/>
        <v>1</v>
      </c>
      <c r="G60" s="31" t="b">
        <f t="shared" ca="1" si="5"/>
        <v>1</v>
      </c>
      <c r="H60" s="26"/>
    </row>
    <row r="61" spans="1:8" s="16" customFormat="1" ht="15" x14ac:dyDescent="0.25">
      <c r="A61" t="s">
        <v>6</v>
      </c>
      <c r="B61" s="3">
        <f ca="1">VLOOKUP($A61,[1]!LOOKUP_SARS_Unified2,B$2,FALSE)</f>
        <v>0.26100000000000001</v>
      </c>
      <c r="C61" s="3"/>
      <c r="D61" s="94">
        <f t="shared" ca="1" si="3"/>
        <v>6026.9836357914619</v>
      </c>
      <c r="E61" s="93">
        <f ca="1">VLOOKUP($A61,[1]!LOOKUP_SARS_Unified2,E$2,FALSE)</f>
        <v>23091.8913248715</v>
      </c>
      <c r="F61" s="26" t="b">
        <f t="shared" ca="1" si="4"/>
        <v>0</v>
      </c>
      <c r="G61" s="31" t="b">
        <f t="shared" ca="1" si="5"/>
        <v>0</v>
      </c>
      <c r="H61" s="26"/>
    </row>
    <row r="62" spans="1:8" s="16" customFormat="1" ht="15" x14ac:dyDescent="0.25">
      <c r="A62" t="s">
        <v>182</v>
      </c>
      <c r="B62" s="3">
        <f ca="1">VLOOKUP($A62,[1]!LOOKUP_SARS_Unified2,B$2,FALSE)</f>
        <v>-2.6000000000000002E-2</v>
      </c>
      <c r="C62" s="3"/>
      <c r="D62" s="94">
        <f t="shared" ca="1" si="3"/>
        <v>-26.270009440889545</v>
      </c>
      <c r="E62" s="93">
        <f ca="1">VLOOKUP($A62,[1]!LOOKUP_SARS_Unified2,E$2,FALSE)</f>
        <v>1010.3849784957516</v>
      </c>
      <c r="F62" s="26" t="b">
        <f t="shared" ca="1" si="4"/>
        <v>1</v>
      </c>
      <c r="G62" s="31" t="b">
        <f t="shared" ca="1" si="5"/>
        <v>1</v>
      </c>
      <c r="H62" s="26"/>
    </row>
    <row r="63" spans="1:8" s="16" customFormat="1" ht="15" x14ac:dyDescent="0.25">
      <c r="A63" t="s">
        <v>21</v>
      </c>
      <c r="B63" s="3">
        <f ca="1">VLOOKUP($A63,[1]!LOOKUP_SARS_Unified2,B$2,FALSE)</f>
        <v>8.3000000000000004E-2</v>
      </c>
      <c r="C63" s="3"/>
      <c r="D63" s="94">
        <f t="shared" ca="1" si="3"/>
        <v>464.65636588380715</v>
      </c>
      <c r="E63" s="93">
        <f ca="1">VLOOKUP($A63,[1]!LOOKUP_SARS_Unified2,E$2,FALSE)</f>
        <v>5598.2694684796043</v>
      </c>
      <c r="F63" s="26" t="b">
        <f t="shared" ca="1" si="4"/>
        <v>1</v>
      </c>
      <c r="G63" s="31" t="b">
        <f t="shared" ca="1" si="5"/>
        <v>1</v>
      </c>
      <c r="H63" s="26"/>
    </row>
    <row r="64" spans="1:8" s="16" customFormat="1" ht="15" x14ac:dyDescent="0.25">
      <c r="A64" s="92" t="s">
        <v>220</v>
      </c>
      <c r="B64" s="3">
        <f ca="1">VLOOKUP($A64,[1]!LOOKUP_SARS_Unified2,B$2,FALSE)</f>
        <v>-0.27399999999999997</v>
      </c>
      <c r="C64" s="3"/>
      <c r="D64" s="94">
        <f t="shared" ca="1" si="3"/>
        <v>-441.20919713531839</v>
      </c>
      <c r="E64" s="93">
        <f ca="1">VLOOKUP($A64,[1]!LOOKUP_SARS_Unified2,E$2,FALSE)</f>
        <v>1610.2525442894835</v>
      </c>
      <c r="F64" s="26" t="b">
        <f t="shared" ca="1" si="4"/>
        <v>1</v>
      </c>
      <c r="G64" s="31" t="b">
        <f t="shared" ca="1" si="5"/>
        <v>1</v>
      </c>
      <c r="H64" s="26"/>
    </row>
    <row r="65" spans="1:8" s="16" customFormat="1" ht="15" x14ac:dyDescent="0.25">
      <c r="A65" t="s">
        <v>33</v>
      </c>
      <c r="B65" s="3">
        <f ca="1">VLOOKUP($A65,[1]!LOOKUP_SARS_Unified2,B$2,FALSE)</f>
        <v>-6.6000000000000003E-2</v>
      </c>
      <c r="C65" s="3"/>
      <c r="D65" s="94">
        <f t="shared" ca="1" si="3"/>
        <v>-580.1658474710639</v>
      </c>
      <c r="E65" s="93">
        <f ca="1">VLOOKUP($A65,[1]!LOOKUP_SARS_Unified2,E$2,FALSE)</f>
        <v>8790.3916283494527</v>
      </c>
      <c r="F65" s="26" t="b">
        <f t="shared" ca="1" si="4"/>
        <v>1</v>
      </c>
      <c r="G65" s="31" t="b">
        <f t="shared" ca="1" si="5"/>
        <v>1</v>
      </c>
      <c r="H65" s="26"/>
    </row>
    <row r="66" spans="1:8" s="16" customFormat="1" ht="15" x14ac:dyDescent="0.25">
      <c r="A66" t="s">
        <v>68</v>
      </c>
      <c r="B66" s="3">
        <f ca="1">VLOOKUP($A66,[1]!LOOKUP_SARS_Unified2,B$2,FALSE)</f>
        <v>-0.54</v>
      </c>
      <c r="C66" s="3"/>
      <c r="D66" s="94">
        <f t="shared" ca="1" si="3"/>
        <v>-9636.6971569839297</v>
      </c>
      <c r="E66" s="93">
        <f ca="1">VLOOKUP($A66,[1]!LOOKUP_SARS_Unified2,E$2,FALSE)</f>
        <v>17845.735475896166</v>
      </c>
      <c r="F66" s="26" t="b">
        <f t="shared" ca="1" si="4"/>
        <v>1</v>
      </c>
      <c r="G66" s="31" t="b">
        <f t="shared" ca="1" si="5"/>
        <v>1</v>
      </c>
      <c r="H66" s="26"/>
    </row>
    <row r="67" spans="1:8" s="16" customFormat="1" ht="15" x14ac:dyDescent="0.25">
      <c r="A67" t="s">
        <v>76</v>
      </c>
      <c r="B67" s="3">
        <f ca="1">VLOOKUP($A67,[1]!LOOKUP_SARS_Unified2,B$2,FALSE)</f>
        <v>-0.27600000000000002</v>
      </c>
      <c r="C67" s="3"/>
      <c r="D67" s="94">
        <f t="shared" ca="1" si="3"/>
        <v>-2767.3316435161723</v>
      </c>
      <c r="E67" s="93">
        <f ca="1">VLOOKUP($A67,[1]!LOOKUP_SARS_Unified2,E$2,FALSE)</f>
        <v>10026.563925783232</v>
      </c>
      <c r="F67" s="26" t="b">
        <f t="shared" ca="1" si="4"/>
        <v>1</v>
      </c>
      <c r="G67" s="31" t="b">
        <f t="shared" ca="1" si="5"/>
        <v>1</v>
      </c>
      <c r="H67" s="26"/>
    </row>
    <row r="68" spans="1:8" s="16" customFormat="1" ht="15" x14ac:dyDescent="0.25">
      <c r="A68" t="s">
        <v>70</v>
      </c>
      <c r="B68" s="3">
        <f ca="1">VLOOKUP($A68,[1]!LOOKUP_SARS_Unified2,B$2,FALSE)</f>
        <v>1.109</v>
      </c>
      <c r="C68" s="3"/>
      <c r="D68" s="94">
        <f t="shared" ref="D68:D88" ca="1" si="6">B68*E68</f>
        <v>1114.3462299134733</v>
      </c>
      <c r="E68" s="93">
        <f ca="1">VLOOKUP($A68,[1]!LOOKUP_SARS_Unified2,E$2,FALSE)</f>
        <v>1004.8207663782447</v>
      </c>
      <c r="F68" s="26" t="b">
        <f t="shared" ref="F68:F88" ca="1" si="7">B68&lt;=0.15</f>
        <v>0</v>
      </c>
      <c r="G68" s="31" t="b">
        <f t="shared" ref="G68:G88" ca="1" si="8">D68&lt;=1000</f>
        <v>0</v>
      </c>
      <c r="H68" s="26"/>
    </row>
    <row r="69" spans="1:8" s="16" customFormat="1" ht="15" x14ac:dyDescent="0.25">
      <c r="A69" t="s">
        <v>45</v>
      </c>
      <c r="B69" s="3">
        <f ca="1">VLOOKUP($A69,[1]!LOOKUP_SARS_Unified2,B$2,FALSE)</f>
        <v>0.13800000000000001</v>
      </c>
      <c r="C69" s="3"/>
      <c r="D69" s="94">
        <f t="shared" ca="1" si="6"/>
        <v>55.530053498374073</v>
      </c>
      <c r="E69" s="93">
        <f ca="1">VLOOKUP($A69,[1]!LOOKUP_SARS_Unified2,E$2,FALSE)</f>
        <v>402.39169201720341</v>
      </c>
      <c r="F69" s="26" t="b">
        <f t="shared" ca="1" si="7"/>
        <v>1</v>
      </c>
      <c r="G69" s="31" t="b">
        <f t="shared" ca="1" si="8"/>
        <v>1</v>
      </c>
      <c r="H69" s="26"/>
    </row>
    <row r="70" spans="1:8" s="16" customFormat="1" ht="15" x14ac:dyDescent="0.25">
      <c r="A70" t="s">
        <v>221</v>
      </c>
      <c r="B70" s="3">
        <f ca="1">VLOOKUP($A70,[1]!LOOKUP_SARS_Unified2,B$2,FALSE)</f>
        <v>-0.90400000000000003</v>
      </c>
      <c r="C70" s="3"/>
      <c r="D70" s="94">
        <f t="shared" ca="1" si="6"/>
        <v>-2683.3224361302823</v>
      </c>
      <c r="E70" s="93">
        <f ca="1">VLOOKUP($A70,[1]!LOOKUP_SARS_Unified2,E$2,FALSE)</f>
        <v>2968.2770311175686</v>
      </c>
      <c r="F70" s="26" t="b">
        <f t="shared" ca="1" si="7"/>
        <v>1</v>
      </c>
      <c r="G70" s="31" t="b">
        <f t="shared" ca="1" si="8"/>
        <v>1</v>
      </c>
      <c r="H70" s="26"/>
    </row>
    <row r="71" spans="1:8" s="16" customFormat="1" ht="15" x14ac:dyDescent="0.25">
      <c r="A71" t="s">
        <v>62</v>
      </c>
      <c r="B71" s="3">
        <f ca="1">VLOOKUP($A71,[1]!LOOKUP_SARS_Unified2,B$2,FALSE)</f>
        <v>-9.0000000000000011E-3</v>
      </c>
      <c r="C71" s="3"/>
      <c r="D71" s="94">
        <f t="shared" ca="1" si="6"/>
        <v>-28.624516414280983</v>
      </c>
      <c r="E71" s="93">
        <f ca="1">VLOOKUP($A71,[1]!LOOKUP_SARS_Unified2,E$2,FALSE)</f>
        <v>3180.5018238089979</v>
      </c>
      <c r="F71" s="26" t="b">
        <f t="shared" ca="1" si="7"/>
        <v>1</v>
      </c>
      <c r="G71" s="31" t="b">
        <f t="shared" ca="1" si="8"/>
        <v>1</v>
      </c>
      <c r="H71" s="26"/>
    </row>
    <row r="72" spans="1:8" s="16" customFormat="1" ht="15" x14ac:dyDescent="0.25">
      <c r="A72" t="s">
        <v>74</v>
      </c>
      <c r="B72" s="3" t="e">
        <f>VLOOKUP($A72,[1]!LOOKUP_SARS_Unified2,B$2,FALSE)</f>
        <v>#N/A</v>
      </c>
      <c r="C72" s="3"/>
      <c r="D72" s="94" t="e">
        <f t="shared" si="6"/>
        <v>#N/A</v>
      </c>
      <c r="E72" s="93" t="e">
        <f>VLOOKUP($A72,[1]!LOOKUP_SARS_Unified2,E$2,FALSE)</f>
        <v>#N/A</v>
      </c>
      <c r="F72" s="26" t="e">
        <f t="shared" si="7"/>
        <v>#N/A</v>
      </c>
      <c r="G72" s="31" t="e">
        <f t="shared" si="8"/>
        <v>#N/A</v>
      </c>
      <c r="H72" s="26"/>
    </row>
    <row r="73" spans="1:8" s="16" customFormat="1" ht="15" x14ac:dyDescent="0.25">
      <c r="A73" t="s">
        <v>37</v>
      </c>
      <c r="B73" s="3">
        <f ca="1">VLOOKUP($A73,[1]!LOOKUP_SARS_Unified2,B$2,FALSE)</f>
        <v>0.85499999999999998</v>
      </c>
      <c r="C73" s="3"/>
      <c r="D73" s="94">
        <f t="shared" ca="1" si="6"/>
        <v>10566.637659312046</v>
      </c>
      <c r="E73" s="93">
        <f ca="1">VLOOKUP($A73,[1]!LOOKUP_SARS_Unified2,E$2,FALSE)</f>
        <v>12358.640537207071</v>
      </c>
      <c r="F73" s="26" t="b">
        <f t="shared" ca="1" si="7"/>
        <v>0</v>
      </c>
      <c r="G73" s="31" t="b">
        <f t="shared" ca="1" si="8"/>
        <v>0</v>
      </c>
      <c r="H73" s="26"/>
    </row>
    <row r="74" spans="1:8" s="16" customFormat="1" ht="15" x14ac:dyDescent="0.25">
      <c r="A74" t="s">
        <v>58</v>
      </c>
      <c r="B74" s="3">
        <f ca="1">VLOOKUP($A74,[1]!LOOKUP_SARS_Unified2,B$2,FALSE)</f>
        <v>2.6000000000000002E-2</v>
      </c>
      <c r="C74" s="3"/>
      <c r="D74" s="94">
        <f t="shared" ca="1" si="6"/>
        <v>47.082789875096722</v>
      </c>
      <c r="E74" s="93">
        <f ca="1">VLOOKUP($A74,[1]!LOOKUP_SARS_Unified2,E$2,FALSE)</f>
        <v>1810.8765336575661</v>
      </c>
      <c r="F74" s="26" t="b">
        <f t="shared" ca="1" si="7"/>
        <v>1</v>
      </c>
      <c r="G74" s="31" t="b">
        <f t="shared" ca="1" si="8"/>
        <v>1</v>
      </c>
      <c r="H74" s="26"/>
    </row>
    <row r="75" spans="1:8" s="16" customFormat="1" ht="15" x14ac:dyDescent="0.25">
      <c r="A75" t="s">
        <v>41</v>
      </c>
      <c r="B75" s="3">
        <f ca="1">VLOOKUP($A75,[1]!LOOKUP_SARS_Unified2,B$2,FALSE)</f>
        <v>0.13500000000000001</v>
      </c>
      <c r="C75" s="3"/>
      <c r="D75" s="94">
        <f t="shared" ca="1" si="6"/>
        <v>1585.7687631258982</v>
      </c>
      <c r="E75" s="93">
        <f ca="1">VLOOKUP($A75,[1]!LOOKUP_SARS_Unified2,E$2,FALSE)</f>
        <v>11746.435282414061</v>
      </c>
      <c r="F75" s="26" t="b">
        <f t="shared" ca="1" si="7"/>
        <v>1</v>
      </c>
      <c r="G75" s="31" t="b">
        <f t="shared" ca="1" si="8"/>
        <v>0</v>
      </c>
      <c r="H75" s="26"/>
    </row>
    <row r="76" spans="1:8" s="16" customFormat="1" ht="15" x14ac:dyDescent="0.25">
      <c r="A76" t="s">
        <v>44</v>
      </c>
      <c r="B76" s="3">
        <f ca="1">VLOOKUP($A76,[1]!LOOKUP_SARS_Unified2,B$2,FALSE)</f>
        <v>0.13500000000000001</v>
      </c>
      <c r="C76" s="3"/>
      <c r="D76" s="94">
        <f t="shared" ca="1" si="6"/>
        <v>945.46644518272444</v>
      </c>
      <c r="E76" s="93">
        <f ca="1">VLOOKUP($A76,[1]!LOOKUP_SARS_Unified2,E$2,FALSE)</f>
        <v>7003.4551495016622</v>
      </c>
      <c r="F76" s="26" t="b">
        <f t="shared" ca="1" si="7"/>
        <v>1</v>
      </c>
      <c r="G76" s="31" t="b">
        <f t="shared" ca="1" si="8"/>
        <v>1</v>
      </c>
      <c r="H76" s="26"/>
    </row>
    <row r="77" spans="1:8" s="16" customFormat="1" ht="15" x14ac:dyDescent="0.25">
      <c r="A77" t="s">
        <v>183</v>
      </c>
      <c r="B77" s="3">
        <f ca="1">VLOOKUP($A77,[1]!LOOKUP_SARS_Unified2,B$2,FALSE)</f>
        <v>0.14699999999999999</v>
      </c>
      <c r="C77" s="3"/>
      <c r="D77" s="94">
        <f t="shared" ca="1" si="6"/>
        <v>324.7918634217217</v>
      </c>
      <c r="E77" s="93">
        <f ca="1">VLOOKUP($A77,[1]!LOOKUP_SARS_Unified2,E$2,FALSE)</f>
        <v>2209.468458651168</v>
      </c>
      <c r="F77" s="26" t="b">
        <f t="shared" ca="1" si="7"/>
        <v>1</v>
      </c>
      <c r="G77" s="31" t="b">
        <f t="shared" ca="1" si="8"/>
        <v>1</v>
      </c>
      <c r="H77" s="26"/>
    </row>
    <row r="78" spans="1:8" s="16" customFormat="1" ht="15" x14ac:dyDescent="0.25">
      <c r="A78" t="s">
        <v>66</v>
      </c>
      <c r="B78" s="3">
        <f ca="1">VLOOKUP($A78,[1]!LOOKUP_SARS_Unified2,B$2,FALSE)</f>
        <v>-20</v>
      </c>
      <c r="C78" s="3"/>
      <c r="D78" s="94">
        <f t="shared" ca="1" si="6"/>
        <v>-37276.234567901229</v>
      </c>
      <c r="E78" s="93">
        <f ca="1">VLOOKUP($A78,[1]!LOOKUP_SARS_Unified2,E$2,FALSE)</f>
        <v>1863.8117283950614</v>
      </c>
      <c r="F78" s="26" t="b">
        <f t="shared" ca="1" si="7"/>
        <v>1</v>
      </c>
      <c r="G78" s="31" t="b">
        <f t="shared" ca="1" si="8"/>
        <v>1</v>
      </c>
      <c r="H78" s="26"/>
    </row>
    <row r="79" spans="1:8" s="16" customFormat="1" ht="15" x14ac:dyDescent="0.25">
      <c r="A79" t="s">
        <v>65</v>
      </c>
      <c r="B79" s="3">
        <f ca="1">VLOOKUP($A79,[1]!LOOKUP_SARS_Unified2,B$2,FALSE)</f>
        <v>0.04</v>
      </c>
      <c r="C79" s="3"/>
      <c r="D79" s="94">
        <f t="shared" ca="1" si="6"/>
        <v>272.40703576909453</v>
      </c>
      <c r="E79" s="93">
        <f ca="1">VLOOKUP($A79,[1]!LOOKUP_SARS_Unified2,E$2,FALSE)</f>
        <v>6810.1758942273636</v>
      </c>
      <c r="F79" s="26" t="b">
        <f t="shared" ca="1" si="7"/>
        <v>1</v>
      </c>
      <c r="G79" s="31" t="b">
        <f t="shared" ca="1" si="8"/>
        <v>1</v>
      </c>
      <c r="H79" s="26"/>
    </row>
    <row r="80" spans="1:8" s="16" customFormat="1" ht="15" x14ac:dyDescent="0.25">
      <c r="A80" t="s">
        <v>46</v>
      </c>
      <c r="B80" s="3">
        <f ca="1">VLOOKUP($A80,[1]!LOOKUP_SARS_Unified2,B$2,FALSE)</f>
        <v>3.9E-2</v>
      </c>
      <c r="C80" s="3"/>
      <c r="D80" s="94">
        <f t="shared" ca="1" si="6"/>
        <v>61.226477649479818</v>
      </c>
      <c r="E80" s="93">
        <f ca="1">VLOOKUP($A80,[1]!LOOKUP_SARS_Unified2,E$2,FALSE)</f>
        <v>1569.9096833199953</v>
      </c>
      <c r="F80" s="26" t="b">
        <f t="shared" ca="1" si="7"/>
        <v>1</v>
      </c>
      <c r="G80" s="31" t="b">
        <f t="shared" ca="1" si="8"/>
        <v>1</v>
      </c>
      <c r="H80" s="26"/>
    </row>
    <row r="81" spans="1:8" s="16" customFormat="1" ht="15" x14ac:dyDescent="0.25">
      <c r="A81" t="s">
        <v>63</v>
      </c>
      <c r="B81" s="3">
        <f ca="1">VLOOKUP($A81,[1]!LOOKUP_SARS_Unified2,B$2,FALSE)</f>
        <v>0.23800000000000002</v>
      </c>
      <c r="C81" s="3"/>
      <c r="D81" s="94">
        <f t="shared" ca="1" si="6"/>
        <v>1779.3070987654319</v>
      </c>
      <c r="E81" s="93">
        <f ca="1">VLOOKUP($A81,[1]!LOOKUP_SARS_Unified2,E$2,FALSE)</f>
        <v>7476.0802469135788</v>
      </c>
      <c r="F81" s="26" t="b">
        <f t="shared" ca="1" si="7"/>
        <v>0</v>
      </c>
      <c r="G81" s="31" t="b">
        <f t="shared" ca="1" si="8"/>
        <v>0</v>
      </c>
      <c r="H81" s="26"/>
    </row>
    <row r="82" spans="1:8" s="16" customFormat="1" ht="15" x14ac:dyDescent="0.25">
      <c r="A82" t="s">
        <v>71</v>
      </c>
      <c r="B82" s="3">
        <f ca="1">VLOOKUP($A82,[1]!LOOKUP_SARS_Unified2,B$2,FALSE)</f>
        <v>4.9000000000000002E-2</v>
      </c>
      <c r="C82" s="3"/>
      <c r="D82" s="94">
        <f t="shared" ca="1" si="6"/>
        <v>91.937082818294201</v>
      </c>
      <c r="E82" s="93">
        <f ca="1">VLOOKUP($A82,[1]!LOOKUP_SARS_Unified2,E$2,FALSE)</f>
        <v>1876.2669962917182</v>
      </c>
      <c r="F82" s="26" t="b">
        <f t="shared" ca="1" si="7"/>
        <v>1</v>
      </c>
      <c r="G82" s="31" t="b">
        <f t="shared" ca="1" si="8"/>
        <v>1</v>
      </c>
      <c r="H82" s="26"/>
    </row>
    <row r="83" spans="1:8" s="16" customFormat="1" ht="15" x14ac:dyDescent="0.25">
      <c r="A83" t="s">
        <v>69</v>
      </c>
      <c r="B83" s="3">
        <f ca="1">VLOOKUP($A83,[1]!LOOKUP_SARS_Unified2,B$2,FALSE)</f>
        <v>2.7370000000000001</v>
      </c>
      <c r="C83" s="3"/>
      <c r="D83" s="94">
        <f t="shared" ca="1" si="6"/>
        <v>18736.101359703338</v>
      </c>
      <c r="E83" s="93">
        <f ca="1">VLOOKUP($A83,[1]!LOOKUP_SARS_Unified2,E$2,FALSE)</f>
        <v>6845.4882571075395</v>
      </c>
      <c r="F83" s="26" t="b">
        <f t="shared" ca="1" si="7"/>
        <v>0</v>
      </c>
      <c r="G83" s="31" t="b">
        <f t="shared" ca="1" si="8"/>
        <v>0</v>
      </c>
      <c r="H83" s="26"/>
    </row>
    <row r="84" spans="1:8" s="16" customFormat="1" ht="15" x14ac:dyDescent="0.25">
      <c r="A84" t="s">
        <v>72</v>
      </c>
      <c r="B84" s="3">
        <f ca="1">VLOOKUP($A84,[1]!LOOKUP_SARS_Unified2,B$2,FALSE)</f>
        <v>-1.6E-2</v>
      </c>
      <c r="C84" s="3"/>
      <c r="D84" s="94">
        <f t="shared" ca="1" si="6"/>
        <v>-531.73163464502215</v>
      </c>
      <c r="E84" s="93">
        <f ca="1">VLOOKUP($A84,[1]!LOOKUP_SARS_Unified2,E$2,FALSE)</f>
        <v>33233.227165313881</v>
      </c>
      <c r="F84" s="26" t="b">
        <f t="shared" ca="1" si="7"/>
        <v>1</v>
      </c>
      <c r="G84" s="31" t="b">
        <f t="shared" ca="1" si="8"/>
        <v>1</v>
      </c>
      <c r="H84" s="26"/>
    </row>
    <row r="85" spans="1:8" s="16" customFormat="1" ht="15" x14ac:dyDescent="0.25">
      <c r="A85" t="s">
        <v>38</v>
      </c>
      <c r="B85" s="3" t="e">
        <f>VLOOKUP($A85,[1]!LOOKUP_SARS_Unified2,B$2,FALSE)</f>
        <v>#N/A</v>
      </c>
      <c r="C85" s="3"/>
      <c r="D85" s="94" t="e">
        <f t="shared" si="6"/>
        <v>#N/A</v>
      </c>
      <c r="E85" s="93" t="e">
        <f>VLOOKUP($A85,[1]!LOOKUP_SARS_Unified2,E$2,FALSE)</f>
        <v>#N/A</v>
      </c>
      <c r="F85" s="26" t="e">
        <f t="shared" si="7"/>
        <v>#N/A</v>
      </c>
      <c r="G85" s="31" t="e">
        <f t="shared" si="8"/>
        <v>#N/A</v>
      </c>
      <c r="H85" s="26"/>
    </row>
    <row r="86" spans="1:8" s="16" customFormat="1" ht="15" x14ac:dyDescent="0.25">
      <c r="A86" t="s">
        <v>77</v>
      </c>
      <c r="B86" s="3">
        <f ca="1">VLOOKUP($A86,[1]!LOOKUP_SARS_Unified2,B$2,FALSE)</f>
        <v>-4.0999999999999995E-2</v>
      </c>
      <c r="C86" s="3"/>
      <c r="D86" s="94">
        <f t="shared" ca="1" si="6"/>
        <v>-1101.1774288749853</v>
      </c>
      <c r="E86" s="93">
        <f ca="1">VLOOKUP($A86,[1]!LOOKUP_SARS_Unified2,E$2,FALSE)</f>
        <v>26857.986070121595</v>
      </c>
      <c r="F86" s="26" t="b">
        <f t="shared" ca="1" si="7"/>
        <v>1</v>
      </c>
      <c r="G86" s="31" t="b">
        <f t="shared" ca="1" si="8"/>
        <v>1</v>
      </c>
      <c r="H86" s="26"/>
    </row>
    <row r="87" spans="1:8" s="16" customFormat="1" ht="15" x14ac:dyDescent="0.25">
      <c r="A87" t="s">
        <v>184</v>
      </c>
      <c r="B87" s="3" t="e">
        <f>VLOOKUP($A87,[1]!LOOKUP_SARS_Unified2,B$2,FALSE)</f>
        <v>#N/A</v>
      </c>
      <c r="C87" s="3"/>
      <c r="D87" s="94" t="e">
        <f t="shared" si="6"/>
        <v>#N/A</v>
      </c>
      <c r="E87" s="93" t="e">
        <f>VLOOKUP($A87,[1]!LOOKUP_SARS_Unified2,E$2,FALSE)</f>
        <v>#N/A</v>
      </c>
      <c r="F87" s="26" t="e">
        <f t="shared" si="7"/>
        <v>#N/A</v>
      </c>
      <c r="G87" s="31" t="e">
        <f t="shared" si="8"/>
        <v>#N/A</v>
      </c>
      <c r="H87" s="26"/>
    </row>
    <row r="88" spans="1:8" s="16" customFormat="1" ht="15" x14ac:dyDescent="0.25">
      <c r="A88" t="s">
        <v>177</v>
      </c>
      <c r="B88" s="3" t="e">
        <f>VLOOKUP($A88,[1]!LOOKUP_SARS_Unified2,B$2,FALSE)</f>
        <v>#N/A</v>
      </c>
      <c r="C88" s="3"/>
      <c r="D88" s="94" t="e">
        <f t="shared" si="6"/>
        <v>#N/A</v>
      </c>
      <c r="E88" s="93" t="e">
        <f>VLOOKUP($A88,[1]!LOOKUP_SARS_Unified2,E$2,FALSE)</f>
        <v>#N/A</v>
      </c>
      <c r="F88" s="26" t="e">
        <f t="shared" si="7"/>
        <v>#N/A</v>
      </c>
      <c r="G88" s="31" t="e">
        <f t="shared" si="8"/>
        <v>#N/A</v>
      </c>
      <c r="H88" s="26"/>
    </row>
    <row r="89" spans="1:8" ht="15.75" customHeight="1" x14ac:dyDescent="0.25">
      <c r="A89" t="s">
        <v>50</v>
      </c>
      <c r="B89" s="3">
        <f ca="1">VLOOKUP($A89,[1]!LOOKUP_SARS_Unified2,B$2,FALSE)</f>
        <v>-1.1000000000000001E-2</v>
      </c>
      <c r="C89" s="3"/>
      <c r="D89" s="94">
        <f t="shared" ref="D89:D95" ca="1" si="9">B89*E89</f>
        <v>-15.55830662097933</v>
      </c>
      <c r="E89" s="93">
        <f ca="1">VLOOKUP($A89,[1]!LOOKUP_SARS_Unified2,E$2,FALSE)</f>
        <v>1414.3915109981208</v>
      </c>
      <c r="F89" s="26" t="b">
        <f t="shared" ref="F89:F95" ca="1" si="10">B89&lt;=0.15</f>
        <v>1</v>
      </c>
      <c r="G89" s="31" t="b">
        <f t="shared" ref="G89:G95" ca="1" si="11">D89&lt;=1000</f>
        <v>1</v>
      </c>
    </row>
    <row r="90" spans="1:8" ht="15" x14ac:dyDescent="0.25">
      <c r="A90" t="s">
        <v>35</v>
      </c>
      <c r="B90" s="3" t="e">
        <f>VLOOKUP($A90,[1]!LOOKUP_SARS_Unified2,B$2,FALSE)</f>
        <v>#N/A</v>
      </c>
      <c r="C90" s="3"/>
      <c r="D90" s="94" t="e">
        <f t="shared" si="9"/>
        <v>#N/A</v>
      </c>
      <c r="E90" s="93" t="e">
        <f>VLOOKUP($A90,[1]!LOOKUP_SARS_Unified2,E$2,FALSE)</f>
        <v>#N/A</v>
      </c>
      <c r="F90" s="26" t="e">
        <f t="shared" si="10"/>
        <v>#N/A</v>
      </c>
      <c r="G90" s="31" t="e">
        <f t="shared" si="11"/>
        <v>#N/A</v>
      </c>
    </row>
    <row r="91" spans="1:8" ht="15" x14ac:dyDescent="0.25">
      <c r="A91" t="s">
        <v>64</v>
      </c>
      <c r="B91" s="3">
        <f ca="1">VLOOKUP($A91,[1]!LOOKUP_SARS_Unified2,B$2,FALSE)</f>
        <v>1.7519999999999998</v>
      </c>
      <c r="C91" s="3"/>
      <c r="D91" s="94">
        <f t="shared" ca="1" si="9"/>
        <v>9004.7269171672015</v>
      </c>
      <c r="E91" s="93">
        <f ca="1">VLOOKUP($A91,[1]!LOOKUP_SARS_Unified2,E$2,FALSE)</f>
        <v>5139.6843134515993</v>
      </c>
      <c r="F91" s="26" t="b">
        <f t="shared" ca="1" si="10"/>
        <v>0</v>
      </c>
      <c r="G91" s="31" t="b">
        <f t="shared" ca="1" si="11"/>
        <v>0</v>
      </c>
    </row>
    <row r="92" spans="1:8" ht="15" x14ac:dyDescent="0.25">
      <c r="A92" t="s">
        <v>79</v>
      </c>
      <c r="B92" s="3">
        <f ca="1">VLOOKUP($A92,[1]!LOOKUP_SARS_Unified2,B$2,FALSE)</f>
        <v>0.114</v>
      </c>
      <c r="C92" s="3"/>
      <c r="D92" s="94">
        <f t="shared" ca="1" si="9"/>
        <v>99.14905032728835</v>
      </c>
      <c r="E92" s="93">
        <f ca="1">VLOOKUP($A92,[1]!LOOKUP_SARS_Unified2,E$2,FALSE)</f>
        <v>869.72851164288022</v>
      </c>
      <c r="F92" s="26" t="b">
        <f t="shared" ca="1" si="10"/>
        <v>1</v>
      </c>
      <c r="G92" s="31" t="b">
        <f t="shared" ca="1" si="11"/>
        <v>1</v>
      </c>
    </row>
    <row r="93" spans="1:8" ht="15" x14ac:dyDescent="0.25">
      <c r="A93" t="s">
        <v>67</v>
      </c>
      <c r="B93" s="3">
        <f ca="1">VLOOKUP($A93,[1]!LOOKUP_SARS_Unified2,B$2,FALSE)</f>
        <v>-3.1E-2</v>
      </c>
      <c r="C93" s="3"/>
      <c r="D93" s="94">
        <f t="shared" ca="1" si="9"/>
        <v>-193.26419549049703</v>
      </c>
      <c r="E93" s="93">
        <f ca="1">VLOOKUP($A93,[1]!LOOKUP_SARS_Unified2,E$2,FALSE)</f>
        <v>6234.3288867902265</v>
      </c>
      <c r="F93" s="26" t="b">
        <f t="shared" ca="1" si="10"/>
        <v>1</v>
      </c>
      <c r="G93" s="31" t="b">
        <f t="shared" ca="1" si="11"/>
        <v>1</v>
      </c>
    </row>
    <row r="94" spans="1:8" ht="15" x14ac:dyDescent="0.25">
      <c r="A94" t="s">
        <v>75</v>
      </c>
      <c r="B94" s="3">
        <f ca="1">VLOOKUP($A94,[1]!LOOKUP_SARS_Unified2,B$2,FALSE)</f>
        <v>-3.4000000000000002E-2</v>
      </c>
      <c r="C94" s="3"/>
      <c r="D94" s="94">
        <f t="shared" ca="1" si="9"/>
        <v>-3056.3240676072078</v>
      </c>
      <c r="E94" s="93">
        <f ca="1">VLOOKUP($A94,[1]!LOOKUP_SARS_Unified2,E$2,FALSE)</f>
        <v>89891.884341388461</v>
      </c>
      <c r="F94" s="26" t="b">
        <f t="shared" ca="1" si="10"/>
        <v>1</v>
      </c>
      <c r="G94" s="31" t="b">
        <f t="shared" ca="1" si="11"/>
        <v>1</v>
      </c>
    </row>
    <row r="95" spans="1:8" ht="15" x14ac:dyDescent="0.25">
      <c r="A95" t="s">
        <v>40</v>
      </c>
      <c r="B95" s="3">
        <f ca="1">VLOOKUP($A95,[1]!LOOKUP_SARS_Unified2,B$2,FALSE)</f>
        <v>0.02</v>
      </c>
      <c r="C95" s="3"/>
      <c r="D95" s="94">
        <f t="shared" ca="1" si="9"/>
        <v>195.41730610317555</v>
      </c>
      <c r="E95" s="93">
        <f ca="1">VLOOKUP($A95,[1]!LOOKUP_SARS_Unified2,E$2,FALSE)</f>
        <v>9770.8653051587771</v>
      </c>
      <c r="F95" s="26" t="b">
        <f t="shared" ca="1" si="10"/>
        <v>1</v>
      </c>
      <c r="G95" s="31" t="b">
        <f t="shared" ca="1" si="11"/>
        <v>1</v>
      </c>
    </row>
    <row r="96" spans="1:8" ht="15" x14ac:dyDescent="0.25">
      <c r="A96" t="s">
        <v>42</v>
      </c>
      <c r="B96" s="3">
        <f ca="1">VLOOKUP($A96,[1]!LOOKUP_SARS_Unified2,B$2,FALSE)</f>
        <v>0.32</v>
      </c>
      <c r="C96" s="3"/>
      <c r="D96" s="94">
        <f t="shared" ref="D96:D107" ca="1" si="12">B96*E96</f>
        <v>1249.4898360655739</v>
      </c>
      <c r="E96" s="93">
        <f ca="1">VLOOKUP($A96,[1]!LOOKUP_SARS_Unified2,E$2,FALSE)</f>
        <v>3904.6557377049185</v>
      </c>
      <c r="F96" s="26" t="b">
        <f t="shared" ref="F96:F107" ca="1" si="13">B96&lt;=0.15</f>
        <v>0</v>
      </c>
      <c r="G96" s="31" t="b">
        <f t="shared" ref="G96:G107" ca="1" si="14">D96&lt;=1000</f>
        <v>0</v>
      </c>
    </row>
    <row r="97" spans="1:7" ht="15" x14ac:dyDescent="0.25">
      <c r="A97" t="s">
        <v>52</v>
      </c>
      <c r="B97" s="3">
        <f ca="1">VLOOKUP($A97,[1]!LOOKUP_SARS_Unified2,B$2,FALSE)</f>
        <v>0.08</v>
      </c>
      <c r="C97" s="3"/>
      <c r="D97" s="94">
        <f t="shared" ca="1" si="12"/>
        <v>438.53909465020575</v>
      </c>
      <c r="E97" s="93">
        <f ca="1">VLOOKUP($A97,[1]!LOOKUP_SARS_Unified2,E$2,FALSE)</f>
        <v>5481.7386831275717</v>
      </c>
      <c r="F97" s="26" t="b">
        <f t="shared" ca="1" si="13"/>
        <v>1</v>
      </c>
      <c r="G97" s="31" t="b">
        <f t="shared" ca="1" si="14"/>
        <v>1</v>
      </c>
    </row>
    <row r="98" spans="1:7" ht="15" x14ac:dyDescent="0.25">
      <c r="A98" t="s">
        <v>36</v>
      </c>
      <c r="B98" s="3" t="e">
        <f>VLOOKUP($A98,[1]!LOOKUP_SARS_Unified2,B$2,FALSE)</f>
        <v>#N/A</v>
      </c>
      <c r="C98" s="3"/>
      <c r="D98" s="94" t="e">
        <f t="shared" si="12"/>
        <v>#N/A</v>
      </c>
      <c r="E98" s="93" t="e">
        <f>VLOOKUP($A98,[1]!LOOKUP_SARS_Unified2,E$2,FALSE)</f>
        <v>#N/A</v>
      </c>
      <c r="F98" s="26" t="e">
        <f t="shared" si="13"/>
        <v>#N/A</v>
      </c>
      <c r="G98" s="31" t="e">
        <f t="shared" si="14"/>
        <v>#N/A</v>
      </c>
    </row>
    <row r="99" spans="1:7" ht="15" x14ac:dyDescent="0.25">
      <c r="A99" t="s">
        <v>222</v>
      </c>
      <c r="B99" s="3">
        <f ca="1">VLOOKUP($A99,[1]!LOOKUP_SARS_Unified2,B$2,FALSE)</f>
        <v>2.7000000000000003E-2</v>
      </c>
      <c r="C99" s="3"/>
      <c r="D99" s="94">
        <f t="shared" ca="1" si="12"/>
        <v>518.88726823238574</v>
      </c>
      <c r="E99" s="93">
        <f ca="1">VLOOKUP($A99,[1]!LOOKUP_SARS_Unified2,E$2,FALSE)</f>
        <v>19218.046971569838</v>
      </c>
      <c r="F99" s="26" t="b">
        <f t="shared" ca="1" si="13"/>
        <v>1</v>
      </c>
      <c r="G99" s="31" t="b">
        <f t="shared" ca="1" si="14"/>
        <v>1</v>
      </c>
    </row>
    <row r="100" spans="1:7" ht="15" x14ac:dyDescent="0.25">
      <c r="A100" t="s">
        <v>49</v>
      </c>
      <c r="B100" s="3">
        <f ca="1">VLOOKUP($A100,[1]!LOOKUP_SARS_Unified2,B$2,FALSE)</f>
        <v>0.127</v>
      </c>
      <c r="C100" s="3"/>
      <c r="D100" s="94">
        <f t="shared" ca="1" si="12"/>
        <v>2439.4831370755687</v>
      </c>
      <c r="E100" s="93">
        <f ca="1">VLOOKUP($A100,[1]!LOOKUP_SARS_Unified2,E$2,FALSE)</f>
        <v>19208.528638390304</v>
      </c>
      <c r="F100" s="26" t="b">
        <f t="shared" ca="1" si="13"/>
        <v>1</v>
      </c>
      <c r="G100" s="31" t="b">
        <f t="shared" ca="1" si="14"/>
        <v>0</v>
      </c>
    </row>
    <row r="101" spans="1:7" ht="15" x14ac:dyDescent="0.25">
      <c r="A101" t="s">
        <v>60</v>
      </c>
      <c r="B101" s="3">
        <f ca="1">VLOOKUP($A101,[1]!LOOKUP_SARS_Unified2,B$2,FALSE)</f>
        <v>-6.9999999999999993E-3</v>
      </c>
      <c r="C101" s="3"/>
      <c r="D101" s="94">
        <f t="shared" ca="1" si="12"/>
        <v>-402.1410769406653</v>
      </c>
      <c r="E101" s="93">
        <f ca="1">VLOOKUP($A101,[1]!LOOKUP_SARS_Unified2,E$2,FALSE)</f>
        <v>57448.725277237907</v>
      </c>
      <c r="F101" s="26" t="b">
        <f t="shared" ca="1" si="13"/>
        <v>1</v>
      </c>
      <c r="G101" s="31" t="b">
        <f t="shared" ca="1" si="14"/>
        <v>1</v>
      </c>
    </row>
    <row r="102" spans="1:7" ht="15" x14ac:dyDescent="0.25">
      <c r="A102" s="92" t="s">
        <v>223</v>
      </c>
      <c r="B102" s="3">
        <f ca="1">VLOOKUP($A102,[1]!LOOKUP_SARS_Unified2,B$2,FALSE)</f>
        <v>-3.3000000000000002E-2</v>
      </c>
      <c r="C102" s="3"/>
      <c r="D102" s="94">
        <f t="shared" ca="1" si="12"/>
        <v>-225.89756629131858</v>
      </c>
      <c r="E102" s="93">
        <f ca="1">VLOOKUP($A102,[1]!LOOKUP_SARS_Unified2,E$2,FALSE)</f>
        <v>6845.3807967066232</v>
      </c>
      <c r="F102" s="26" t="b">
        <f t="shared" ca="1" si="13"/>
        <v>1</v>
      </c>
      <c r="G102" s="31" t="b">
        <f t="shared" ca="1" si="14"/>
        <v>1</v>
      </c>
    </row>
    <row r="103" spans="1:7" ht="15" x14ac:dyDescent="0.25">
      <c r="A103" t="s">
        <v>56</v>
      </c>
      <c r="B103" s="3">
        <f ca="1">VLOOKUP($A103,[1]!LOOKUP_SARS_Unified2,B$2,FALSE)</f>
        <v>-8.0000000000000002E-3</v>
      </c>
      <c r="C103" s="3"/>
      <c r="D103" s="94">
        <f t="shared" ca="1" si="12"/>
        <v>-20.925389631922187</v>
      </c>
      <c r="E103" s="93">
        <f ca="1">VLOOKUP($A103,[1]!LOOKUP_SARS_Unified2,E$2,FALSE)</f>
        <v>2615.6737039902732</v>
      </c>
      <c r="F103" s="26" t="b">
        <f t="shared" ca="1" si="13"/>
        <v>1</v>
      </c>
      <c r="G103" s="31" t="b">
        <f t="shared" ca="1" si="14"/>
        <v>1</v>
      </c>
    </row>
    <row r="104" spans="1:7" ht="15" x14ac:dyDescent="0.25">
      <c r="A104" t="s">
        <v>59</v>
      </c>
      <c r="B104" s="3">
        <f ca="1">VLOOKUP($A104,[1]!LOOKUP_SARS_Unified2,B$2,FALSE)</f>
        <v>-2.5000000000000001E-2</v>
      </c>
      <c r="C104" s="3"/>
      <c r="D104" s="94">
        <f t="shared" ca="1" si="12"/>
        <v>-92.741189766772834</v>
      </c>
      <c r="E104" s="93">
        <f ca="1">VLOOKUP($A104,[1]!LOOKUP_SARS_Unified2,E$2,FALSE)</f>
        <v>3709.6475906709134</v>
      </c>
      <c r="F104" s="26" t="b">
        <f t="shared" ca="1" si="13"/>
        <v>1</v>
      </c>
      <c r="G104" s="31" t="b">
        <f t="shared" ca="1" si="14"/>
        <v>1</v>
      </c>
    </row>
    <row r="105" spans="1:7" ht="15" x14ac:dyDescent="0.25">
      <c r="A105" t="s">
        <v>43</v>
      </c>
      <c r="B105" s="3">
        <f ca="1">VLOOKUP($A105,[1]!LOOKUP_SARS_Unified2,B$2,FALSE)</f>
        <v>2.1000000000000001E-2</v>
      </c>
      <c r="C105" s="3"/>
      <c r="D105" s="94">
        <f t="shared" ca="1" si="12"/>
        <v>85.586436312909129</v>
      </c>
      <c r="E105" s="93">
        <f ca="1">VLOOKUP($A105,[1]!LOOKUP_SARS_Unified2,E$2,FALSE)</f>
        <v>4075.5445863290056</v>
      </c>
      <c r="F105" s="26" t="b">
        <f t="shared" ca="1" si="13"/>
        <v>1</v>
      </c>
      <c r="G105" s="31" t="b">
        <f t="shared" ca="1" si="14"/>
        <v>1</v>
      </c>
    </row>
    <row r="106" spans="1:7" ht="15" x14ac:dyDescent="0.25">
      <c r="A106" t="s">
        <v>57</v>
      </c>
      <c r="B106" s="3">
        <f ca="1">VLOOKUP($A106,[1]!LOOKUP_SARS_Unified2,B$2,FALSE)</f>
        <v>6.2E-2</v>
      </c>
      <c r="C106" s="3"/>
      <c r="D106" s="94">
        <f t="shared" ca="1" si="12"/>
        <v>298.50200349327031</v>
      </c>
      <c r="E106" s="93">
        <f ca="1">VLOOKUP($A106,[1]!LOOKUP_SARS_Unified2,E$2,FALSE)</f>
        <v>4814.548443439844</v>
      </c>
      <c r="F106" s="26" t="b">
        <f t="shared" ca="1" si="13"/>
        <v>1</v>
      </c>
      <c r="G106" s="31" t="b">
        <f t="shared" ca="1" si="14"/>
        <v>1</v>
      </c>
    </row>
    <row r="107" spans="1:7" ht="15" x14ac:dyDescent="0.25">
      <c r="A107" t="s">
        <v>185</v>
      </c>
      <c r="B107" s="3">
        <f ca="1">VLOOKUP($A107,[1]!LOOKUP_SARS_Unified2,B$2,FALSE)</f>
        <v>-0.19500000000000001</v>
      </c>
      <c r="C107" s="3"/>
      <c r="D107" s="94">
        <f t="shared" ca="1" si="12"/>
        <v>-3191.0357142857142</v>
      </c>
      <c r="E107" s="93">
        <f ca="1">VLOOKUP($A107,[1]!LOOKUP_SARS_Unified2,E$2,FALSE)</f>
        <v>16364.285714285714</v>
      </c>
      <c r="F107" s="26" t="b">
        <f t="shared" ca="1" si="13"/>
        <v>1</v>
      </c>
      <c r="G107" s="31" t="b">
        <f t="shared" ca="1" si="14"/>
        <v>1</v>
      </c>
    </row>
    <row r="114" ht="15" customHeight="1" x14ac:dyDescent="0.2"/>
    <row r="529" spans="7:7" x14ac:dyDescent="0.2">
      <c r="G529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26"/>
  <sheetViews>
    <sheetView topLeftCell="A70" zoomScaleNormal="100" workbookViewId="0">
      <selection activeCell="A99" sqref="A99"/>
    </sheetView>
  </sheetViews>
  <sheetFormatPr defaultRowHeight="15" x14ac:dyDescent="0.25"/>
  <cols>
    <col min="10" max="10" width="16.5703125" customWidth="1"/>
    <col min="14" max="14" width="26.85546875" bestFit="1" customWidth="1"/>
    <col min="15" max="15" width="12.85546875" bestFit="1" customWidth="1"/>
    <col min="16" max="16" width="14.5703125" bestFit="1" customWidth="1"/>
    <col min="17" max="17" width="10" bestFit="1" customWidth="1"/>
    <col min="18" max="18" width="10.5703125" bestFit="1" customWidth="1"/>
    <col min="20" max="20" width="6.7109375" bestFit="1" customWidth="1"/>
    <col min="25" max="25" width="11.42578125" bestFit="1" customWidth="1"/>
  </cols>
  <sheetData>
    <row r="1" spans="1:26" s="1" customFormat="1" ht="57" x14ac:dyDescent="0.85">
      <c r="A1" s="11" t="s">
        <v>167</v>
      </c>
      <c r="J1" s="34" t="e">
        <f ca="1">SUM(J5:J89)</f>
        <v>#VALUE!</v>
      </c>
      <c r="K1" s="1">
        <f ca="1">HLOOKUP(K3,[1]!LOOKUP_SARS_Unified2,2,FALSE)</f>
        <v>42</v>
      </c>
      <c r="M1" s="40" t="e">
        <f>O1='[2]Comp-Scatter'!#REF!</f>
        <v>#REF!</v>
      </c>
      <c r="N1" s="40" t="e">
        <f>P1='[2]Comp-Scatter'!#REF!</f>
        <v>#REF!</v>
      </c>
      <c r="O1" s="90">
        <f>SUM(N4:R4)</f>
        <v>0</v>
      </c>
      <c r="P1" s="90">
        <f>SUM(N5:R5)</f>
        <v>0</v>
      </c>
    </row>
    <row r="2" spans="1:26" s="18" customFormat="1" ht="12.75" customHeight="1" x14ac:dyDescent="0.2">
      <c r="A2" s="20"/>
      <c r="B2" s="95">
        <f>HLOOKUP(B3,[1]!LOOKUP_MDAPs,2,FALSE)</f>
        <v>36</v>
      </c>
      <c r="C2" s="95">
        <f>HLOOKUP(C3,[1]!LOOKUP_MDAPs,2,FALSE)</f>
        <v>38</v>
      </c>
      <c r="D2" s="95">
        <f>HLOOKUP(D3,[1]!LOOKUP_MDAPs,2,FALSE)</f>
        <v>39</v>
      </c>
      <c r="E2" s="95">
        <f>HLOOKUP(E3,[1]!LOOKUP_MDAPs,2,FALSE)</f>
        <v>37</v>
      </c>
      <c r="F2" s="95">
        <f>HLOOKUP(F3,[1]!LOOKUP_MDAPs,2,FALSE)</f>
        <v>40</v>
      </c>
      <c r="G2" s="95">
        <f>HLOOKUP(G3,[1]!LOOKUP_MDAPs,2,FALSE)</f>
        <v>42</v>
      </c>
      <c r="H2" s="1">
        <f ca="1">HLOOKUP(H3,[1]!LOOKUP_SARS_Unified2,2,FALSE)</f>
        <v>41</v>
      </c>
      <c r="L2" s="89"/>
    </row>
    <row r="3" spans="1:26" s="1" customFormat="1" ht="89.25" x14ac:dyDescent="0.2">
      <c r="A3" s="17" t="s">
        <v>80</v>
      </c>
      <c r="B3" s="8" t="s">
        <v>162</v>
      </c>
      <c r="C3" s="8" t="s">
        <v>201</v>
      </c>
      <c r="D3" s="8" t="s">
        <v>200</v>
      </c>
      <c r="E3" s="8" t="s">
        <v>202</v>
      </c>
      <c r="F3" s="8" t="s">
        <v>203</v>
      </c>
      <c r="G3" s="8" t="s">
        <v>199</v>
      </c>
      <c r="H3" s="2" t="s">
        <v>171</v>
      </c>
      <c r="I3" s="2"/>
      <c r="J3" s="32"/>
      <c r="K3" s="17" t="s">
        <v>173</v>
      </c>
      <c r="L3" s="8"/>
      <c r="M3" s="4"/>
      <c r="S3" s="2"/>
      <c r="T3" s="2"/>
      <c r="U3" s="2"/>
      <c r="V3" s="2"/>
      <c r="W3" s="2"/>
      <c r="X3" s="2"/>
      <c r="Y3" s="2"/>
      <c r="Z3" s="2"/>
    </row>
    <row r="4" spans="1:26" s="1" customFormat="1" x14ac:dyDescent="0.2">
      <c r="A4" s="1" t="s">
        <v>82</v>
      </c>
      <c r="B4" s="4" t="e">
        <f ca="1">SUMPRODUCT(Funding_Fixed_Price,Funding_Overrun_Dollars)</f>
        <v>#VALUE!</v>
      </c>
      <c r="C4" s="4" t="e">
        <f ca="1">SUMPRODUCT(Funding_Combination,Funding_Overrun_Dollars)</f>
        <v>#VALUE!</v>
      </c>
      <c r="D4" s="4" t="e">
        <f ca="1">SUMPRODUCT(Funding_Cost_Award_Incent,Funding_Overrun_Dollars)</f>
        <v>#VALUE!</v>
      </c>
      <c r="E4" s="4" t="e">
        <f ca="1">SUMPRODUCT(Funding_Cost_Other,Funding_Overrun_Dollars)</f>
        <v>#VALUE!</v>
      </c>
      <c r="F4" s="4" t="e">
        <f ca="1">SUMPRODUCT(Funding_Unclear,Funding_Overrun_Dollars)</f>
        <v>#VALUE!</v>
      </c>
      <c r="G4" s="9"/>
      <c r="H4" s="3"/>
      <c r="I4" s="3"/>
      <c r="J4" s="32"/>
      <c r="K4" s="32"/>
      <c r="L4" s="8"/>
      <c r="S4" s="41">
        <f ca="1">COUNT(T5:T89)</f>
        <v>0</v>
      </c>
      <c r="T4" s="88" t="s">
        <v>166</v>
      </c>
      <c r="U4" s="88" t="s">
        <v>165</v>
      </c>
      <c r="V4" s="88" t="s">
        <v>164</v>
      </c>
      <c r="W4" s="41"/>
      <c r="X4" s="88" t="s">
        <v>166</v>
      </c>
      <c r="Y4" s="88" t="s">
        <v>165</v>
      </c>
      <c r="Z4" s="88" t="s">
        <v>164</v>
      </c>
    </row>
    <row r="5" spans="1:26" s="1" customFormat="1" x14ac:dyDescent="0.25">
      <c r="A5" t="s">
        <v>0</v>
      </c>
      <c r="B5" s="66">
        <f ca="1">IFERROR(VLOOKUP($A5,[1]!LOOKUP_MDAPs,B$2,FALSE)/$G5,"")</f>
        <v>0.31722061181125155</v>
      </c>
      <c r="C5" s="66">
        <f ca="1">IFERROR(VLOOKUP($A5,[1]!LOOKUP_MDAPs,C$2,FALSE)/$G5,"")</f>
        <v>0</v>
      </c>
      <c r="D5" s="66">
        <f ca="1">IFERROR(VLOOKUP($A5,[1]!LOOKUP_MDAPs,D$2,FALSE)/$G5,"")</f>
        <v>1.8896178712727971E-3</v>
      </c>
      <c r="E5" s="66">
        <f ca="1">IFERROR(VLOOKUP($A5,[1]!LOOKUP_MDAPs,E$2,FALSE)/$G5,"")</f>
        <v>1.604180826015632E-3</v>
      </c>
      <c r="F5" s="66">
        <f ca="1">1-SUM(B5:E5)</f>
        <v>0.67928558949146001</v>
      </c>
      <c r="G5" s="4">
        <f ca="1">IFERROR(VLOOKUP($A5,[1]!LOOKUP_MDAPs,G$2,FALSE),"")</f>
        <v>1036.3000000000002</v>
      </c>
      <c r="H5" s="3">
        <f ca="1">VLOOKUP($A5,[1]!LOOKUP_SARS_Unified2,H$2,FALSE)</f>
        <v>0.377</v>
      </c>
      <c r="I5" s="3"/>
      <c r="J5" s="32">
        <f ca="1">H5*K5</f>
        <v>3051.4002999999998</v>
      </c>
      <c r="K5" s="26">
        <f ca="1">VLOOKUP($A5,[1]!LOOKUP_SARS_Unified2,K$1,FALSE)</f>
        <v>8093.9</v>
      </c>
      <c r="L5" s="83"/>
      <c r="S5" s="1">
        <f ca="1">COUNT(X5:X89)</f>
        <v>22</v>
      </c>
      <c r="T5" s="75" t="e">
        <f ca="1">'Comp-Bar'!M7</f>
        <v>#N/A</v>
      </c>
      <c r="U5" s="75">
        <f t="shared" ref="U5:U36" si="0">L5</f>
        <v>0</v>
      </c>
      <c r="V5" s="19">
        <f t="shared" ref="V5:V36" ca="1" si="1">H5</f>
        <v>0.377</v>
      </c>
      <c r="X5" s="40" t="str">
        <f ca="1">IF(MIN($F5,'Comp-Bar'!$H7)&lt;0.5,'Comp-Bar'!H7,"")</f>
        <v/>
      </c>
      <c r="Y5" s="40" t="str">
        <f ca="1">IF(MIN($F5,'Comp-Bar'!$H7)&lt;0.5,'Comp-Bar'!I7,"")</f>
        <v/>
      </c>
      <c r="Z5" s="40" t="str">
        <f ca="1">IF(MIN($F5,'Comp-Bar'!$H7)&lt;0.5,'Comp-Bar'!J7,"")</f>
        <v/>
      </c>
    </row>
    <row r="6" spans="1:26" s="1" customFormat="1" x14ac:dyDescent="0.25">
      <c r="A6" s="92" t="s">
        <v>212</v>
      </c>
      <c r="B6" s="66">
        <f ca="1">IFERROR(VLOOKUP($A6,[1]!LOOKUP_MDAPs,B$2,FALSE)/$G6,"")</f>
        <v>0.39018318645311384</v>
      </c>
      <c r="C6" s="66">
        <f ca="1">IFERROR(VLOOKUP($A6,[1]!LOOKUP_MDAPs,C$2,FALSE)/$G6,"")</f>
        <v>0</v>
      </c>
      <c r="D6" s="66">
        <f ca="1">IFERROR(VLOOKUP($A6,[1]!LOOKUP_MDAPs,D$2,FALSE)/$G6,"")</f>
        <v>0.60629932702686951</v>
      </c>
      <c r="E6" s="66">
        <f ca="1">IFERROR(VLOOKUP($A6,[1]!LOOKUP_MDAPs,E$2,FALSE)/$G6,"")</f>
        <v>0.65155705462529001</v>
      </c>
      <c r="F6" s="66">
        <f t="shared" ref="F6:F69" ca="1" si="2">1-SUM(B6:E6)</f>
        <v>-0.6480395681052733</v>
      </c>
      <c r="G6" s="4">
        <f ca="1">IFERROR(VLOOKUP($A6,[1]!LOOKUP_MDAPs,G$2,FALSE),"")</f>
        <v>515.77809599999989</v>
      </c>
      <c r="H6" s="3">
        <f ca="1">VLOOKUP($A6,[1]!LOOKUP_SARS_Unified2,H$2,FALSE)</f>
        <v>1.2E-2</v>
      </c>
      <c r="I6" s="3"/>
      <c r="J6" s="32">
        <f t="shared" ref="J6:J36" ca="1" si="3">H6*K6</f>
        <v>54.552</v>
      </c>
      <c r="K6" s="26">
        <f ca="1">VLOOKUP($A6,[1]!LOOKUP_SARS_Unified2,K$1,FALSE)</f>
        <v>4546</v>
      </c>
      <c r="L6" s="83"/>
      <c r="N6" s="85"/>
      <c r="O6" s="85"/>
      <c r="S6" s="21"/>
      <c r="T6" s="75" t="e">
        <f ca="1">'Comp-Bar'!M8</f>
        <v>#N/A</v>
      </c>
      <c r="U6" s="75">
        <f t="shared" si="0"/>
        <v>0</v>
      </c>
      <c r="V6" s="19">
        <f t="shared" ca="1" si="1"/>
        <v>1.2E-2</v>
      </c>
      <c r="W6" s="21"/>
      <c r="X6" s="40">
        <f ca="1">IF(MIN($F6,'Comp-Bar'!$H8)&lt;0.5,'Comp-Bar'!H8,"")</f>
        <v>-0.40528310296837455</v>
      </c>
      <c r="Y6" s="40">
        <f ca="1">IF(MIN($F6,'Comp-Bar'!$H8)&lt;0.5,'Comp-Bar'!I8,"")</f>
        <v>515.77809599999989</v>
      </c>
      <c r="Z6" s="40">
        <f ca="1">IF(MIN($F6,'Comp-Bar'!$H8)&lt;0.5,'Comp-Bar'!J8,"")</f>
        <v>1.2E-2</v>
      </c>
    </row>
    <row r="7" spans="1:26" s="1" customFormat="1" x14ac:dyDescent="0.25">
      <c r="A7" s="92" t="s">
        <v>25</v>
      </c>
      <c r="B7" s="66">
        <f ca="1">IFERROR(VLOOKUP($A7,[1]!LOOKUP_MDAPs,B$2,FALSE)/$G7,"")</f>
        <v>3.2227066464779318E-2</v>
      </c>
      <c r="C7" s="66">
        <f ca="1">IFERROR(VLOOKUP($A7,[1]!LOOKUP_MDAPs,C$2,FALSE)/$G7,"")</f>
        <v>0</v>
      </c>
      <c r="D7" s="66">
        <f ca="1">IFERROR(VLOOKUP($A7,[1]!LOOKUP_MDAPs,D$2,FALSE)/$G7,"")</f>
        <v>5.3230693000413665E-3</v>
      </c>
      <c r="E7" s="66">
        <f ca="1">IFERROR(VLOOKUP($A7,[1]!LOOKUP_MDAPs,E$2,FALSE)/$G7,"")</f>
        <v>1.3242889856486734E-3</v>
      </c>
      <c r="F7" s="66">
        <f t="shared" ca="1" si="2"/>
        <v>0.96112557524953068</v>
      </c>
      <c r="G7" s="4">
        <f ca="1">IFERROR(VLOOKUP($A7,[1]!LOOKUP_MDAPs,G$2,FALSE),"")</f>
        <v>9427.7000000000007</v>
      </c>
      <c r="H7" s="3">
        <f ca="1">VLOOKUP($A7,[1]!LOOKUP_SARS_Unified2,H$2,FALSE)</f>
        <v>0.39600000000000002</v>
      </c>
      <c r="I7" s="3"/>
      <c r="J7" s="32">
        <f t="shared" ca="1" si="3"/>
        <v>2409.9371999999998</v>
      </c>
      <c r="K7" s="26">
        <f ca="1">VLOOKUP($A7,[1]!LOOKUP_SARS_Unified2,K$1,FALSE)</f>
        <v>6085.7</v>
      </c>
      <c r="L7" s="83"/>
      <c r="N7" s="87"/>
      <c r="O7" s="87"/>
      <c r="Q7" s="103"/>
      <c r="R7" s="86"/>
      <c r="T7" s="75" t="e">
        <f ca="1">'Comp-Bar'!M9</f>
        <v>#N/A</v>
      </c>
      <c r="U7" s="75">
        <f t="shared" si="0"/>
        <v>0</v>
      </c>
      <c r="V7" s="19">
        <f t="shared" ca="1" si="1"/>
        <v>0.39600000000000002</v>
      </c>
      <c r="X7" s="40" t="str">
        <f ca="1">IF(MIN($F7,'Comp-Bar'!$H9)&lt;0.5,'Comp-Bar'!H9,"")</f>
        <v/>
      </c>
      <c r="Y7" s="40" t="str">
        <f ca="1">IF(MIN($F7,'Comp-Bar'!$H9)&lt;0.5,'Comp-Bar'!I9,"")</f>
        <v/>
      </c>
      <c r="Z7" s="40" t="str">
        <f ca="1">IF(MIN($F7,'Comp-Bar'!$H9)&lt;0.5,'Comp-Bar'!J9,"")</f>
        <v/>
      </c>
    </row>
    <row r="8" spans="1:26" s="1" customFormat="1" x14ac:dyDescent="0.25">
      <c r="A8" s="92" t="s">
        <v>18</v>
      </c>
      <c r="B8" s="66">
        <f ca="1">IFERROR(VLOOKUP($A8,[1]!LOOKUP_MDAPs,B$2,FALSE)/$G8,"")</f>
        <v>6.5004098133918761E-2</v>
      </c>
      <c r="C8" s="66">
        <f ca="1">IFERROR(VLOOKUP($A8,[1]!LOOKUP_MDAPs,C$2,FALSE)/$G8,"")</f>
        <v>0</v>
      </c>
      <c r="D8" s="66">
        <f ca="1">IFERROR(VLOOKUP($A8,[1]!LOOKUP_MDAPs,D$2,FALSE)/$G8,"")</f>
        <v>0</v>
      </c>
      <c r="E8" s="66">
        <f ca="1">IFERROR(VLOOKUP($A8,[1]!LOOKUP_MDAPs,E$2,FALSE)/$G8,"")</f>
        <v>0</v>
      </c>
      <c r="F8" s="66">
        <f t="shared" ca="1" si="2"/>
        <v>0.93499590186608128</v>
      </c>
      <c r="G8" s="4">
        <f ca="1">IFERROR(VLOOKUP($A8,[1]!LOOKUP_MDAPs,G$2,FALSE),"")</f>
        <v>819.9</v>
      </c>
      <c r="H8" s="3">
        <f ca="1">VLOOKUP($A8,[1]!LOOKUP_SARS_Unified2,H$2,FALSE)</f>
        <v>7.8E-2</v>
      </c>
      <c r="I8" s="3"/>
      <c r="J8" s="32">
        <f t="shared" ca="1" si="3"/>
        <v>145.1892</v>
      </c>
      <c r="K8" s="26">
        <f ca="1">VLOOKUP($A8,[1]!LOOKUP_SARS_Unified2,K$1,FALSE)</f>
        <v>1861.4</v>
      </c>
      <c r="L8" s="83"/>
      <c r="N8" s="85"/>
      <c r="O8" s="85"/>
      <c r="S8" s="19"/>
      <c r="T8" s="75" t="e">
        <f ca="1">'Comp-Bar'!M10</f>
        <v>#N/A</v>
      </c>
      <c r="U8" s="75">
        <f t="shared" si="0"/>
        <v>0</v>
      </c>
      <c r="V8" s="19">
        <f t="shared" ca="1" si="1"/>
        <v>7.8E-2</v>
      </c>
      <c r="X8" s="40" t="str">
        <f ca="1">IF(MIN($F8,'Comp-Bar'!$H10)&lt;0.5,'Comp-Bar'!H10,"")</f>
        <v/>
      </c>
      <c r="Y8" s="40" t="str">
        <f ca="1">IF(MIN($F8,'Comp-Bar'!$H10)&lt;0.5,'Comp-Bar'!I10,"")</f>
        <v/>
      </c>
      <c r="Z8" s="40" t="str">
        <f ca="1">IF(MIN($F8,'Comp-Bar'!$H10)&lt;0.5,'Comp-Bar'!J10,"")</f>
        <v/>
      </c>
    </row>
    <row r="9" spans="1:26" s="1" customFormat="1" x14ac:dyDescent="0.25">
      <c r="A9" s="92" t="s">
        <v>12</v>
      </c>
      <c r="B9" s="66">
        <f ca="1">IFERROR(VLOOKUP($A9,[1]!LOOKUP_MDAPs,B$2,FALSE)/$G9,"")</f>
        <v>0.52204100726981872</v>
      </c>
      <c r="C9" s="66">
        <f ca="1">IFERROR(VLOOKUP($A9,[1]!LOOKUP_MDAPs,C$2,FALSE)/$G9,"")</f>
        <v>0</v>
      </c>
      <c r="D9" s="66">
        <f ca="1">IFERROR(VLOOKUP($A9,[1]!LOOKUP_MDAPs,D$2,FALSE)/$G9,"")</f>
        <v>3.9948453608247423E-4</v>
      </c>
      <c r="E9" s="66">
        <f ca="1">IFERROR(VLOOKUP($A9,[1]!LOOKUP_MDAPs,E$2,FALSE)/$G9,"")</f>
        <v>7.0767819913496857E-2</v>
      </c>
      <c r="F9" s="66">
        <f t="shared" ca="1" si="2"/>
        <v>0.40679168828060186</v>
      </c>
      <c r="G9" s="4">
        <f ca="1">IFERROR(VLOOKUP($A9,[1]!LOOKUP_MDAPs,G$2,FALSE),"")</f>
        <v>1687.8</v>
      </c>
      <c r="H9" s="3">
        <f ca="1">VLOOKUP($A9,[1]!LOOKUP_SARS_Unified2,H$2,FALSE)</f>
        <v>0.154</v>
      </c>
      <c r="I9" s="3"/>
      <c r="J9" s="32">
        <f t="shared" ca="1" si="3"/>
        <v>497.86660000000001</v>
      </c>
      <c r="K9" s="26">
        <f ca="1">VLOOKUP($A9,[1]!LOOKUP_SARS_Unified2,K$1,FALSE)</f>
        <v>3232.9</v>
      </c>
      <c r="L9" s="83"/>
      <c r="N9" s="87"/>
      <c r="O9" s="87"/>
      <c r="Q9" s="103"/>
      <c r="R9" s="84"/>
      <c r="S9" s="9"/>
      <c r="T9" s="75" t="e">
        <f ca="1">'Comp-Bar'!M11</f>
        <v>#N/A</v>
      </c>
      <c r="U9" s="75">
        <f t="shared" si="0"/>
        <v>0</v>
      </c>
      <c r="V9" s="19">
        <f t="shared" ca="1" si="1"/>
        <v>0.154</v>
      </c>
      <c r="W9" s="40"/>
      <c r="X9" s="40">
        <f ca="1">IF(MIN($F9,'Comp-Bar'!$H11)&lt;0.5,'Comp-Bar'!H11,"")</f>
        <v>0.52032641983647343</v>
      </c>
      <c r="Y9" s="40">
        <f ca="1">IF(MIN($F9,'Comp-Bar'!$H11)&lt;0.5,'Comp-Bar'!I11,"")</f>
        <v>1687.8</v>
      </c>
      <c r="Z9" s="40">
        <f ca="1">IF(MIN($F9,'Comp-Bar'!$H11)&lt;0.5,'Comp-Bar'!J11,"")</f>
        <v>0.154</v>
      </c>
    </row>
    <row r="10" spans="1:26" s="1" customFormat="1" x14ac:dyDescent="0.25">
      <c r="A10" s="92" t="s">
        <v>174</v>
      </c>
      <c r="B10" s="66">
        <f ca="1">IFERROR(VLOOKUP($A10,[1]!LOOKUP_MDAPs,B$2,FALSE)/$G10,"")</f>
        <v>0.19697102829606783</v>
      </c>
      <c r="C10" s="66">
        <f ca="1">IFERROR(VLOOKUP($A10,[1]!LOOKUP_MDAPs,C$2,FALSE)/$G10,"")</f>
        <v>0</v>
      </c>
      <c r="D10" s="66">
        <f ca="1">IFERROR(VLOOKUP($A10,[1]!LOOKUP_MDAPs,D$2,FALSE)/$G10,"")</f>
        <v>1.7886112567463378E-2</v>
      </c>
      <c r="E10" s="66">
        <f ca="1">IFERROR(VLOOKUP($A10,[1]!LOOKUP_MDAPs,E$2,FALSE)/$G10,"")</f>
        <v>2.0148448242097147E-2</v>
      </c>
      <c r="F10" s="66">
        <f t="shared" ca="1" si="2"/>
        <v>0.76499441089437159</v>
      </c>
      <c r="G10" s="4">
        <f ca="1">IFERROR(VLOOKUP($A10,[1]!LOOKUP_MDAPs,G$2,FALSE),"")</f>
        <v>1297</v>
      </c>
      <c r="H10" s="3">
        <f ca="1">VLOOKUP($A10,[1]!LOOKUP_SARS_Unified2,H$2,FALSE)</f>
        <v>-0.183</v>
      </c>
      <c r="I10" s="3"/>
      <c r="J10" s="32">
        <f t="shared" ca="1" si="3"/>
        <v>-1653.2768999999998</v>
      </c>
      <c r="K10" s="26">
        <f ca="1">VLOOKUP($A10,[1]!LOOKUP_SARS_Unified2,K$1,FALSE)</f>
        <v>9034.2999999999993</v>
      </c>
      <c r="L10" s="83"/>
      <c r="N10" s="85"/>
      <c r="O10" s="85"/>
      <c r="T10" s="75" t="e">
        <f ca="1">'Comp-Bar'!M12</f>
        <v>#N/A</v>
      </c>
      <c r="U10" s="75">
        <f t="shared" si="0"/>
        <v>0</v>
      </c>
      <c r="V10" s="19">
        <f t="shared" ca="1" si="1"/>
        <v>-0.183</v>
      </c>
      <c r="X10" s="40" t="str">
        <f ca="1">IF(MIN($F10,'Comp-Bar'!$H12)&lt;0.5,'Comp-Bar'!H12,"")</f>
        <v/>
      </c>
      <c r="Y10" s="40" t="str">
        <f ca="1">IF(MIN($F10,'Comp-Bar'!$H12)&lt;0.5,'Comp-Bar'!I12,"")</f>
        <v/>
      </c>
      <c r="Z10" s="40" t="str">
        <f ca="1">IF(MIN($F10,'Comp-Bar'!$H12)&lt;0.5,'Comp-Bar'!J12,"")</f>
        <v/>
      </c>
    </row>
    <row r="11" spans="1:26" s="1" customFormat="1" x14ac:dyDescent="0.25">
      <c r="A11" s="92" t="s">
        <v>9</v>
      </c>
      <c r="B11" s="66">
        <f ca="1">IFERROR(VLOOKUP($A11,[1]!LOOKUP_MDAPs,B$2,FALSE)/$G11,"")</f>
        <v>0.16697388933134261</v>
      </c>
      <c r="C11" s="66">
        <f ca="1">IFERROR(VLOOKUP($A11,[1]!LOOKUP_MDAPs,C$2,FALSE)/$G11,"")</f>
        <v>5.3903188041873805E-6</v>
      </c>
      <c r="D11" s="66">
        <f ca="1">IFERROR(VLOOKUP($A11,[1]!LOOKUP_MDAPs,D$2,FALSE)/$G11,"")</f>
        <v>7.6889128616026746E-3</v>
      </c>
      <c r="E11" s="66">
        <f ca="1">IFERROR(VLOOKUP($A11,[1]!LOOKUP_MDAPs,E$2,FALSE)/$G11,"")</f>
        <v>8.176443946283446E-3</v>
      </c>
      <c r="F11" s="66">
        <f t="shared" ca="1" si="2"/>
        <v>0.81715536354196705</v>
      </c>
      <c r="G11" s="4">
        <f ca="1">IFERROR(VLOOKUP($A11,[1]!LOOKUP_MDAPs,G$2,FALSE),"")</f>
        <v>11787.8</v>
      </c>
      <c r="H11" s="3">
        <f ca="1">VLOOKUP($A11,[1]!LOOKUP_SARS_Unified2,H$2,FALSE)</f>
        <v>0.46100000000000002</v>
      </c>
      <c r="I11" s="3"/>
      <c r="J11" s="32">
        <f t="shared" ca="1" si="3"/>
        <v>6044.8163999999997</v>
      </c>
      <c r="K11" s="26">
        <f ca="1">VLOOKUP($A11,[1]!LOOKUP_SARS_Unified2,K$1,FALSE)</f>
        <v>13112.4</v>
      </c>
      <c r="L11" s="83"/>
      <c r="N11" s="87"/>
      <c r="O11" s="87"/>
      <c r="Q11" s="103"/>
      <c r="R11" s="84"/>
      <c r="T11" s="75" t="e">
        <f ca="1">'Comp-Bar'!M13</f>
        <v>#N/A</v>
      </c>
      <c r="U11" s="75">
        <f t="shared" si="0"/>
        <v>0</v>
      </c>
      <c r="V11" s="19">
        <f t="shared" ca="1" si="1"/>
        <v>0.46100000000000002</v>
      </c>
      <c r="X11" s="40" t="str">
        <f ca="1">IF(MIN($F11,'Comp-Bar'!$H13)&lt;0.5,'Comp-Bar'!H13,"")</f>
        <v/>
      </c>
      <c r="Y11" s="40" t="str">
        <f ca="1">IF(MIN($F11,'Comp-Bar'!$H13)&lt;0.5,'Comp-Bar'!I13,"")</f>
        <v/>
      </c>
      <c r="Z11" s="40" t="str">
        <f ca="1">IF(MIN($F11,'Comp-Bar'!$H13)&lt;0.5,'Comp-Bar'!J13,"")</f>
        <v/>
      </c>
    </row>
    <row r="12" spans="1:26" s="1" customFormat="1" x14ac:dyDescent="0.25">
      <c r="A12" s="92" t="s">
        <v>213</v>
      </c>
      <c r="B12" s="66">
        <f ca="1">IFERROR(VLOOKUP($A12,[1]!LOOKUP_MDAPs,B$2,FALSE)/$G12,"")</f>
        <v>0.27027843318608502</v>
      </c>
      <c r="C12" s="66">
        <f ca="1">IFERROR(VLOOKUP($A12,[1]!LOOKUP_MDAPs,C$2,FALSE)/$G12,"")</f>
        <v>0</v>
      </c>
      <c r="D12" s="66">
        <f ca="1">IFERROR(VLOOKUP($A12,[1]!LOOKUP_MDAPs,D$2,FALSE)/$G12,"")</f>
        <v>8.8799558255107675E-3</v>
      </c>
      <c r="E12" s="66">
        <f ca="1">IFERROR(VLOOKUP($A12,[1]!LOOKUP_MDAPs,E$2,FALSE)/$G12,"")</f>
        <v>0.28259924307012702</v>
      </c>
      <c r="F12" s="66">
        <f t="shared" ca="1" si="2"/>
        <v>0.4382423679182772</v>
      </c>
      <c r="G12" s="4">
        <f ca="1">IFERROR(VLOOKUP($A12,[1]!LOOKUP_MDAPs,G$2,FALSE),"")</f>
        <v>181.1</v>
      </c>
      <c r="H12" s="3">
        <f ca="1">VLOOKUP($A12,[1]!LOOKUP_SARS_Unified2,H$2,FALSE)</f>
        <v>-0.56899999999999995</v>
      </c>
      <c r="I12" s="3"/>
      <c r="J12" s="32">
        <f t="shared" ca="1" si="3"/>
        <v>-2030.5902999999996</v>
      </c>
      <c r="K12" s="26">
        <f ca="1">VLOOKUP($A12,[1]!LOOKUP_SARS_Unified2,K$1,FALSE)</f>
        <v>3568.7</v>
      </c>
      <c r="L12" s="83"/>
      <c r="N12" s="85"/>
      <c r="O12" s="85"/>
      <c r="T12" s="75" t="e">
        <f ca="1">'Comp-Bar'!M14</f>
        <v>#N/A</v>
      </c>
      <c r="U12" s="75">
        <f t="shared" si="0"/>
        <v>0</v>
      </c>
      <c r="V12" s="19">
        <f t="shared" ca="1" si="1"/>
        <v>-0.56899999999999995</v>
      </c>
      <c r="X12" s="40">
        <f ca="1">IF(MIN($F12,'Comp-Bar'!$H14)&lt;0.5,'Comp-Bar'!H14,"")</f>
        <v>0.46342982545554934</v>
      </c>
      <c r="Y12" s="40">
        <f ca="1">IF(MIN($F12,'Comp-Bar'!$H14)&lt;0.5,'Comp-Bar'!I14,"")</f>
        <v>181.1</v>
      </c>
      <c r="Z12" s="40">
        <f ca="1">IF(MIN($F12,'Comp-Bar'!$H14)&lt;0.5,'Comp-Bar'!J14,"")</f>
        <v>-0.56899999999999995</v>
      </c>
    </row>
    <row r="13" spans="1:26" s="1" customFormat="1" x14ac:dyDescent="0.25">
      <c r="A13" s="92" t="s">
        <v>214</v>
      </c>
      <c r="B13" s="66">
        <f ca="1">IFERROR(VLOOKUP($A13,[1]!LOOKUP_MDAPs,B$2,FALSE)/$G13,"")</f>
        <v>0</v>
      </c>
      <c r="C13" s="66">
        <f ca="1">IFERROR(VLOOKUP($A13,[1]!LOOKUP_MDAPs,C$2,FALSE)/$G13,"")</f>
        <v>0</v>
      </c>
      <c r="D13" s="66">
        <f ca="1">IFERROR(VLOOKUP($A13,[1]!LOOKUP_MDAPs,D$2,FALSE)/$G13,"")</f>
        <v>0</v>
      </c>
      <c r="E13" s="66">
        <f ca="1">IFERROR(VLOOKUP($A13,[1]!LOOKUP_MDAPs,E$2,FALSE)/$G13,"")</f>
        <v>0</v>
      </c>
      <c r="F13" s="66">
        <f t="shared" ca="1" si="2"/>
        <v>1</v>
      </c>
      <c r="G13" s="4">
        <f ca="1">IFERROR(VLOOKUP($A13,[1]!LOOKUP_MDAPs,G$2,FALSE),"")</f>
        <v>101</v>
      </c>
      <c r="H13" s="3">
        <f ca="1">VLOOKUP($A13,[1]!LOOKUP_SARS_Unified2,H$2,FALSE)</f>
        <v>0.1</v>
      </c>
      <c r="I13" s="3"/>
      <c r="J13" s="32">
        <f t="shared" ca="1" si="3"/>
        <v>196.93</v>
      </c>
      <c r="K13" s="26">
        <f ca="1">VLOOKUP($A13,[1]!LOOKUP_SARS_Unified2,K$1,FALSE)</f>
        <v>1969.3</v>
      </c>
      <c r="L13" s="83"/>
      <c r="N13" s="87"/>
      <c r="O13" s="87"/>
      <c r="Q13" s="103"/>
      <c r="R13" s="84"/>
      <c r="T13" s="75" t="e">
        <f ca="1">'Comp-Bar'!M15</f>
        <v>#N/A</v>
      </c>
      <c r="U13" s="75">
        <f t="shared" si="0"/>
        <v>0</v>
      </c>
      <c r="V13" s="19">
        <f t="shared" ca="1" si="1"/>
        <v>0.1</v>
      </c>
      <c r="X13" s="40" t="str">
        <f ca="1">IF(MIN($F13,'Comp-Bar'!$H15)&lt;0.5,'Comp-Bar'!H15,"")</f>
        <v/>
      </c>
      <c r="Y13" s="40" t="str">
        <f ca="1">IF(MIN($F13,'Comp-Bar'!$H15)&lt;0.5,'Comp-Bar'!I15,"")</f>
        <v/>
      </c>
      <c r="Z13" s="40" t="str">
        <f ca="1">IF(MIN($F13,'Comp-Bar'!$H15)&lt;0.5,'Comp-Bar'!J15,"")</f>
        <v/>
      </c>
    </row>
    <row r="14" spans="1:26" s="1" customFormat="1" x14ac:dyDescent="0.25">
      <c r="A14" s="92" t="s">
        <v>175</v>
      </c>
      <c r="B14" s="66">
        <f ca="1">IFERROR(VLOOKUP($A14,[1]!LOOKUP_MDAPs,B$2,FALSE)/$G14,"")</f>
        <v>0</v>
      </c>
      <c r="C14" s="66">
        <f ca="1">IFERROR(VLOOKUP($A14,[1]!LOOKUP_MDAPs,C$2,FALSE)/$G14,"")</f>
        <v>0</v>
      </c>
      <c r="D14" s="66">
        <f ca="1">IFERROR(VLOOKUP($A14,[1]!LOOKUP_MDAPs,D$2,FALSE)/$G14,"")</f>
        <v>0</v>
      </c>
      <c r="E14" s="66">
        <f ca="1">IFERROR(VLOOKUP($A14,[1]!LOOKUP_MDAPs,E$2,FALSE)/$G14,"")</f>
        <v>0</v>
      </c>
      <c r="F14" s="66">
        <f t="shared" ca="1" si="2"/>
        <v>1</v>
      </c>
      <c r="G14" s="4">
        <f ca="1">IFERROR(VLOOKUP($A14,[1]!LOOKUP_MDAPs,G$2,FALSE),"")</f>
        <v>508</v>
      </c>
      <c r="H14" s="3">
        <f ca="1">VLOOKUP($A14,[1]!LOOKUP_SARS_Unified2,H$2,FALSE)</f>
        <v>0</v>
      </c>
      <c r="I14" s="3"/>
      <c r="J14" s="32">
        <f t="shared" ca="1" si="3"/>
        <v>0</v>
      </c>
      <c r="K14" s="26">
        <f ca="1">VLOOKUP($A14,[1]!LOOKUP_SARS_Unified2,K$1,FALSE)</f>
        <v>508</v>
      </c>
      <c r="L14" s="83"/>
      <c r="N14" s="85"/>
      <c r="O14" s="85"/>
      <c r="T14" s="75" t="e">
        <f ca="1">'Comp-Bar'!M16</f>
        <v>#N/A</v>
      </c>
      <c r="U14" s="75">
        <f t="shared" si="0"/>
        <v>0</v>
      </c>
      <c r="V14" s="19">
        <f t="shared" ca="1" si="1"/>
        <v>0</v>
      </c>
      <c r="X14" s="40" t="str">
        <f ca="1">IF(MIN($F14,'Comp-Bar'!$H16)&lt;0.5,'Comp-Bar'!H16,"")</f>
        <v/>
      </c>
      <c r="Y14" s="40" t="str">
        <f ca="1">IF(MIN($F14,'Comp-Bar'!$H16)&lt;0.5,'Comp-Bar'!I16,"")</f>
        <v/>
      </c>
      <c r="Z14" s="40" t="str">
        <f ca="1">IF(MIN($F14,'Comp-Bar'!$H16)&lt;0.5,'Comp-Bar'!J16,"")</f>
        <v/>
      </c>
    </row>
    <row r="15" spans="1:26" s="1" customFormat="1" x14ac:dyDescent="0.25">
      <c r="A15" s="92" t="s">
        <v>13</v>
      </c>
      <c r="B15" s="66">
        <f ca="1">IFERROR(VLOOKUP($A15,[1]!LOOKUP_MDAPs,B$2,FALSE)/$G15,"")</f>
        <v>0.70060907737995748</v>
      </c>
      <c r="C15" s="66">
        <f ca="1">IFERROR(VLOOKUP($A15,[1]!LOOKUP_MDAPs,C$2,FALSE)/$G15,"")</f>
        <v>0</v>
      </c>
      <c r="D15" s="66">
        <f ca="1">IFERROR(VLOOKUP($A15,[1]!LOOKUP_MDAPs,D$2,FALSE)/$G15,"")</f>
        <v>0.39359684486262936</v>
      </c>
      <c r="E15" s="66">
        <f ca="1">IFERROR(VLOOKUP($A15,[1]!LOOKUP_MDAPs,E$2,FALSE)/$G15,"")</f>
        <v>9.7275026065985704E-2</v>
      </c>
      <c r="F15" s="66">
        <f t="shared" ca="1" si="2"/>
        <v>-0.19148094830857243</v>
      </c>
      <c r="G15" s="4">
        <f ca="1">IFERROR(VLOOKUP($A15,[1]!LOOKUP_MDAPs,G$2,FALSE),"")</f>
        <v>2043.1113154899997</v>
      </c>
      <c r="H15" s="3">
        <f ca="1">VLOOKUP($A15,[1]!LOOKUP_SARS_Unified2,H$2,FALSE)</f>
        <v>-4.4999999999999998E-2</v>
      </c>
      <c r="I15" s="3"/>
      <c r="J15" s="32">
        <f t="shared" ca="1" si="3"/>
        <v>-145.827</v>
      </c>
      <c r="K15" s="26">
        <f ca="1">VLOOKUP($A15,[1]!LOOKUP_SARS_Unified2,K$1,FALSE)</f>
        <v>3240.6</v>
      </c>
      <c r="L15" s="83"/>
      <c r="M15" s="4"/>
      <c r="N15" s="12"/>
      <c r="O15" s="12"/>
      <c r="Q15" s="103"/>
      <c r="R15" s="84"/>
      <c r="T15" s="75" t="e">
        <f ca="1">'Comp-Bar'!M17</f>
        <v>#N/A</v>
      </c>
      <c r="U15" s="75">
        <f t="shared" si="0"/>
        <v>0</v>
      </c>
      <c r="V15" s="19">
        <f t="shared" ca="1" si="1"/>
        <v>-4.4999999999999998E-2</v>
      </c>
      <c r="X15" s="40">
        <f ca="1">IF(MIN($F15,'Comp-Bar'!$H17)&lt;0.5,'Comp-Bar'!H17,"")</f>
        <v>-9.2887442275501053E-2</v>
      </c>
      <c r="Y15" s="40">
        <f ca="1">IF(MIN($F15,'Comp-Bar'!$H17)&lt;0.5,'Comp-Bar'!I17,"")</f>
        <v>2043.1113154899997</v>
      </c>
      <c r="Z15" s="40">
        <f ca="1">IF(MIN($F15,'Comp-Bar'!$H17)&lt;0.5,'Comp-Bar'!J17,"")</f>
        <v>-4.4999999999999998E-2</v>
      </c>
    </row>
    <row r="16" spans="1:26" s="1" customFormat="1" x14ac:dyDescent="0.25">
      <c r="A16" s="92" t="s">
        <v>17</v>
      </c>
      <c r="B16" s="66">
        <f ca="1">IFERROR(VLOOKUP($A16,[1]!LOOKUP_MDAPs,B$2,FALSE)/$G16,"")</f>
        <v>0.17656569931089319</v>
      </c>
      <c r="C16" s="66">
        <f ca="1">IFERROR(VLOOKUP($A16,[1]!LOOKUP_MDAPs,C$2,FALSE)/$G16,"")</f>
        <v>0</v>
      </c>
      <c r="D16" s="66">
        <f ca="1">IFERROR(VLOOKUP($A16,[1]!LOOKUP_MDAPs,D$2,FALSE)/$G16,"")</f>
        <v>4.493426981182083E-4</v>
      </c>
      <c r="E16" s="66">
        <f ca="1">IFERROR(VLOOKUP($A16,[1]!LOOKUP_MDAPs,E$2,FALSE)/$G16,"")</f>
        <v>1.2179067055393586E-2</v>
      </c>
      <c r="F16" s="66">
        <f t="shared" ca="1" si="2"/>
        <v>0.81080589093559496</v>
      </c>
      <c r="G16" s="4">
        <f ca="1">IFERROR(VLOOKUP($A16,[1]!LOOKUP_MDAPs,G$2,FALSE),"")</f>
        <v>377.3</v>
      </c>
      <c r="H16" s="3">
        <f ca="1">VLOOKUP($A16,[1]!LOOKUP_SARS_Unified2,H$2,FALSE)</f>
        <v>-0.18</v>
      </c>
      <c r="I16" s="3"/>
      <c r="J16" s="32">
        <f t="shared" ca="1" si="3"/>
        <v>-127.098</v>
      </c>
      <c r="K16" s="26">
        <f ca="1">VLOOKUP($A16,[1]!LOOKUP_SARS_Unified2,K$1,FALSE)</f>
        <v>706.1</v>
      </c>
      <c r="L16" s="83"/>
      <c r="M16" s="4"/>
      <c r="N16" s="12"/>
      <c r="O16" s="12"/>
      <c r="P16" s="12"/>
      <c r="T16" s="75" t="e">
        <f ca="1">'Comp-Bar'!M18</f>
        <v>#N/A</v>
      </c>
      <c r="U16" s="75">
        <f t="shared" si="0"/>
        <v>0</v>
      </c>
      <c r="V16" s="19">
        <f t="shared" ca="1" si="1"/>
        <v>-0.18</v>
      </c>
      <c r="X16" s="40" t="str">
        <f ca="1">IF(MIN($F16,'Comp-Bar'!$H18)&lt;0.5,'Comp-Bar'!H18,"")</f>
        <v/>
      </c>
      <c r="Y16" s="40" t="str">
        <f ca="1">IF(MIN($F16,'Comp-Bar'!$H18)&lt;0.5,'Comp-Bar'!I18,"")</f>
        <v/>
      </c>
      <c r="Z16" s="40" t="str">
        <f ca="1">IF(MIN($F16,'Comp-Bar'!$H18)&lt;0.5,'Comp-Bar'!J18,"")</f>
        <v/>
      </c>
    </row>
    <row r="17" spans="1:26" s="1" customFormat="1" x14ac:dyDescent="0.25">
      <c r="A17" s="92" t="s">
        <v>30</v>
      </c>
      <c r="B17" s="66">
        <f ca="1">IFERROR(VLOOKUP($A17,[1]!LOOKUP_MDAPs,B$2,FALSE)/$G17,"")</f>
        <v>0.71695172764603821</v>
      </c>
      <c r="C17" s="66">
        <f ca="1">IFERROR(VLOOKUP($A17,[1]!LOOKUP_MDAPs,C$2,FALSE)/$G17,"")</f>
        <v>0</v>
      </c>
      <c r="D17" s="66">
        <f ca="1">IFERROR(VLOOKUP($A17,[1]!LOOKUP_MDAPs,D$2,FALSE)/$G17,"")</f>
        <v>3.25358456581013E-3</v>
      </c>
      <c r="E17" s="66">
        <f ca="1">IFERROR(VLOOKUP($A17,[1]!LOOKUP_MDAPs,E$2,FALSE)/$G17,"")</f>
        <v>4.2858625307774928E-2</v>
      </c>
      <c r="F17" s="66">
        <f t="shared" ca="1" si="2"/>
        <v>0.23693606248037669</v>
      </c>
      <c r="G17" s="4">
        <f ca="1">IFERROR(VLOOKUP($A17,[1]!LOOKUP_MDAPs,G$2,FALSE),"")</f>
        <v>1210.3</v>
      </c>
      <c r="H17" s="3">
        <f ca="1">VLOOKUP($A17,[1]!LOOKUP_SARS_Unified2,H$2,FALSE)</f>
        <v>-9.0999999999999998E-2</v>
      </c>
      <c r="I17" s="3"/>
      <c r="J17" s="32">
        <f t="shared" ca="1" si="3"/>
        <v>-122.70440000000001</v>
      </c>
      <c r="K17" s="26">
        <f ca="1">VLOOKUP($A17,[1]!LOOKUP_SARS_Unified2,K$1,FALSE)</f>
        <v>1348.4</v>
      </c>
      <c r="L17" s="83"/>
      <c r="M17" s="4"/>
      <c r="N17" s="12"/>
      <c r="O17" s="12"/>
      <c r="P17" s="12"/>
      <c r="T17" s="75" t="e">
        <f ca="1">'Comp-Bar'!M19</f>
        <v>#N/A</v>
      </c>
      <c r="U17" s="75">
        <f t="shared" si="0"/>
        <v>0</v>
      </c>
      <c r="V17" s="19">
        <f t="shared" ca="1" si="1"/>
        <v>-9.0999999999999998E-2</v>
      </c>
      <c r="X17" s="40">
        <f ca="1">IF(MIN($F17,'Comp-Bar'!$H19)&lt;0.5,'Comp-Bar'!H19,"")</f>
        <v>0.25214354492274649</v>
      </c>
      <c r="Y17" s="40">
        <f ca="1">IF(MIN($F17,'Comp-Bar'!$H19)&lt;0.5,'Comp-Bar'!I19,"")</f>
        <v>1210.3</v>
      </c>
      <c r="Z17" s="40">
        <f ca="1">IF(MIN($F17,'Comp-Bar'!$H19)&lt;0.5,'Comp-Bar'!J19,"")</f>
        <v>-9.0999999999999998E-2</v>
      </c>
    </row>
    <row r="18" spans="1:26" s="1" customFormat="1" ht="15" customHeight="1" x14ac:dyDescent="0.25">
      <c r="A18" s="92" t="s">
        <v>176</v>
      </c>
      <c r="B18" s="66">
        <f ca="1">IFERROR(VLOOKUP($A18,[1]!LOOKUP_MDAPs,B$2,FALSE)/$G18,"")</f>
        <v>0.24483316425958629</v>
      </c>
      <c r="C18" s="66">
        <f ca="1">IFERROR(VLOOKUP($A18,[1]!LOOKUP_MDAPs,C$2,FALSE)/$G18,"")</f>
        <v>0</v>
      </c>
      <c r="D18" s="66">
        <f ca="1">IFERROR(VLOOKUP($A18,[1]!LOOKUP_MDAPs,D$2,FALSE)/$G18,"")</f>
        <v>0.27811153763244201</v>
      </c>
      <c r="E18" s="66">
        <f ca="1">IFERROR(VLOOKUP($A18,[1]!LOOKUP_MDAPs,E$2,FALSE)/$G18,"")</f>
        <v>1.1492544147325933E-2</v>
      </c>
      <c r="F18" s="66">
        <f t="shared" ca="1" si="2"/>
        <v>0.46556275396064573</v>
      </c>
      <c r="G18" s="4">
        <f ca="1">IFERROR(VLOOKUP($A18,[1]!LOOKUP_MDAPs,G$2,FALSE),"")</f>
        <v>1585.6</v>
      </c>
      <c r="H18" s="3">
        <f ca="1">VLOOKUP($A18,[1]!LOOKUP_SARS_Unified2,H$2,FALSE)</f>
        <v>-1.9</v>
      </c>
      <c r="I18" s="3"/>
      <c r="J18" s="32">
        <f t="shared" ca="1" si="3"/>
        <v>-28827.37</v>
      </c>
      <c r="K18" s="26">
        <f ca="1">VLOOKUP($A18,[1]!LOOKUP_SARS_Unified2,K$1,FALSE)</f>
        <v>15172.3</v>
      </c>
      <c r="L18" s="83"/>
      <c r="M18" s="4"/>
      <c r="N18" s="12">
        <f>SUM(N6:O14)</f>
        <v>0</v>
      </c>
      <c r="O18" s="12"/>
      <c r="P18" s="12"/>
      <c r="Q18" s="17" t="s">
        <v>106</v>
      </c>
      <c r="T18" s="75" t="e">
        <f ca="1">'Comp-Bar'!M20</f>
        <v>#N/A</v>
      </c>
      <c r="U18" s="75">
        <f t="shared" si="0"/>
        <v>0</v>
      </c>
      <c r="V18" s="19">
        <f t="shared" ca="1" si="1"/>
        <v>-1.9</v>
      </c>
      <c r="X18" s="40">
        <f ca="1">IF(MIN($F18,'Comp-Bar'!$H20)&lt;0.5,'Comp-Bar'!H20,"")</f>
        <v>0.70091230769424817</v>
      </c>
      <c r="Y18" s="40">
        <f ca="1">IF(MIN($F18,'Comp-Bar'!$H20)&lt;0.5,'Comp-Bar'!I20,"")</f>
        <v>1585.6</v>
      </c>
      <c r="Z18" s="40">
        <f ca="1">IF(MIN($F18,'Comp-Bar'!$H20)&lt;0.5,'Comp-Bar'!J20,"")</f>
        <v>-1.9</v>
      </c>
    </row>
    <row r="19" spans="1:26" s="1" customFormat="1" ht="15" customHeight="1" x14ac:dyDescent="0.25">
      <c r="A19" s="92" t="s">
        <v>28</v>
      </c>
      <c r="B19" s="66">
        <f ca="1">IFERROR(VLOOKUP($A19,[1]!LOOKUP_MDAPs,B$2,FALSE)/$G19,"")</f>
        <v>0.19159994437279596</v>
      </c>
      <c r="C19" s="66">
        <f ca="1">IFERROR(VLOOKUP($A19,[1]!LOOKUP_MDAPs,C$2,FALSE)/$G19,"")</f>
        <v>0</v>
      </c>
      <c r="D19" s="66">
        <f ca="1">IFERROR(VLOOKUP($A19,[1]!LOOKUP_MDAPs,D$2,FALSE)/$G19,"")</f>
        <v>2.840822216624685E-3</v>
      </c>
      <c r="E19" s="66">
        <f ca="1">IFERROR(VLOOKUP($A19,[1]!LOOKUP_MDAPs,E$2,FALSE)/$G19,"")</f>
        <v>5.6990063274559204E-3</v>
      </c>
      <c r="F19" s="66">
        <f t="shared" ca="1" si="2"/>
        <v>0.79986022708312343</v>
      </c>
      <c r="G19" s="4">
        <f ca="1">IFERROR(VLOOKUP($A19,[1]!LOOKUP_MDAPs,G$2,FALSE),"")</f>
        <v>1985</v>
      </c>
      <c r="H19" s="3">
        <f ca="1">VLOOKUP($A19,[1]!LOOKUP_SARS_Unified2,H$2,FALSE)</f>
        <v>-8.5000000000000006E-2</v>
      </c>
      <c r="I19" s="3"/>
      <c r="J19" s="32">
        <f t="shared" ca="1" si="3"/>
        <v>-535.52550000000008</v>
      </c>
      <c r="K19" s="26">
        <f ca="1">VLOOKUP($A19,[1]!LOOKUP_SARS_Unified2,K$1,FALSE)</f>
        <v>6300.3</v>
      </c>
      <c r="L19" s="83"/>
      <c r="N19" s="18" t="s">
        <v>95</v>
      </c>
      <c r="O19" s="18" t="s">
        <v>94</v>
      </c>
      <c r="P19" s="22" t="s">
        <v>105</v>
      </c>
      <c r="Q19" s="17" t="s">
        <v>106</v>
      </c>
      <c r="T19" s="75" t="e">
        <f ca="1">'Comp-Bar'!M21</f>
        <v>#N/A</v>
      </c>
      <c r="U19" s="75">
        <f t="shared" si="0"/>
        <v>0</v>
      </c>
      <c r="V19" s="19">
        <f t="shared" ca="1" si="1"/>
        <v>-8.5000000000000006E-2</v>
      </c>
      <c r="X19" s="40" t="str">
        <f ca="1">IF(MIN($F19,'Comp-Bar'!$H21)&lt;0.5,'Comp-Bar'!H21,"")</f>
        <v/>
      </c>
      <c r="Y19" s="40" t="str">
        <f ca="1">IF(MIN($F19,'Comp-Bar'!$H21)&lt;0.5,'Comp-Bar'!I21,"")</f>
        <v/>
      </c>
      <c r="Z19" s="40" t="str">
        <f ca="1">IF(MIN($F19,'Comp-Bar'!$H21)&lt;0.5,'Comp-Bar'!J21,"")</f>
        <v/>
      </c>
    </row>
    <row r="20" spans="1:26" s="1" customFormat="1" ht="15" customHeight="1" x14ac:dyDescent="0.25">
      <c r="A20" s="92" t="s">
        <v>19</v>
      </c>
      <c r="B20" s="66">
        <f ca="1">IFERROR(VLOOKUP($A20,[1]!LOOKUP_MDAPs,B$2,FALSE)/$G20,"")</f>
        <v>0.82341390594067587</v>
      </c>
      <c r="C20" s="66">
        <f ca="1">IFERROR(VLOOKUP($A20,[1]!LOOKUP_MDAPs,C$2,FALSE)/$G20,"")</f>
        <v>0</v>
      </c>
      <c r="D20" s="66">
        <f ca="1">IFERROR(VLOOKUP($A20,[1]!LOOKUP_MDAPs,D$2,FALSE)/$G20,"")</f>
        <v>2.7797585611972424E-2</v>
      </c>
      <c r="E20" s="66">
        <f ca="1">IFERROR(VLOOKUP($A20,[1]!LOOKUP_MDAPs,E$2,FALSE)/$G20,"")</f>
        <v>4.1136436231914049E-2</v>
      </c>
      <c r="F20" s="66">
        <f t="shared" ca="1" si="2"/>
        <v>0.1076520722154376</v>
      </c>
      <c r="G20" s="4">
        <f ca="1">IFERROR(VLOOKUP($A20,[1]!LOOKUP_MDAPs,G$2,FALSE),"")</f>
        <v>9662.2000000000007</v>
      </c>
      <c r="H20" s="3">
        <f ca="1">VLOOKUP($A20,[1]!LOOKUP_SARS_Unified2,H$2,FALSE)</f>
        <v>0.312</v>
      </c>
      <c r="I20" s="3"/>
      <c r="J20" s="32">
        <f t="shared" ca="1" si="3"/>
        <v>261.9864</v>
      </c>
      <c r="K20" s="26">
        <f ca="1">VLOOKUP($A20,[1]!LOOKUP_SARS_Unified2,K$1,FALSE)</f>
        <v>839.7</v>
      </c>
      <c r="L20" s="83"/>
      <c r="M20" s="1" t="s">
        <v>234</v>
      </c>
      <c r="N20" s="85" t="e">
        <f ca="1">SUMPRODUCT((Funding_Overrun_Dollars&gt;=0)*(Funding_Overrun_Dollars)*(Funding_Fixed_Price))</f>
        <v>#VALUE!</v>
      </c>
      <c r="O20" s="85" t="e">
        <f ca="1">SUMPRODUCT((Funding_Overrun_Dollars&lt;0)*(Funding_Overrun_Dollars)*(Funding_Fixed_Price))</f>
        <v>#VALUE!</v>
      </c>
      <c r="P20" s="41">
        <f ca="1">SUMPRODUCT(Funding_Overrun_Percent,Funding_Fixed_Price)/SUM(Funding_Fixed_Price)</f>
        <v>8.2761787877234427E-2</v>
      </c>
      <c r="Q20" s="97" t="e">
        <f ca="1">SUM(N20:O20)/SUMPRODUCT(Funding_Baseline,Funding_Fixed_Price)</f>
        <v>#VALUE!</v>
      </c>
      <c r="R20" s="86">
        <f ca="1">SUMPRODUCT(Funding_Baseline,Funding_Fixed_Price)</f>
        <v>219190.64212972738</v>
      </c>
      <c r="T20" s="75" t="e">
        <f ca="1">'Comp-Bar'!M22</f>
        <v>#N/A</v>
      </c>
      <c r="U20" s="75">
        <f t="shared" si="0"/>
        <v>0</v>
      </c>
      <c r="V20" s="19">
        <f t="shared" ca="1" si="1"/>
        <v>0.312</v>
      </c>
      <c r="X20" s="40">
        <f ca="1">IF(MIN($F20,'Comp-Bar'!$H22)&lt;0.5,'Comp-Bar'!H22,"")</f>
        <v>0.4184480996160298</v>
      </c>
      <c r="Y20" s="40">
        <f ca="1">IF(MIN($F20,'Comp-Bar'!$H22)&lt;0.5,'Comp-Bar'!I22,"")</f>
        <v>9662.2000000000007</v>
      </c>
      <c r="Z20" s="40">
        <f ca="1">IF(MIN($F20,'Comp-Bar'!$H22)&lt;0.5,'Comp-Bar'!J22,"")</f>
        <v>0.312</v>
      </c>
    </row>
    <row r="21" spans="1:26" s="1" customFormat="1" ht="15" customHeight="1" x14ac:dyDescent="0.25">
      <c r="A21" s="92" t="s">
        <v>24</v>
      </c>
      <c r="B21" s="66">
        <f ca="1">IFERROR(VLOOKUP($A21,[1]!LOOKUP_MDAPs,B$2,FALSE)/$G21,"")</f>
        <v>0.3083859833650725</v>
      </c>
      <c r="C21" s="66">
        <f ca="1">IFERROR(VLOOKUP($A21,[1]!LOOKUP_MDAPs,C$2,FALSE)/$G21,"")</f>
        <v>0</v>
      </c>
      <c r="D21" s="66">
        <f ca="1">IFERROR(VLOOKUP($A21,[1]!LOOKUP_MDAPs,D$2,FALSE)/$G21,"")</f>
        <v>2.3648448165291143E-3</v>
      </c>
      <c r="E21" s="66">
        <f ca="1">IFERROR(VLOOKUP($A21,[1]!LOOKUP_MDAPs,E$2,FALSE)/$G21,"")</f>
        <v>1.1122002997268435E-2</v>
      </c>
      <c r="F21" s="66">
        <f t="shared" ca="1" si="2"/>
        <v>0.67812716882112989</v>
      </c>
      <c r="G21" s="4">
        <f ca="1">IFERROR(VLOOKUP($A21,[1]!LOOKUP_MDAPs,G$2,FALSE),"")</f>
        <v>68422.3</v>
      </c>
      <c r="H21" s="3">
        <f ca="1">VLOOKUP($A21,[1]!LOOKUP_SARS_Unified2,H$2,FALSE)</f>
        <v>0.56399999999999995</v>
      </c>
      <c r="I21" s="3"/>
      <c r="J21" s="32">
        <f t="shared" ca="1" si="3"/>
        <v>23581.911599999999</v>
      </c>
      <c r="K21" s="26">
        <f ca="1">VLOOKUP($A21,[1]!LOOKUP_SARS_Unified2,K$1,FALSE)</f>
        <v>41811.9</v>
      </c>
      <c r="L21" s="83"/>
      <c r="M21" s="1" t="s">
        <v>201</v>
      </c>
      <c r="N21" s="85" t="e">
        <f ca="1">SUMPRODUCT((Funding_Overrun_Dollars&gt;=0)*(Funding_Overrun_Dollars)*(Funding_Combination))</f>
        <v>#VALUE!</v>
      </c>
      <c r="O21" s="85" t="e">
        <f ca="1">SUMPRODUCT((Funding_Overrun_Dollars&lt;0)*(Funding_Overrun_Dollars)*(Funding_Combination))</f>
        <v>#VALUE!</v>
      </c>
      <c r="P21" s="41">
        <f ca="1">SUMPRODUCT(Funding_Overrun_Percent,Funding_Combination)/SUM(Funding_Combination)</f>
        <v>0.77864599248763511</v>
      </c>
      <c r="Q21" s="97" t="e">
        <f ca="1">SUM(N21:O21)/SUMPRODUCT(Funding_Baseline,Funding_Combination)</f>
        <v>#VALUE!</v>
      </c>
      <c r="R21" s="84">
        <f ca="1">SUMPRODUCT(Funding_Baseline,Funding_Combination)</f>
        <v>12856.018072468505</v>
      </c>
      <c r="T21" s="75" t="e">
        <f ca="1">'Comp-Bar'!M23</f>
        <v>#N/A</v>
      </c>
      <c r="U21" s="75">
        <f t="shared" si="0"/>
        <v>0</v>
      </c>
      <c r="V21" s="19">
        <f t="shared" ca="1" si="1"/>
        <v>0.56399999999999995</v>
      </c>
      <c r="X21" s="40" t="str">
        <f ca="1">IF(MIN($F21,'Comp-Bar'!$H23)&lt;0.5,'Comp-Bar'!H23,"")</f>
        <v/>
      </c>
      <c r="Y21" s="40" t="str">
        <f ca="1">IF(MIN($F21,'Comp-Bar'!$H23)&lt;0.5,'Comp-Bar'!I23,"")</f>
        <v/>
      </c>
      <c r="Z21" s="40" t="str">
        <f ca="1">IF(MIN($F21,'Comp-Bar'!$H23)&lt;0.5,'Comp-Bar'!J23,"")</f>
        <v/>
      </c>
    </row>
    <row r="22" spans="1:26" s="1" customFormat="1" ht="15" customHeight="1" x14ac:dyDescent="0.25">
      <c r="A22" s="92" t="s">
        <v>27</v>
      </c>
      <c r="B22" s="66">
        <f ca="1">IFERROR(VLOOKUP($A22,[1]!LOOKUP_MDAPs,B$2,FALSE)/$G22,"")</f>
        <v>0.36096936631637477</v>
      </c>
      <c r="C22" s="66">
        <f ca="1">IFERROR(VLOOKUP($A22,[1]!LOOKUP_MDAPs,C$2,FALSE)/$G22,"")</f>
        <v>0</v>
      </c>
      <c r="D22" s="66">
        <f ca="1">IFERROR(VLOOKUP($A22,[1]!LOOKUP_MDAPs,D$2,FALSE)/$G22,"")</f>
        <v>2.3310957436752855E-3</v>
      </c>
      <c r="E22" s="66">
        <f ca="1">IFERROR(VLOOKUP($A22,[1]!LOOKUP_MDAPs,E$2,FALSE)/$G22,"")</f>
        <v>2.7991406839032525E-3</v>
      </c>
      <c r="F22" s="66">
        <f t="shared" ca="1" si="2"/>
        <v>0.63390039725604663</v>
      </c>
      <c r="G22" s="4">
        <f ca="1">IFERROR(VLOOKUP($A22,[1]!LOOKUP_MDAPs,G$2,FALSE),"")</f>
        <v>3597</v>
      </c>
      <c r="H22" s="3">
        <f ca="1">VLOOKUP($A22,[1]!LOOKUP_SARS_Unified2,H$2,FALSE)</f>
        <v>-3.4000000000000002E-2</v>
      </c>
      <c r="I22" s="3"/>
      <c r="J22" s="32">
        <f t="shared" ca="1" si="3"/>
        <v>-261.5994</v>
      </c>
      <c r="K22" s="26">
        <f ca="1">VLOOKUP($A22,[1]!LOOKUP_SARS_Unified2,K$1,FALSE)</f>
        <v>7694.1</v>
      </c>
      <c r="L22" s="83"/>
      <c r="M22" s="22" t="s">
        <v>236</v>
      </c>
      <c r="N22" s="85" t="e">
        <f ca="1">SUMPRODUCT((Funding_Overrun_Dollars&gt;=0)*(Funding_Overrun_Dollars)*(Funding_Cost_Award_Incent))</f>
        <v>#VALUE!</v>
      </c>
      <c r="O22" s="85" t="e">
        <f ca="1">SUMPRODUCT((Funding_Overrun_Dollars&lt;0)*(Funding_Overrun_Dollars)*(Funding_Cost_Award_Incent))</f>
        <v>#VALUE!</v>
      </c>
      <c r="P22" s="41">
        <f ca="1">SUMPRODUCT(Funding_Overrun_Percent,Funding_Cost_Award_Incent)/SUM(Funding_Cost_Award_Incent)</f>
        <v>0.27321796146561889</v>
      </c>
      <c r="Q22" s="97" t="e">
        <f ca="1">SUM(N22:O22)/SUMPRODUCT(Funding_Baseline,Funding_Cost_Award_Incent)</f>
        <v>#VALUE!</v>
      </c>
      <c r="R22" s="84">
        <f ca="1">SUMPRODUCT(Funding_Baseline,Funding_Cost_Award_Incent)</f>
        <v>47234.677725832749</v>
      </c>
      <c r="T22" s="75" t="e">
        <f ca="1">'Comp-Bar'!M24</f>
        <v>#N/A</v>
      </c>
      <c r="U22" s="75">
        <f t="shared" si="0"/>
        <v>0</v>
      </c>
      <c r="V22" s="19">
        <f t="shared" ca="1" si="1"/>
        <v>-3.4000000000000002E-2</v>
      </c>
      <c r="X22" s="40" t="str">
        <f ca="1">IF(MIN($F22,'Comp-Bar'!$H24)&lt;0.5,'Comp-Bar'!H24,"")</f>
        <v/>
      </c>
      <c r="Y22" s="40" t="str">
        <f ca="1">IF(MIN($F22,'Comp-Bar'!$H24)&lt;0.5,'Comp-Bar'!I24,"")</f>
        <v/>
      </c>
      <c r="Z22" s="40" t="str">
        <f ca="1">IF(MIN($F22,'Comp-Bar'!$H24)&lt;0.5,'Comp-Bar'!J24,"")</f>
        <v/>
      </c>
    </row>
    <row r="23" spans="1:26" s="1" customFormat="1" ht="15" customHeight="1" x14ac:dyDescent="0.25">
      <c r="A23" s="92" t="s">
        <v>250</v>
      </c>
      <c r="B23" s="66">
        <f ca="1">IFERROR(VLOOKUP($A23,[1]!LOOKUP_MDAPs,B$2,FALSE)/$G23,"")</f>
        <v>-2.1141562853907133E-4</v>
      </c>
      <c r="C23" s="66">
        <f ca="1">IFERROR(VLOOKUP($A23,[1]!LOOKUP_MDAPs,C$2,FALSE)/$G23,"")</f>
        <v>0</v>
      </c>
      <c r="D23" s="66">
        <f ca="1">IFERROR(VLOOKUP($A23,[1]!LOOKUP_MDAPs,D$2,FALSE)/$G23,"")</f>
        <v>0</v>
      </c>
      <c r="E23" s="66">
        <f ca="1">IFERROR(VLOOKUP($A23,[1]!LOOKUP_MDAPs,E$2,FALSE)/$G23,"")</f>
        <v>0</v>
      </c>
      <c r="F23" s="66">
        <f t="shared" ca="1" si="2"/>
        <v>1.0002114156285391</v>
      </c>
      <c r="G23" s="4">
        <f ca="1">IFERROR(VLOOKUP($A23,[1]!LOOKUP_MDAPs,G$2,FALSE),"")</f>
        <v>1147.9000000000001</v>
      </c>
      <c r="H23" s="3">
        <f ca="1">VLOOKUP($A23,[1]!LOOKUP_SARS_Unified2,H$2,FALSE)</f>
        <v>0.21199999999999999</v>
      </c>
      <c r="I23" s="3"/>
      <c r="J23" s="32">
        <f t="shared" ca="1" si="3"/>
        <v>181.53559999999999</v>
      </c>
      <c r="K23" s="26">
        <f ca="1">VLOOKUP($A23,[1]!LOOKUP_SARS_Unified2,K$1,FALSE)</f>
        <v>856.3</v>
      </c>
      <c r="L23" s="83"/>
      <c r="M23" s="1" t="s">
        <v>235</v>
      </c>
      <c r="N23" s="85" t="e">
        <f ca="1">SUMPRODUCT((Funding_Overrun_Dollars&gt;=0)*(Funding_Overrun_Dollars)*(Funding_Cost_Other))</f>
        <v>#VALUE!</v>
      </c>
      <c r="O23" s="85" t="e">
        <f ca="1">SUMPRODUCT((Funding_Overrun_Dollars&lt;0)*(Funding_Overrun_Dollars)*(Funding_Cost_Other))</f>
        <v>#VALUE!</v>
      </c>
      <c r="P23" s="41">
        <f ca="1">SUMPRODUCT(Funding_Overrun_Percent,Funding_Cost_Other)/SUM(Funding_Cost_Other)</f>
        <v>0.43235662177672296</v>
      </c>
      <c r="Q23" s="97" t="e">
        <f ca="1">SUM(N23:O23)/SUMPRODUCT(Funding_Baseline,Funding_Cost_Other)</f>
        <v>#VALUE!</v>
      </c>
      <c r="R23" s="84">
        <f ca="1">SUMPRODUCT(Funding_Baseline,Funding_Cost_Other)</f>
        <v>143737.67369105137</v>
      </c>
      <c r="T23" s="75" t="e">
        <f ca="1">'Comp-Bar'!M25</f>
        <v>#N/A</v>
      </c>
      <c r="U23" s="75">
        <f t="shared" si="0"/>
        <v>0</v>
      </c>
      <c r="V23" s="19">
        <f t="shared" ca="1" si="1"/>
        <v>0.21199999999999999</v>
      </c>
      <c r="X23" s="40" t="str">
        <f ca="1">IF(MIN($F23,'Comp-Bar'!$H25)&lt;0.5,'Comp-Bar'!H25,"")</f>
        <v/>
      </c>
      <c r="Y23" s="40" t="str">
        <f ca="1">IF(MIN($F23,'Comp-Bar'!$H25)&lt;0.5,'Comp-Bar'!I25,"")</f>
        <v/>
      </c>
      <c r="Z23" s="40" t="str">
        <f ca="1">IF(MIN($F23,'Comp-Bar'!$H25)&lt;0.5,'Comp-Bar'!J25,"")</f>
        <v/>
      </c>
    </row>
    <row r="24" spans="1:26" s="1" customFormat="1" ht="15" customHeight="1" x14ac:dyDescent="0.25">
      <c r="A24" s="92" t="s">
        <v>16</v>
      </c>
      <c r="B24" s="66">
        <f ca="1">IFERROR(VLOOKUP($A24,[1]!LOOKUP_MDAPs,B$2,FALSE)/$G24,"")</f>
        <v>0.13438655156485724</v>
      </c>
      <c r="C24" s="66">
        <f ca="1">IFERROR(VLOOKUP($A24,[1]!LOOKUP_MDAPs,C$2,FALSE)/$G24,"")</f>
        <v>0</v>
      </c>
      <c r="D24" s="66">
        <f ca="1">IFERROR(VLOOKUP($A24,[1]!LOOKUP_MDAPs,D$2,FALSE)/$G24,"")</f>
        <v>1.0034753270976768E-3</v>
      </c>
      <c r="E24" s="66">
        <f ca="1">IFERROR(VLOOKUP($A24,[1]!LOOKUP_MDAPs,E$2,FALSE)/$G24,"")</f>
        <v>1.2907116625065147E-2</v>
      </c>
      <c r="F24" s="66">
        <f t="shared" ca="1" si="2"/>
        <v>0.85170285648297994</v>
      </c>
      <c r="G24" s="4">
        <f ca="1">IFERROR(VLOOKUP($A24,[1]!LOOKUP_MDAPs,G$2,FALSE),"")</f>
        <v>3645.7</v>
      </c>
      <c r="H24" s="3">
        <f ca="1">VLOOKUP($A24,[1]!LOOKUP_SARS_Unified2,H$2,FALSE)</f>
        <v>0.17399999999999999</v>
      </c>
      <c r="I24" s="3"/>
      <c r="J24" s="32">
        <f t="shared" ca="1" si="3"/>
        <v>750.06179999999995</v>
      </c>
      <c r="K24" s="26">
        <f ca="1">VLOOKUP($A24,[1]!LOOKUP_SARS_Unified2,K$1,FALSE)</f>
        <v>4310.7</v>
      </c>
      <c r="L24" s="83"/>
      <c r="M24" s="1" t="s">
        <v>158</v>
      </c>
      <c r="N24" s="85" t="e">
        <f ca="1">SUMPRODUCT((Funding_Overrun_Dollars&gt;=0)*(Funding_Overrun_Dollars)*(Funding_Unclear))</f>
        <v>#VALUE!</v>
      </c>
      <c r="O24" s="85" t="e">
        <f ca="1">SUMPRODUCT((Funding_Overrun_Dollars&lt;0)*(Funding_Overrun_Dollars)*(Funding_Unclear))</f>
        <v>#VALUE!</v>
      </c>
      <c r="P24" s="41">
        <f ca="1">SUMPRODUCT(Funding_Overrun_Percent,Funding_Unclear)/SUM(Funding_Unclear)</f>
        <v>0.25541767499214546</v>
      </c>
      <c r="Q24" s="97" t="e">
        <f ca="1">SUM(N24:O24)/SUMPRODUCT(Funding_Baseline,Funding_Unclear)</f>
        <v>#VALUE!</v>
      </c>
      <c r="R24" s="84">
        <f ca="1">SUMPRODUCT(Funding_Baseline,Funding_Unclear)</f>
        <v>984117.18838092021</v>
      </c>
      <c r="T24" s="75" t="e">
        <f ca="1">'Comp-Bar'!M26</f>
        <v>#N/A</v>
      </c>
      <c r="U24" s="75">
        <f t="shared" si="0"/>
        <v>0</v>
      </c>
      <c r="V24" s="19">
        <f t="shared" ca="1" si="1"/>
        <v>0.17399999999999999</v>
      </c>
      <c r="X24" s="40" t="str">
        <f ca="1">IF(MIN($F24,'Comp-Bar'!$H26)&lt;0.5,'Comp-Bar'!H26,"")</f>
        <v/>
      </c>
      <c r="Y24" s="40" t="str">
        <f ca="1">IF(MIN($F24,'Comp-Bar'!$H26)&lt;0.5,'Comp-Bar'!I26,"")</f>
        <v/>
      </c>
      <c r="Z24" s="40" t="str">
        <f ca="1">IF(MIN($F24,'Comp-Bar'!$H26)&lt;0.5,'Comp-Bar'!J26,"")</f>
        <v/>
      </c>
    </row>
    <row r="25" spans="1:26" s="1" customFormat="1" ht="15" customHeight="1" x14ac:dyDescent="0.25">
      <c r="A25" s="92" t="s">
        <v>22</v>
      </c>
      <c r="B25" s="66">
        <f ca="1">IFERROR(VLOOKUP($A25,[1]!LOOKUP_MDAPs,B$2,FALSE)/$G25,"")</f>
        <v>0.80199259174411086</v>
      </c>
      <c r="C25" s="66">
        <f ca="1">IFERROR(VLOOKUP($A25,[1]!LOOKUP_MDAPs,C$2,FALSE)/$G25,"")</f>
        <v>0</v>
      </c>
      <c r="D25" s="66">
        <f ca="1">IFERROR(VLOOKUP($A25,[1]!LOOKUP_MDAPs,D$2,FALSE)/$G25,"")</f>
        <v>-1.1152699851916646E-4</v>
      </c>
      <c r="E25" s="66">
        <f ca="1">IFERROR(VLOOKUP($A25,[1]!LOOKUP_MDAPs,E$2,FALSE)/$G25,"")</f>
        <v>0.24937374401071291</v>
      </c>
      <c r="F25" s="66">
        <f t="shared" ca="1" si="2"/>
        <v>-5.1254808756304726E-2</v>
      </c>
      <c r="G25" s="4">
        <f ca="1">IFERROR(VLOOKUP($A25,[1]!LOOKUP_MDAPs,G$2,FALSE),"")</f>
        <v>9921.8934849199995</v>
      </c>
      <c r="H25" s="3">
        <f ca="1">VLOOKUP($A25,[1]!LOOKUP_SARS_Unified2,H$2,FALSE)</f>
        <v>0.127</v>
      </c>
      <c r="I25" s="3"/>
      <c r="J25" s="32">
        <f t="shared" ca="1" si="3"/>
        <v>1542.7198000000001</v>
      </c>
      <c r="K25" s="26">
        <f ca="1">VLOOKUP($A25,[1]!LOOKUP_SARS_Unified2,K$1,FALSE)</f>
        <v>12147.4</v>
      </c>
      <c r="L25" s="83"/>
      <c r="Q25" s="97"/>
      <c r="T25" s="75" t="e">
        <f ca="1">'Comp-Bar'!M27</f>
        <v>#N/A</v>
      </c>
      <c r="U25" s="75">
        <f t="shared" si="0"/>
        <v>0</v>
      </c>
      <c r="V25" s="19">
        <f t="shared" ca="1" si="1"/>
        <v>0.127</v>
      </c>
      <c r="X25" s="40">
        <f ca="1">IF(MIN($F25,'Comp-Bar'!$H27)&lt;0.5,'Comp-Bar'!H27,"")</f>
        <v>-1.2848833246774882E-2</v>
      </c>
      <c r="Y25" s="40">
        <f ca="1">IF(MIN($F25,'Comp-Bar'!$H27)&lt;0.5,'Comp-Bar'!I27,"")</f>
        <v>9921.8934849199995</v>
      </c>
      <c r="Z25" s="40">
        <f ca="1">IF(MIN($F25,'Comp-Bar'!$H27)&lt;0.5,'Comp-Bar'!J27,"")</f>
        <v>0.127</v>
      </c>
    </row>
    <row r="26" spans="1:26" s="1" customFormat="1" ht="15" customHeight="1" x14ac:dyDescent="0.25">
      <c r="A26" s="92" t="s">
        <v>23</v>
      </c>
      <c r="B26" s="66">
        <f ca="1">IFERROR(VLOOKUP($A26,[1]!LOOKUP_MDAPs,B$2,FALSE)/$G26,"")</f>
        <v>1.0500928988146111E-3</v>
      </c>
      <c r="C26" s="66">
        <f ca="1">IFERROR(VLOOKUP($A26,[1]!LOOKUP_MDAPs,C$2,FALSE)/$G26,"")</f>
        <v>0</v>
      </c>
      <c r="D26" s="66">
        <f ca="1">IFERROR(VLOOKUP($A26,[1]!LOOKUP_MDAPs,D$2,FALSE)/$G26,"")</f>
        <v>0</v>
      </c>
      <c r="E26" s="66">
        <f ca="1">IFERROR(VLOOKUP($A26,[1]!LOOKUP_MDAPs,E$2,FALSE)/$G26,"")</f>
        <v>1.6026940656237228E-4</v>
      </c>
      <c r="F26" s="66">
        <f t="shared" ca="1" si="2"/>
        <v>0.99878963769462303</v>
      </c>
      <c r="G26" s="4">
        <f ca="1">IFERROR(VLOOKUP($A26,[1]!LOOKUP_MDAPs,G$2,FALSE),"")</f>
        <v>2691.1</v>
      </c>
      <c r="H26" s="3">
        <f ca="1">VLOOKUP($A26,[1]!LOOKUP_SARS_Unified2,H$2,FALSE)</f>
        <v>0.217</v>
      </c>
      <c r="I26" s="3"/>
      <c r="J26" s="32">
        <f t="shared" ca="1" si="3"/>
        <v>4072.2871</v>
      </c>
      <c r="K26" s="26">
        <f ca="1">VLOOKUP($A26,[1]!LOOKUP_SARS_Unified2,K$1,FALSE)</f>
        <v>18766.3</v>
      </c>
      <c r="L26" s="83"/>
      <c r="Q26" s="97"/>
      <c r="T26" s="75" t="e">
        <f ca="1">'Comp-Bar'!M28</f>
        <v>#N/A</v>
      </c>
      <c r="U26" s="75">
        <f t="shared" si="0"/>
        <v>0</v>
      </c>
      <c r="V26" s="19">
        <f t="shared" ca="1" si="1"/>
        <v>0.217</v>
      </c>
      <c r="X26" s="40" t="str">
        <f ca="1">IF(MIN($F26,'Comp-Bar'!$H28)&lt;0.5,'Comp-Bar'!H28,"")</f>
        <v/>
      </c>
      <c r="Y26" s="40" t="str">
        <f ca="1">IF(MIN($F26,'Comp-Bar'!$H28)&lt;0.5,'Comp-Bar'!I28,"")</f>
        <v/>
      </c>
      <c r="Z26" s="40" t="str">
        <f ca="1">IF(MIN($F26,'Comp-Bar'!$H28)&lt;0.5,'Comp-Bar'!J28,"")</f>
        <v/>
      </c>
    </row>
    <row r="27" spans="1:26" s="1" customFormat="1" ht="15" customHeight="1" x14ac:dyDescent="0.25">
      <c r="A27" s="92" t="s">
        <v>47</v>
      </c>
      <c r="B27" s="66">
        <f ca="1">IFERROR(VLOOKUP($A27,[1]!LOOKUP_MDAPs,B$2,FALSE)/$G27,"")</f>
        <v>0</v>
      </c>
      <c r="C27" s="66">
        <f ca="1">IFERROR(VLOOKUP($A27,[1]!LOOKUP_MDAPs,C$2,FALSE)/$G27,"")</f>
        <v>2.266154252736792E-2</v>
      </c>
      <c r="D27" s="66">
        <f ca="1">IFERROR(VLOOKUP($A27,[1]!LOOKUP_MDAPs,D$2,FALSE)/$G27,"")</f>
        <v>0.34864493478998093</v>
      </c>
      <c r="E27" s="66">
        <f ca="1">IFERROR(VLOOKUP($A27,[1]!LOOKUP_MDAPs,E$2,FALSE)/$G27,"")</f>
        <v>0.80012161558781536</v>
      </c>
      <c r="F27" s="66">
        <f t="shared" ca="1" si="2"/>
        <v>-0.17142809290516414</v>
      </c>
      <c r="G27" s="4">
        <f ca="1">IFERROR(VLOOKUP($A27,[1]!LOOKUP_MDAPs,G$2,FALSE),"")</f>
        <v>3361.6</v>
      </c>
      <c r="H27" s="3">
        <f ca="1">VLOOKUP($A27,[1]!LOOKUP_SARS_Unified2,H$2,FALSE)</f>
        <v>3.3680000000000003</v>
      </c>
      <c r="I27" s="3"/>
      <c r="J27" s="32">
        <f t="shared" ca="1" si="3"/>
        <v>8185.5872000000008</v>
      </c>
      <c r="K27" s="26">
        <f ca="1">VLOOKUP($A27,[1]!LOOKUP_SARS_Unified2,K$1,FALSE)</f>
        <v>2430.4</v>
      </c>
      <c r="L27" s="83"/>
      <c r="Q27" s="97"/>
      <c r="T27" s="75" t="e">
        <f ca="1">'Comp-Bar'!M29</f>
        <v>#N/A</v>
      </c>
      <c r="U27" s="75">
        <f t="shared" si="0"/>
        <v>0</v>
      </c>
      <c r="V27" s="19">
        <f t="shared" ca="1" si="1"/>
        <v>3.3680000000000003</v>
      </c>
      <c r="X27" s="40">
        <f ca="1">IF(MIN($F27,'Comp-Bar'!$H29)&lt;0.5,'Comp-Bar'!H29,"")</f>
        <v>3.6499293202641558E-2</v>
      </c>
      <c r="Y27" s="40">
        <f ca="1">IF(MIN($F27,'Comp-Bar'!$H29)&lt;0.5,'Comp-Bar'!I29,"")</f>
        <v>3361.6</v>
      </c>
      <c r="Z27" s="40">
        <f ca="1">IF(MIN($F27,'Comp-Bar'!$H29)&lt;0.5,'Comp-Bar'!J29,"")</f>
        <v>3.3680000000000003</v>
      </c>
    </row>
    <row r="28" spans="1:26" s="1" customFormat="1" ht="15" customHeight="1" x14ac:dyDescent="0.25">
      <c r="A28" s="92" t="s">
        <v>55</v>
      </c>
      <c r="B28" s="66">
        <f ca="1">IFERROR(VLOOKUP($A28,[1]!LOOKUP_MDAPs,B$2,FALSE)/$G28,"")</f>
        <v>1.5661270424312944E-3</v>
      </c>
      <c r="C28" s="66">
        <f ca="1">IFERROR(VLOOKUP($A28,[1]!LOOKUP_MDAPs,C$2,FALSE)/$G28,"")</f>
        <v>0</v>
      </c>
      <c r="D28" s="66">
        <f ca="1">IFERROR(VLOOKUP($A28,[1]!LOOKUP_MDAPs,D$2,FALSE)/$G28,"")</f>
        <v>0</v>
      </c>
      <c r="E28" s="66">
        <f ca="1">IFERROR(VLOOKUP($A28,[1]!LOOKUP_MDAPs,E$2,FALSE)/$G28,"")</f>
        <v>2.8820518760785317E-2</v>
      </c>
      <c r="F28" s="66">
        <f t="shared" ca="1" si="2"/>
        <v>0.96961335419678341</v>
      </c>
      <c r="G28" s="4">
        <f ca="1">IFERROR(VLOOKUP($A28,[1]!LOOKUP_MDAPs,G$2,FALSE),"")</f>
        <v>20282.2</v>
      </c>
      <c r="H28" s="3">
        <f ca="1">VLOOKUP($A28,[1]!LOOKUP_SARS_Unified2,H$2,FALSE)</f>
        <v>0.93</v>
      </c>
      <c r="I28" s="3"/>
      <c r="J28" s="32">
        <f t="shared" ca="1" si="3"/>
        <v>11978.307000000001</v>
      </c>
      <c r="K28" s="26">
        <f ca="1">VLOOKUP($A28,[1]!LOOKUP_SARS_Unified2,K$1,FALSE)</f>
        <v>12879.9</v>
      </c>
      <c r="L28" s="83"/>
      <c r="Q28" s="97"/>
      <c r="T28" s="75" t="e">
        <f ca="1">'Comp-Bar'!M30</f>
        <v>#N/A</v>
      </c>
      <c r="U28" s="75">
        <f t="shared" si="0"/>
        <v>0</v>
      </c>
      <c r="V28" s="19">
        <f t="shared" ca="1" si="1"/>
        <v>0.93</v>
      </c>
      <c r="X28" s="40" t="str">
        <f ca="1">IF(MIN($F28,'Comp-Bar'!$H30)&lt;0.5,'Comp-Bar'!H30,"")</f>
        <v/>
      </c>
      <c r="Y28" s="40" t="str">
        <f ca="1">IF(MIN($F28,'Comp-Bar'!$H30)&lt;0.5,'Comp-Bar'!I30,"")</f>
        <v/>
      </c>
      <c r="Z28" s="40" t="str">
        <f ca="1">IF(MIN($F28,'Comp-Bar'!$H30)&lt;0.5,'Comp-Bar'!J30,"")</f>
        <v/>
      </c>
    </row>
    <row r="29" spans="1:26" s="1" customFormat="1" ht="15" customHeight="1" x14ac:dyDescent="0.25">
      <c r="A29" s="92" t="s">
        <v>20</v>
      </c>
      <c r="B29" s="66">
        <f ca="1">IFERROR(VLOOKUP($A29,[1]!LOOKUP_MDAPs,B$2,FALSE)/$G29,"")</f>
        <v>0.57166669995625552</v>
      </c>
      <c r="C29" s="66">
        <f ca="1">IFERROR(VLOOKUP($A29,[1]!LOOKUP_MDAPs,C$2,FALSE)/$G29,"")</f>
        <v>0</v>
      </c>
      <c r="D29" s="66">
        <f ca="1">IFERROR(VLOOKUP($A29,[1]!LOOKUP_MDAPs,D$2,FALSE)/$G29,"")</f>
        <v>3.6872710229971246E-2</v>
      </c>
      <c r="E29" s="66">
        <f ca="1">IFERROR(VLOOKUP($A29,[1]!LOOKUP_MDAPs,E$2,FALSE)/$G29,"")</f>
        <v>7.5408308961379816E-2</v>
      </c>
      <c r="F29" s="66">
        <f t="shared" ca="1" si="2"/>
        <v>0.31605228085239334</v>
      </c>
      <c r="G29" s="4">
        <f ca="1">IFERROR(VLOOKUP($A29,[1]!LOOKUP_MDAPs,G$2,FALSE),"")</f>
        <v>1600.2</v>
      </c>
      <c r="H29" s="3">
        <f ca="1">VLOOKUP($A29,[1]!LOOKUP_SARS_Unified2,H$2,FALSE)</f>
        <v>0.17100000000000001</v>
      </c>
      <c r="I29" s="3"/>
      <c r="J29" s="32">
        <f t="shared" ca="1" si="3"/>
        <v>250.34400000000002</v>
      </c>
      <c r="K29" s="26">
        <f ca="1">VLOOKUP($A29,[1]!LOOKUP_SARS_Unified2,K$1,FALSE)</f>
        <v>1464</v>
      </c>
      <c r="L29" s="83"/>
      <c r="M29" s="4"/>
      <c r="N29" s="12"/>
      <c r="O29" s="12"/>
      <c r="Q29" s="97"/>
      <c r="T29" s="75" t="e">
        <f ca="1">'Comp-Bar'!M31</f>
        <v>#N/A</v>
      </c>
      <c r="U29" s="75">
        <f t="shared" si="0"/>
        <v>0</v>
      </c>
      <c r="V29" s="19">
        <f t="shared" ca="1" si="1"/>
        <v>0.17100000000000001</v>
      </c>
      <c r="X29" s="40">
        <f ca="1">IF(MIN($F29,'Comp-Bar'!$H31)&lt;0.5,'Comp-Bar'!H31,"")</f>
        <v>0.37700230117485312</v>
      </c>
      <c r="Y29" s="40">
        <f ca="1">IF(MIN($F29,'Comp-Bar'!$H31)&lt;0.5,'Comp-Bar'!I31,"")</f>
        <v>1600.2</v>
      </c>
      <c r="Z29" s="40">
        <f ca="1">IF(MIN($F29,'Comp-Bar'!$H31)&lt;0.5,'Comp-Bar'!J31,"")</f>
        <v>0.17100000000000001</v>
      </c>
    </row>
    <row r="30" spans="1:26" s="1" customFormat="1" ht="15" customHeight="1" x14ac:dyDescent="0.25">
      <c r="A30" s="92" t="s">
        <v>215</v>
      </c>
      <c r="B30" s="66">
        <f ca="1">IFERROR(VLOOKUP($A30,[1]!LOOKUP_MDAPs,B$2,FALSE)/$G30,"")</f>
        <v>0</v>
      </c>
      <c r="C30" s="66">
        <f ca="1">IFERROR(VLOOKUP($A30,[1]!LOOKUP_MDAPs,C$2,FALSE)/$G30,"")</f>
        <v>0</v>
      </c>
      <c r="D30" s="66">
        <f ca="1">IFERROR(VLOOKUP($A30,[1]!LOOKUP_MDAPs,D$2,FALSE)/$G30,"")</f>
        <v>0</v>
      </c>
      <c r="E30" s="66">
        <f ca="1">IFERROR(VLOOKUP($A30,[1]!LOOKUP_MDAPs,E$2,FALSE)/$G30,"")</f>
        <v>0</v>
      </c>
      <c r="F30" s="66">
        <f t="shared" ca="1" si="2"/>
        <v>1</v>
      </c>
      <c r="G30" s="4">
        <f ca="1">IFERROR(VLOOKUP($A30,[1]!LOOKUP_MDAPs,G$2,FALSE),"")</f>
        <v>2309.6999999999998</v>
      </c>
      <c r="H30" s="3">
        <f ca="1">VLOOKUP($A30,[1]!LOOKUP_SARS_Unified2,H$2,FALSE)</f>
        <v>0.11</v>
      </c>
      <c r="I30" s="3"/>
      <c r="J30" s="32">
        <f t="shared" ca="1" si="3"/>
        <v>5294.7730000000001</v>
      </c>
      <c r="K30" s="26">
        <f ca="1">VLOOKUP($A30,[1]!LOOKUP_SARS_Unified2,K$1,FALSE)</f>
        <v>48134.3</v>
      </c>
      <c r="L30" s="83"/>
      <c r="M30" s="4"/>
      <c r="N30" s="12"/>
      <c r="O30" s="12"/>
      <c r="P30" s="12"/>
      <c r="T30" s="75" t="e">
        <f ca="1">'Comp-Bar'!M32</f>
        <v>#N/A</v>
      </c>
      <c r="U30" s="75">
        <f t="shared" si="0"/>
        <v>0</v>
      </c>
      <c r="V30" s="19">
        <f t="shared" ca="1" si="1"/>
        <v>0.11</v>
      </c>
      <c r="X30" s="40" t="str">
        <f ca="1">IF(MIN($F30,'Comp-Bar'!$H32)&lt;0.5,'Comp-Bar'!H32,"")</f>
        <v/>
      </c>
      <c r="Y30" s="40" t="str">
        <f ca="1">IF(MIN($F30,'Comp-Bar'!$H32)&lt;0.5,'Comp-Bar'!I32,"")</f>
        <v/>
      </c>
      <c r="Z30" s="40" t="str">
        <f ca="1">IF(MIN($F30,'Comp-Bar'!$H32)&lt;0.5,'Comp-Bar'!J32,"")</f>
        <v/>
      </c>
    </row>
    <row r="31" spans="1:26" s="1" customFormat="1" ht="15" customHeight="1" x14ac:dyDescent="0.25">
      <c r="A31" s="92" t="s">
        <v>11</v>
      </c>
      <c r="B31" s="66">
        <f ca="1">IFERROR(VLOOKUP($A31,[1]!LOOKUP_MDAPs,B$2,FALSE)/$G31,"")</f>
        <v>0.24043450659608334</v>
      </c>
      <c r="C31" s="66">
        <f ca="1">IFERROR(VLOOKUP($A31,[1]!LOOKUP_MDAPs,C$2,FALSE)/$G31,"")</f>
        <v>4.531007916407169E-2</v>
      </c>
      <c r="D31" s="66">
        <f ca="1">IFERROR(VLOOKUP($A31,[1]!LOOKUP_MDAPs,D$2,FALSE)/$G31,"")</f>
        <v>6.6545877501902967E-2</v>
      </c>
      <c r="E31" s="66">
        <f ca="1">IFERROR(VLOOKUP($A31,[1]!LOOKUP_MDAPs,E$2,FALSE)/$G31,"")</f>
        <v>9.5697578408414641E-2</v>
      </c>
      <c r="F31" s="66">
        <f t="shared" ca="1" si="2"/>
        <v>0.55201195832952732</v>
      </c>
      <c r="G31" s="4">
        <f ca="1">IFERROR(VLOOKUP($A31,[1]!LOOKUP_MDAPs,G$2,FALSE),"")</f>
        <v>7225.5</v>
      </c>
      <c r="H31" s="3">
        <f ca="1">VLOOKUP($A31,[1]!LOOKUP_SARS_Unified2,H$2,FALSE)</f>
        <v>-2.7000000000000003E-2</v>
      </c>
      <c r="I31" s="3"/>
      <c r="J31" s="32">
        <f t="shared" ca="1" si="3"/>
        <v>-974.21670000000006</v>
      </c>
      <c r="K31" s="26">
        <f ca="1">VLOOKUP($A31,[1]!LOOKUP_SARS_Unified2,K$1,FALSE)</f>
        <v>36082.1</v>
      </c>
      <c r="L31" s="83"/>
      <c r="M31" s="4"/>
      <c r="N31" s="12"/>
      <c r="O31" s="12"/>
      <c r="P31" s="12"/>
      <c r="T31" s="75" t="e">
        <f ca="1">'Comp-Bar'!M33</f>
        <v>#N/A</v>
      </c>
      <c r="U31" s="75">
        <f t="shared" si="0"/>
        <v>0</v>
      </c>
      <c r="V31" s="19">
        <f t="shared" ca="1" si="1"/>
        <v>-2.7000000000000003E-2</v>
      </c>
      <c r="X31" s="40" t="str">
        <f ca="1">IF(MIN($F31,'Comp-Bar'!$H33)&lt;0.5,'Comp-Bar'!H33,"")</f>
        <v/>
      </c>
      <c r="Y31" s="40" t="str">
        <f ca="1">IF(MIN($F31,'Comp-Bar'!$H33)&lt;0.5,'Comp-Bar'!I33,"")</f>
        <v/>
      </c>
      <c r="Z31" s="40" t="str">
        <f ca="1">IF(MIN($F31,'Comp-Bar'!$H33)&lt;0.5,'Comp-Bar'!J33,"")</f>
        <v/>
      </c>
    </row>
    <row r="32" spans="1:26" s="1" customFormat="1" ht="15" customHeight="1" x14ac:dyDescent="0.25">
      <c r="A32" s="92" t="s">
        <v>32</v>
      </c>
      <c r="B32" s="66">
        <f ca="1">IFERROR(VLOOKUP($A32,[1]!LOOKUP_MDAPs,B$2,FALSE)/$G32,"")</f>
        <v>0.21443690504040949</v>
      </c>
      <c r="C32" s="66">
        <f ca="1">IFERROR(VLOOKUP($A32,[1]!LOOKUP_MDAPs,C$2,FALSE)/$G32,"")</f>
        <v>0.10196910087452599</v>
      </c>
      <c r="D32" s="66">
        <f ca="1">IFERROR(VLOOKUP($A32,[1]!LOOKUP_MDAPs,D$2,FALSE)/$G32,"")</f>
        <v>2.8730433763778485E-2</v>
      </c>
      <c r="E32" s="66">
        <f ca="1">IFERROR(VLOOKUP($A32,[1]!LOOKUP_MDAPs,E$2,FALSE)/$G32,"")</f>
        <v>1.2857198441110461E-2</v>
      </c>
      <c r="F32" s="66">
        <f t="shared" ca="1" si="2"/>
        <v>0.64200636188017557</v>
      </c>
      <c r="G32" s="4">
        <f ca="1">IFERROR(VLOOKUP($A32,[1]!LOOKUP_MDAPs,G$2,FALSE),"")</f>
        <v>18089.8</v>
      </c>
      <c r="H32" s="3">
        <f ca="1">VLOOKUP($A32,[1]!LOOKUP_SARS_Unified2,H$2,FALSE)</f>
        <v>0.222</v>
      </c>
      <c r="I32" s="3"/>
      <c r="J32" s="32">
        <f t="shared" ca="1" si="3"/>
        <v>8057.7786000000006</v>
      </c>
      <c r="K32" s="26">
        <f ca="1">VLOOKUP($A32,[1]!LOOKUP_SARS_Unified2,K$1,FALSE)</f>
        <v>36296.300000000003</v>
      </c>
      <c r="L32" s="83"/>
      <c r="M32" s="4"/>
      <c r="N32" s="12"/>
      <c r="O32" s="12"/>
      <c r="P32" s="12"/>
      <c r="T32" s="75" t="e">
        <f ca="1">'Comp-Bar'!M34</f>
        <v>#N/A</v>
      </c>
      <c r="U32" s="75">
        <f t="shared" si="0"/>
        <v>0</v>
      </c>
      <c r="V32" s="19">
        <f t="shared" ca="1" si="1"/>
        <v>0.222</v>
      </c>
      <c r="X32" s="40" t="str">
        <f ca="1">IF(MIN($F32,'Comp-Bar'!$H34)&lt;0.5,'Comp-Bar'!H34,"")</f>
        <v/>
      </c>
      <c r="Y32" s="40" t="str">
        <f ca="1">IF(MIN($F32,'Comp-Bar'!$H34)&lt;0.5,'Comp-Bar'!I34,"")</f>
        <v/>
      </c>
      <c r="Z32" s="40" t="str">
        <f ca="1">IF(MIN($F32,'Comp-Bar'!$H34)&lt;0.5,'Comp-Bar'!J34,"")</f>
        <v/>
      </c>
    </row>
    <row r="33" spans="1:26" s="1" customFormat="1" ht="15" customHeight="1" x14ac:dyDescent="0.25">
      <c r="A33" s="92" t="s">
        <v>51</v>
      </c>
      <c r="B33" s="66">
        <f ca="1">IFERROR(VLOOKUP($A33,[1]!LOOKUP_MDAPs,B$2,FALSE)/$G33,"")</f>
        <v>6.9235439472437779E-2</v>
      </c>
      <c r="C33" s="66">
        <f ca="1">IFERROR(VLOOKUP($A33,[1]!LOOKUP_MDAPs,C$2,FALSE)/$G33,"")</f>
        <v>2.1926426951503641E-5</v>
      </c>
      <c r="D33" s="66">
        <f ca="1">IFERROR(VLOOKUP($A33,[1]!LOOKUP_MDAPs,D$2,FALSE)/$G33,"")</f>
        <v>8.6444641311099989E-3</v>
      </c>
      <c r="E33" s="66">
        <f ca="1">IFERROR(VLOOKUP($A33,[1]!LOOKUP_MDAPs,E$2,FALSE)/$G33,"")</f>
        <v>1.4715467441026617E-2</v>
      </c>
      <c r="F33" s="66">
        <f t="shared" ca="1" si="2"/>
        <v>0.90738270252847408</v>
      </c>
      <c r="G33" s="4">
        <f ca="1">IFERROR(VLOOKUP($A33,[1]!LOOKUP_MDAPs,G$2,FALSE),"")</f>
        <v>67772.100000000006</v>
      </c>
      <c r="H33" s="3">
        <f ca="1">VLOOKUP($A33,[1]!LOOKUP_SARS_Unified2,H$2,FALSE)</f>
        <v>0.23600000000000002</v>
      </c>
      <c r="I33" s="3"/>
      <c r="J33" s="32">
        <f t="shared" ca="1" si="3"/>
        <v>4747.7300000000005</v>
      </c>
      <c r="K33" s="26">
        <f ca="1">VLOOKUP($A33,[1]!LOOKUP_SARS_Unified2,K$1,FALSE)</f>
        <v>20117.5</v>
      </c>
      <c r="L33" s="83"/>
      <c r="M33" s="4"/>
      <c r="N33" s="12"/>
      <c r="O33" s="12"/>
      <c r="P33" s="12"/>
      <c r="T33" s="75" t="e">
        <f ca="1">'Comp-Bar'!M35</f>
        <v>#N/A</v>
      </c>
      <c r="U33" s="75">
        <f t="shared" si="0"/>
        <v>0</v>
      </c>
      <c r="V33" s="19">
        <f t="shared" ca="1" si="1"/>
        <v>0.23600000000000002</v>
      </c>
      <c r="X33" s="40" t="str">
        <f ca="1">IF(MIN($F33,'Comp-Bar'!$H35)&lt;0.5,'Comp-Bar'!H35,"")</f>
        <v/>
      </c>
      <c r="Y33" s="40" t="str">
        <f ca="1">IF(MIN($F33,'Comp-Bar'!$H35)&lt;0.5,'Comp-Bar'!I35,"")</f>
        <v/>
      </c>
      <c r="Z33" s="40" t="str">
        <f ca="1">IF(MIN($F33,'Comp-Bar'!$H35)&lt;0.5,'Comp-Bar'!J35,"")</f>
        <v/>
      </c>
    </row>
    <row r="34" spans="1:26" s="1" customFormat="1" ht="15" customHeight="1" x14ac:dyDescent="0.25">
      <c r="A34" s="92" t="s">
        <v>216</v>
      </c>
      <c r="B34" s="66">
        <f ca="1">IFERROR(VLOOKUP($A34,[1]!LOOKUP_MDAPs,B$2,FALSE)/$G34,"")</f>
        <v>0.11037541772076372</v>
      </c>
      <c r="C34" s="66">
        <f ca="1">IFERROR(VLOOKUP($A34,[1]!LOOKUP_MDAPs,C$2,FALSE)/$G34,"")</f>
        <v>0</v>
      </c>
      <c r="D34" s="66">
        <f ca="1">IFERROR(VLOOKUP($A34,[1]!LOOKUP_MDAPs,D$2,FALSE)/$G34,"")</f>
        <v>0.13420194313842485</v>
      </c>
      <c r="E34" s="66">
        <f ca="1">IFERROR(VLOOKUP($A34,[1]!LOOKUP_MDAPs,E$2,FALSE)/$G34,"")</f>
        <v>8.5909446658711211E-2</v>
      </c>
      <c r="F34" s="66">
        <f t="shared" ca="1" si="2"/>
        <v>0.66951319248210028</v>
      </c>
      <c r="G34" s="4">
        <f ca="1">IFERROR(VLOOKUP($A34,[1]!LOOKUP_MDAPs,G$2,FALSE),"")</f>
        <v>167.6</v>
      </c>
      <c r="H34" s="3">
        <f ca="1">VLOOKUP($A34,[1]!LOOKUP_SARS_Unified2,H$2,FALSE)</f>
        <v>-0.11199999999999999</v>
      </c>
      <c r="I34" s="3"/>
      <c r="J34" s="32">
        <f t="shared" ca="1" si="3"/>
        <v>-103.29759999999999</v>
      </c>
      <c r="K34" s="26">
        <f ca="1">VLOOKUP($A34,[1]!LOOKUP_SARS_Unified2,K$1,FALSE)</f>
        <v>922.3</v>
      </c>
      <c r="L34" s="83"/>
      <c r="M34" s="4"/>
      <c r="N34" s="12"/>
      <c r="O34" s="12"/>
      <c r="P34" s="12"/>
      <c r="T34" s="75" t="e">
        <f ca="1">'Comp-Bar'!M36</f>
        <v>#N/A</v>
      </c>
      <c r="U34" s="75">
        <f t="shared" si="0"/>
        <v>0</v>
      </c>
      <c r="V34" s="19">
        <f t="shared" ca="1" si="1"/>
        <v>-0.11199999999999999</v>
      </c>
      <c r="X34" s="40" t="str">
        <f ca="1">IF(MIN($F34,'Comp-Bar'!$H36)&lt;0.5,'Comp-Bar'!H36,"")</f>
        <v/>
      </c>
      <c r="Y34" s="40" t="str">
        <f ca="1">IF(MIN($F34,'Comp-Bar'!$H36)&lt;0.5,'Comp-Bar'!I36,"")</f>
        <v/>
      </c>
      <c r="Z34" s="40" t="str">
        <f ca="1">IF(MIN($F34,'Comp-Bar'!$H36)&lt;0.5,'Comp-Bar'!J36,"")</f>
        <v/>
      </c>
    </row>
    <row r="35" spans="1:26" s="1" customFormat="1" ht="15" customHeight="1" x14ac:dyDescent="0.25">
      <c r="A35" s="92" t="s">
        <v>8</v>
      </c>
      <c r="B35" s="66">
        <f ca="1">IFERROR(VLOOKUP($A35,[1]!LOOKUP_MDAPs,B$2,FALSE)/$G35,"")</f>
        <v>0.24740928641683618</v>
      </c>
      <c r="C35" s="66">
        <f ca="1">IFERROR(VLOOKUP($A35,[1]!LOOKUP_MDAPs,C$2,FALSE)/$G35,"")</f>
        <v>6.3815190111093722E-5</v>
      </c>
      <c r="D35" s="66">
        <f ca="1">IFERROR(VLOOKUP($A35,[1]!LOOKUP_MDAPs,D$2,FALSE)/$G35,"")</f>
        <v>1.0312977624784853E-3</v>
      </c>
      <c r="E35" s="66">
        <f ca="1">IFERROR(VLOOKUP($A35,[1]!LOOKUP_MDAPs,E$2,FALSE)/$G35,"")</f>
        <v>1.8495273498670004E-2</v>
      </c>
      <c r="F35" s="66">
        <f t="shared" ca="1" si="2"/>
        <v>0.73300032713190422</v>
      </c>
      <c r="G35" s="4">
        <f ca="1">IFERROR(VLOOKUP($A35,[1]!LOOKUP_MDAPs,G$2,FALSE),"")</f>
        <v>6391</v>
      </c>
      <c r="H35" s="3">
        <f ca="1">VLOOKUP($A35,[1]!LOOKUP_SARS_Unified2,H$2,FALSE)</f>
        <v>0.09</v>
      </c>
      <c r="I35" s="3"/>
      <c r="J35" s="32">
        <f t="shared" ca="1" si="3"/>
        <v>1712.826</v>
      </c>
      <c r="K35" s="26">
        <f ca="1">VLOOKUP($A35,[1]!LOOKUP_SARS_Unified2,K$1,FALSE)</f>
        <v>19031.400000000001</v>
      </c>
      <c r="L35" s="83"/>
      <c r="M35" s="4"/>
      <c r="N35" s="12"/>
      <c r="O35" s="12"/>
      <c r="P35" s="12"/>
      <c r="T35" s="75" t="e">
        <f ca="1">'Comp-Bar'!M37</f>
        <v>#N/A</v>
      </c>
      <c r="U35" s="75">
        <f t="shared" si="0"/>
        <v>0</v>
      </c>
      <c r="V35" s="19">
        <f t="shared" ca="1" si="1"/>
        <v>0.09</v>
      </c>
      <c r="X35" s="40" t="str">
        <f ca="1">IF(MIN($F35,'Comp-Bar'!$H37)&lt;0.5,'Comp-Bar'!H37,"")</f>
        <v/>
      </c>
      <c r="Y35" s="40" t="str">
        <f ca="1">IF(MIN($F35,'Comp-Bar'!$H37)&lt;0.5,'Comp-Bar'!I37,"")</f>
        <v/>
      </c>
      <c r="Z35" s="40" t="str">
        <f ca="1">IF(MIN($F35,'Comp-Bar'!$H37)&lt;0.5,'Comp-Bar'!J37,"")</f>
        <v/>
      </c>
    </row>
    <row r="36" spans="1:26" s="1" customFormat="1" ht="15" customHeight="1" x14ac:dyDescent="0.25">
      <c r="A36" s="92" t="s">
        <v>15</v>
      </c>
      <c r="B36" s="66">
        <f ca="1">IFERROR(VLOOKUP($A36,[1]!LOOKUP_MDAPs,B$2,FALSE)/$G36,"")</f>
        <v>0.13199287986895619</v>
      </c>
      <c r="C36" s="66">
        <f ca="1">IFERROR(VLOOKUP($A36,[1]!LOOKUP_MDAPs,C$2,FALSE)/$G36,"")</f>
        <v>0</v>
      </c>
      <c r="D36" s="66">
        <f ca="1">IFERROR(VLOOKUP($A36,[1]!LOOKUP_MDAPs,D$2,FALSE)/$G36,"")</f>
        <v>1.7936737460460912E-5</v>
      </c>
      <c r="E36" s="66">
        <f ca="1">IFERROR(VLOOKUP($A36,[1]!LOOKUP_MDAPs,E$2,FALSE)/$G36,"")</f>
        <v>3.0806916629010396E-2</v>
      </c>
      <c r="F36" s="66">
        <f t="shared" ca="1" si="2"/>
        <v>0.83718226676457297</v>
      </c>
      <c r="G36" s="4">
        <f ca="1">IFERROR(VLOOKUP($A36,[1]!LOOKUP_MDAPs,G$2,FALSE),"")</f>
        <v>8852</v>
      </c>
      <c r="H36" s="3">
        <f ca="1">VLOOKUP($A36,[1]!LOOKUP_SARS_Unified2,H$2,FALSE)</f>
        <v>2.7000000000000003E-2</v>
      </c>
      <c r="I36" s="3"/>
      <c r="J36" s="32">
        <f t="shared" ca="1" si="3"/>
        <v>233.18280000000001</v>
      </c>
      <c r="K36" s="26">
        <f ca="1">VLOOKUP($A36,[1]!LOOKUP_SARS_Unified2,K$1,FALSE)</f>
        <v>8636.4</v>
      </c>
      <c r="L36" s="83"/>
      <c r="M36" s="4"/>
      <c r="N36" s="12"/>
      <c r="O36" s="12"/>
      <c r="P36" s="12"/>
      <c r="T36" s="75" t="e">
        <f ca="1">'Comp-Bar'!M38</f>
        <v>#N/A</v>
      </c>
      <c r="U36" s="75">
        <f t="shared" si="0"/>
        <v>0</v>
      </c>
      <c r="V36" s="19">
        <f t="shared" ca="1" si="1"/>
        <v>2.7000000000000003E-2</v>
      </c>
      <c r="X36" s="40" t="str">
        <f ca="1">IF(MIN($F36,'Comp-Bar'!$H38)&lt;0.5,'Comp-Bar'!H38,"")</f>
        <v/>
      </c>
      <c r="Y36" s="40" t="str">
        <f ca="1">IF(MIN($F36,'Comp-Bar'!$H38)&lt;0.5,'Comp-Bar'!I38,"")</f>
        <v/>
      </c>
      <c r="Z36" s="40" t="str">
        <f ca="1">IF(MIN($F36,'Comp-Bar'!$H38)&lt;0.5,'Comp-Bar'!J38,"")</f>
        <v/>
      </c>
    </row>
    <row r="37" spans="1:26" s="1" customFormat="1" ht="15" customHeight="1" x14ac:dyDescent="0.25">
      <c r="A37" s="92" t="s">
        <v>26</v>
      </c>
      <c r="B37" s="66">
        <f ca="1">IFERROR(VLOOKUP($A37,[1]!LOOKUP_MDAPs,B$2,FALSE)/$G37,"")</f>
        <v>5.0787758856919746E-2</v>
      </c>
      <c r="C37" s="66">
        <f ca="1">IFERROR(VLOOKUP($A37,[1]!LOOKUP_MDAPs,C$2,FALSE)/$G37,"")</f>
        <v>4.2176851874098996E-2</v>
      </c>
      <c r="D37" s="66">
        <f ca="1">IFERROR(VLOOKUP($A37,[1]!LOOKUP_MDAPs,D$2,FALSE)/$G37,"")</f>
        <v>2.2438169750120137E-5</v>
      </c>
      <c r="E37" s="66">
        <f ca="1">IFERROR(VLOOKUP($A37,[1]!LOOKUP_MDAPs,E$2,FALSE)/$G37,"")</f>
        <v>3.9992301294449792E-2</v>
      </c>
      <c r="F37" s="66">
        <f t="shared" ca="1" si="2"/>
        <v>0.86702064980478133</v>
      </c>
      <c r="G37" s="4">
        <f ca="1">IFERROR(VLOOKUP($A37,[1]!LOOKUP_MDAPs,G$2,FALSE),"")</f>
        <v>3329.6</v>
      </c>
      <c r="H37" s="3">
        <f ca="1">VLOOKUP($A37,[1]!LOOKUP_SARS_Unified2,H$2,FALSE)</f>
        <v>3.395</v>
      </c>
      <c r="I37" s="3"/>
      <c r="J37" s="32">
        <f t="shared" ref="J37:J68" ca="1" si="4">H37*K37</f>
        <v>29622.054000000004</v>
      </c>
      <c r="K37" s="26">
        <f ca="1">VLOOKUP($A37,[1]!LOOKUP_SARS_Unified2,K$1,FALSE)</f>
        <v>8725.2000000000007</v>
      </c>
      <c r="L37" s="83"/>
      <c r="M37" s="4"/>
      <c r="N37" s="12"/>
      <c r="O37" s="12"/>
      <c r="P37" s="12"/>
      <c r="T37" s="75" t="e">
        <f ca="1">'Comp-Bar'!M39</f>
        <v>#N/A</v>
      </c>
      <c r="U37" s="75">
        <f t="shared" ref="U37:U68" si="5">L37</f>
        <v>0</v>
      </c>
      <c r="V37" s="19">
        <f t="shared" ref="V37:V68" ca="1" si="6">H37</f>
        <v>3.395</v>
      </c>
      <c r="X37" s="40" t="str">
        <f ca="1">IF(MIN($F37,'Comp-Bar'!$H39)&lt;0.5,'Comp-Bar'!H39,"")</f>
        <v/>
      </c>
      <c r="Y37" s="40" t="str">
        <f ca="1">IF(MIN($F37,'Comp-Bar'!$H39)&lt;0.5,'Comp-Bar'!I39,"")</f>
        <v/>
      </c>
      <c r="Z37" s="40" t="str">
        <f ca="1">IF(MIN($F37,'Comp-Bar'!$H39)&lt;0.5,'Comp-Bar'!J39,"")</f>
        <v/>
      </c>
    </row>
    <row r="38" spans="1:26" s="1" customFormat="1" ht="15" customHeight="1" x14ac:dyDescent="0.25">
      <c r="A38" s="92" t="s">
        <v>180</v>
      </c>
      <c r="B38" s="66">
        <f ca="1">IFERROR(VLOOKUP($A38,[1]!LOOKUP_MDAPs,B$2,FALSE)/$G38,"")</f>
        <v>0</v>
      </c>
      <c r="C38" s="66">
        <f ca="1">IFERROR(VLOOKUP($A38,[1]!LOOKUP_MDAPs,C$2,FALSE)/$G38,"")</f>
        <v>0</v>
      </c>
      <c r="D38" s="66">
        <f ca="1">IFERROR(VLOOKUP($A38,[1]!LOOKUP_MDAPs,D$2,FALSE)/$G38,"")</f>
        <v>0</v>
      </c>
      <c r="E38" s="66">
        <f ca="1">IFERROR(VLOOKUP($A38,[1]!LOOKUP_MDAPs,E$2,FALSE)/$G38,"")</f>
        <v>0</v>
      </c>
      <c r="F38" s="66">
        <f t="shared" ca="1" si="2"/>
        <v>1</v>
      </c>
      <c r="G38" s="4">
        <f ca="1">IFERROR(VLOOKUP($A38,[1]!LOOKUP_MDAPs,G$2,FALSE),"")</f>
        <v>1182.4000000000001</v>
      </c>
      <c r="H38" s="3">
        <f ca="1">VLOOKUP($A38,[1]!LOOKUP_SARS_Unified2,H$2,FALSE)</f>
        <v>-0.19500000000000001</v>
      </c>
      <c r="I38" s="3"/>
      <c r="J38" s="32">
        <f t="shared" ca="1" si="4"/>
        <v>-640.38</v>
      </c>
      <c r="K38" s="26">
        <f ca="1">VLOOKUP($A38,[1]!LOOKUP_SARS_Unified2,K$1,FALSE)</f>
        <v>3284</v>
      </c>
      <c r="L38" s="83"/>
      <c r="M38" s="4"/>
      <c r="N38" s="12"/>
      <c r="O38" s="12"/>
      <c r="P38" s="12"/>
      <c r="T38" s="75" t="e">
        <f ca="1">'Comp-Bar'!M40</f>
        <v>#N/A</v>
      </c>
      <c r="U38" s="75">
        <f t="shared" si="5"/>
        <v>0</v>
      </c>
      <c r="V38" s="19">
        <f t="shared" ca="1" si="6"/>
        <v>-0.19500000000000001</v>
      </c>
      <c r="X38" s="40" t="str">
        <f ca="1">IF(MIN($F38,'Comp-Bar'!$H40)&lt;0.5,'Comp-Bar'!H40,"")</f>
        <v/>
      </c>
      <c r="Y38" s="40" t="str">
        <f ca="1">IF(MIN($F38,'Comp-Bar'!$H40)&lt;0.5,'Comp-Bar'!I40,"")</f>
        <v/>
      </c>
      <c r="Z38" s="40" t="str">
        <f ca="1">IF(MIN($F38,'Comp-Bar'!$H40)&lt;0.5,'Comp-Bar'!J40,"")</f>
        <v/>
      </c>
    </row>
    <row r="39" spans="1:26" s="1" customFormat="1" ht="15" customHeight="1" x14ac:dyDescent="0.25">
      <c r="A39" s="92" t="s">
        <v>178</v>
      </c>
      <c r="B39" s="66" t="str">
        <f ca="1">IFERROR(VLOOKUP($A39,[1]!LOOKUP_MDAPs,B$2,FALSE)/$G39,"")</f>
        <v/>
      </c>
      <c r="C39" s="66" t="str">
        <f ca="1">IFERROR(VLOOKUP($A39,[1]!LOOKUP_MDAPs,C$2,FALSE)/$G39,"")</f>
        <v/>
      </c>
      <c r="D39" s="66" t="str">
        <f ca="1">IFERROR(VLOOKUP($A39,[1]!LOOKUP_MDAPs,D$2,FALSE)/$G39,"")</f>
        <v/>
      </c>
      <c r="E39" s="66" t="str">
        <f ca="1">IFERROR(VLOOKUP($A39,[1]!LOOKUP_MDAPs,E$2,FALSE)/$G39,"")</f>
        <v/>
      </c>
      <c r="F39" s="66">
        <f t="shared" ca="1" si="2"/>
        <v>1</v>
      </c>
      <c r="G39" s="4" t="str">
        <f ca="1">IFERROR(VLOOKUP($A39,[1]!LOOKUP_MDAPs,G$2,FALSE),"")</f>
        <v/>
      </c>
      <c r="H39" s="3" t="str">
        <f ca="1">VLOOKUP($A39,[1]!LOOKUP_SARS_Unified2,H$2,FALSE)</f>
        <v/>
      </c>
      <c r="I39" s="3"/>
      <c r="J39" s="32" t="e">
        <f t="shared" ca="1" si="4"/>
        <v>#VALUE!</v>
      </c>
      <c r="K39" s="26" t="str">
        <f ca="1">VLOOKUP($A39,[1]!LOOKUP_SARS_Unified2,K$1,FALSE)</f>
        <v/>
      </c>
      <c r="L39" s="83"/>
      <c r="M39" s="4"/>
      <c r="N39" s="12"/>
      <c r="O39" s="12"/>
      <c r="P39" s="12"/>
      <c r="T39" s="75" t="e">
        <f ca="1">'Comp-Bar'!M41</f>
        <v>#N/A</v>
      </c>
      <c r="U39" s="75">
        <f t="shared" si="5"/>
        <v>0</v>
      </c>
      <c r="V39" s="19" t="str">
        <f t="shared" ca="1" si="6"/>
        <v/>
      </c>
      <c r="X39" s="40" t="str">
        <f ca="1">IF(MIN($F39,'Comp-Bar'!$H41)&lt;0.5,'Comp-Bar'!H41,"")</f>
        <v/>
      </c>
      <c r="Y39" s="40" t="str">
        <f ca="1">IF(MIN($F39,'Comp-Bar'!$H41)&lt;0.5,'Comp-Bar'!I41,"")</f>
        <v/>
      </c>
      <c r="Z39" s="40" t="str">
        <f ca="1">IF(MIN($F39,'Comp-Bar'!$H41)&lt;0.5,'Comp-Bar'!J41,"")</f>
        <v/>
      </c>
    </row>
    <row r="40" spans="1:26" s="1" customFormat="1" ht="15" customHeight="1" x14ac:dyDescent="0.25">
      <c r="A40" s="92" t="s">
        <v>217</v>
      </c>
      <c r="B40" s="66">
        <f ca="1">IFERROR(VLOOKUP($A40,[1]!LOOKUP_MDAPs,B$2,FALSE)/$G40,"")</f>
        <v>0</v>
      </c>
      <c r="C40" s="66">
        <f ca="1">IFERROR(VLOOKUP($A40,[1]!LOOKUP_MDAPs,C$2,FALSE)/$G40,"")</f>
        <v>0</v>
      </c>
      <c r="D40" s="66">
        <f ca="1">IFERROR(VLOOKUP($A40,[1]!LOOKUP_MDAPs,D$2,FALSE)/$G40,"")</f>
        <v>0</v>
      </c>
      <c r="E40" s="66">
        <f ca="1">IFERROR(VLOOKUP($A40,[1]!LOOKUP_MDAPs,E$2,FALSE)/$G40,"")</f>
        <v>0</v>
      </c>
      <c r="F40" s="66">
        <f t="shared" ca="1" si="2"/>
        <v>1</v>
      </c>
      <c r="G40" s="4">
        <f ca="1">IFERROR(VLOOKUP($A40,[1]!LOOKUP_MDAPs,G$2,FALSE),"")</f>
        <v>68.599999999999994</v>
      </c>
      <c r="H40" s="3">
        <f ca="1">VLOOKUP($A40,[1]!LOOKUP_SARS_Unified2,H$2,FALSE)</f>
        <v>2.8999999999999998E-2</v>
      </c>
      <c r="I40" s="3"/>
      <c r="J40" s="32">
        <f t="shared" ca="1" si="4"/>
        <v>42.861999999999995</v>
      </c>
      <c r="K40" s="26">
        <f ca="1">VLOOKUP($A40,[1]!LOOKUP_SARS_Unified2,K$1,FALSE)</f>
        <v>1478</v>
      </c>
      <c r="L40" s="83"/>
      <c r="M40" s="4"/>
      <c r="N40" s="12"/>
      <c r="O40" s="12"/>
      <c r="P40" s="12"/>
      <c r="T40" s="75" t="e">
        <f ca="1">'Comp-Bar'!M42</f>
        <v>#N/A</v>
      </c>
      <c r="U40" s="75">
        <f t="shared" si="5"/>
        <v>0</v>
      </c>
      <c r="V40" s="19">
        <f t="shared" ca="1" si="6"/>
        <v>2.8999999999999998E-2</v>
      </c>
      <c r="X40" s="40" t="str">
        <f ca="1">IF(MIN($F40,'Comp-Bar'!$H42)&lt;0.5,'Comp-Bar'!H42,"")</f>
        <v/>
      </c>
      <c r="Y40" s="40" t="str">
        <f ca="1">IF(MIN($F40,'Comp-Bar'!$H42)&lt;0.5,'Comp-Bar'!I42,"")</f>
        <v/>
      </c>
      <c r="Z40" s="40" t="str">
        <f ca="1">IF(MIN($F40,'Comp-Bar'!$H42)&lt;0.5,'Comp-Bar'!J42,"")</f>
        <v/>
      </c>
    </row>
    <row r="41" spans="1:26" s="1" customFormat="1" ht="15" customHeight="1" x14ac:dyDescent="0.25">
      <c r="A41" s="92" t="s">
        <v>29</v>
      </c>
      <c r="B41" s="66">
        <f ca="1">IFERROR(VLOOKUP($A41,[1]!LOOKUP_MDAPs,B$2,FALSE)/$G41,"")</f>
        <v>0.3952130618713367</v>
      </c>
      <c r="C41" s="66">
        <f ca="1">IFERROR(VLOOKUP($A41,[1]!LOOKUP_MDAPs,C$2,FALSE)/$G41,"")</f>
        <v>0</v>
      </c>
      <c r="D41" s="66">
        <f ca="1">IFERROR(VLOOKUP($A41,[1]!LOOKUP_MDAPs,D$2,FALSE)/$G41,"")</f>
        <v>0</v>
      </c>
      <c r="E41" s="66">
        <f ca="1">IFERROR(VLOOKUP($A41,[1]!LOOKUP_MDAPs,E$2,FALSE)/$G41,"")</f>
        <v>7.9913576235617623E-2</v>
      </c>
      <c r="F41" s="66">
        <f t="shared" ca="1" si="2"/>
        <v>0.52487336189304568</v>
      </c>
      <c r="G41" s="4">
        <f ca="1">IFERROR(VLOOKUP($A41,[1]!LOOKUP_MDAPs,G$2,FALSE),"")</f>
        <v>1381.9</v>
      </c>
      <c r="H41" s="3">
        <f ca="1">VLOOKUP($A41,[1]!LOOKUP_SARS_Unified2,H$2,FALSE)</f>
        <v>-1.1000000000000001E-2</v>
      </c>
      <c r="I41" s="3"/>
      <c r="J41" s="32">
        <f t="shared" ca="1" si="4"/>
        <v>-18.469000000000001</v>
      </c>
      <c r="K41" s="26">
        <f ca="1">VLOOKUP($A41,[1]!LOOKUP_SARS_Unified2,K$1,FALSE)</f>
        <v>1679</v>
      </c>
      <c r="L41" s="83"/>
      <c r="M41" s="4"/>
      <c r="N41" s="12"/>
      <c r="O41" s="12"/>
      <c r="P41" s="12"/>
      <c r="T41" s="75" t="e">
        <f ca="1">'Comp-Bar'!M43</f>
        <v>#N/A</v>
      </c>
      <c r="U41" s="75">
        <f t="shared" si="5"/>
        <v>0</v>
      </c>
      <c r="V41" s="19">
        <f t="shared" ca="1" si="6"/>
        <v>-1.1000000000000001E-2</v>
      </c>
      <c r="X41" s="40" t="str">
        <f ca="1">IF(MIN($F41,'Comp-Bar'!$H43)&lt;0.5,'Comp-Bar'!H43,"")</f>
        <v/>
      </c>
      <c r="Y41" s="40" t="str">
        <f ca="1">IF(MIN($F41,'Comp-Bar'!$H43)&lt;0.5,'Comp-Bar'!I43,"")</f>
        <v/>
      </c>
      <c r="Z41" s="40" t="str">
        <f ca="1">IF(MIN($F41,'Comp-Bar'!$H43)&lt;0.5,'Comp-Bar'!J43,"")</f>
        <v/>
      </c>
    </row>
    <row r="42" spans="1:26" s="1" customFormat="1" ht="15" customHeight="1" x14ac:dyDescent="0.25">
      <c r="A42" s="92" t="s">
        <v>48</v>
      </c>
      <c r="B42" s="66">
        <f ca="1">IFERROR(VLOOKUP($A42,[1]!LOOKUP_MDAPs,B$2,FALSE)/$G42,"")</f>
        <v>0.25975304876146094</v>
      </c>
      <c r="C42" s="66">
        <f ca="1">IFERROR(VLOOKUP($A42,[1]!LOOKUP_MDAPs,C$2,FALSE)/$G42,"")</f>
        <v>3.2950197228015851E-4</v>
      </c>
      <c r="D42" s="66">
        <f ca="1">IFERROR(VLOOKUP($A42,[1]!LOOKUP_MDAPs,D$2,FALSE)/$G42,"")</f>
        <v>3.0579097206652234E-3</v>
      </c>
      <c r="E42" s="66">
        <f ca="1">IFERROR(VLOOKUP($A42,[1]!LOOKUP_MDAPs,E$2,FALSE)/$G42,"")</f>
        <v>3.1413794582231203E-2</v>
      </c>
      <c r="F42" s="66">
        <f t="shared" ca="1" si="2"/>
        <v>0.70544574496336243</v>
      </c>
      <c r="G42" s="4">
        <f ca="1">IFERROR(VLOOKUP($A42,[1]!LOOKUP_MDAPs,G$2,FALSE),"")</f>
        <v>45404.3</v>
      </c>
      <c r="H42" s="3">
        <f ca="1">VLOOKUP($A42,[1]!LOOKUP_SARS_Unified2,H$2,FALSE)</f>
        <v>0.05</v>
      </c>
      <c r="I42" s="3"/>
      <c r="J42" s="32">
        <f t="shared" ca="1" si="4"/>
        <v>2081.8650000000002</v>
      </c>
      <c r="K42" s="26">
        <f ca="1">VLOOKUP($A42,[1]!LOOKUP_SARS_Unified2,K$1,FALSE)</f>
        <v>41637.300000000003</v>
      </c>
      <c r="L42" s="83"/>
      <c r="M42" s="4"/>
      <c r="N42" s="12"/>
      <c r="O42" s="12"/>
      <c r="P42" s="12"/>
      <c r="T42" s="75" t="e">
        <f ca="1">'Comp-Bar'!M44</f>
        <v>#N/A</v>
      </c>
      <c r="U42" s="75">
        <f t="shared" si="5"/>
        <v>0</v>
      </c>
      <c r="V42" s="19">
        <f t="shared" ca="1" si="6"/>
        <v>0.05</v>
      </c>
      <c r="X42" s="40" t="str">
        <f ca="1">IF(MIN($F42,'Comp-Bar'!$H44)&lt;0.5,'Comp-Bar'!H44,"")</f>
        <v/>
      </c>
      <c r="Y42" s="40" t="str">
        <f ca="1">IF(MIN($F42,'Comp-Bar'!$H44)&lt;0.5,'Comp-Bar'!I44,"")</f>
        <v/>
      </c>
      <c r="Z42" s="40" t="str">
        <f ca="1">IF(MIN($F42,'Comp-Bar'!$H44)&lt;0.5,'Comp-Bar'!J44,"")</f>
        <v/>
      </c>
    </row>
    <row r="43" spans="1:26" s="1" customFormat="1" ht="15" customHeight="1" x14ac:dyDescent="0.25">
      <c r="A43" s="92" t="s">
        <v>244</v>
      </c>
      <c r="B43" s="66">
        <f ca="1">IFERROR(VLOOKUP($A43,[1]!LOOKUP_MDAPs,B$2,FALSE)/$G43,"")</f>
        <v>0.20039681219003566</v>
      </c>
      <c r="C43" s="66">
        <f ca="1">IFERROR(VLOOKUP($A43,[1]!LOOKUP_MDAPs,C$2,FALSE)/$G43,"")</f>
        <v>0</v>
      </c>
      <c r="D43" s="66">
        <f ca="1">IFERROR(VLOOKUP($A43,[1]!LOOKUP_MDAPs,D$2,FALSE)/$G43,"")</f>
        <v>2.1096333987058305E-2</v>
      </c>
      <c r="E43" s="66">
        <f ca="1">IFERROR(VLOOKUP($A43,[1]!LOOKUP_MDAPs,E$2,FALSE)/$G43,"")</f>
        <v>0.14912259709932241</v>
      </c>
      <c r="F43" s="66">
        <f t="shared" ca="1" si="2"/>
        <v>0.62938425672358367</v>
      </c>
      <c r="G43" s="4">
        <f ca="1">IFERROR(VLOOKUP($A43,[1]!LOOKUP_MDAPs,G$2,FALSE),"")</f>
        <v>64257.4</v>
      </c>
      <c r="H43" s="3">
        <f ca="1">VLOOKUP($A43,[1]!LOOKUP_SARS_Unified2,H$2,FALSE)</f>
        <v>8.3000000000000004E-2</v>
      </c>
      <c r="I43" s="3"/>
      <c r="J43" s="32">
        <f t="shared" ca="1" si="4"/>
        <v>5089.8671000000004</v>
      </c>
      <c r="K43" s="26">
        <f ca="1">VLOOKUP($A43,[1]!LOOKUP_SARS_Unified2,K$1,FALSE)</f>
        <v>61323.7</v>
      </c>
      <c r="L43" s="83"/>
      <c r="M43" s="4"/>
      <c r="N43" s="12"/>
      <c r="O43" s="12"/>
      <c r="P43" s="12"/>
      <c r="T43" s="75" t="e">
        <f ca="1">'Comp-Bar'!M45</f>
        <v>#N/A</v>
      </c>
      <c r="U43" s="75">
        <f t="shared" si="5"/>
        <v>0</v>
      </c>
      <c r="V43" s="19">
        <f t="shared" ca="1" si="6"/>
        <v>8.3000000000000004E-2</v>
      </c>
      <c r="X43" s="40" t="str">
        <f ca="1">IF(MIN($F43,'Comp-Bar'!$H45)&lt;0.5,'Comp-Bar'!H45,"")</f>
        <v/>
      </c>
      <c r="Y43" s="40" t="str">
        <f ca="1">IF(MIN($F43,'Comp-Bar'!$H45)&lt;0.5,'Comp-Bar'!I45,"")</f>
        <v/>
      </c>
      <c r="Z43" s="40" t="str">
        <f ca="1">IF(MIN($F43,'Comp-Bar'!$H45)&lt;0.5,'Comp-Bar'!J45,"")</f>
        <v/>
      </c>
    </row>
    <row r="44" spans="1:26" s="1" customFormat="1" ht="15" customHeight="1" x14ac:dyDescent="0.25">
      <c r="A44" s="92" t="s">
        <v>10</v>
      </c>
      <c r="B44" s="66">
        <f ca="1">IFERROR(VLOOKUP($A44,[1]!LOOKUP_MDAPs,B$2,FALSE)/$G44,"")</f>
        <v>5.9029841173359604E-2</v>
      </c>
      <c r="C44" s="66">
        <f ca="1">IFERROR(VLOOKUP($A44,[1]!LOOKUP_MDAPs,C$2,FALSE)/$G44,"")</f>
        <v>0</v>
      </c>
      <c r="D44" s="66">
        <f ca="1">IFERROR(VLOOKUP($A44,[1]!LOOKUP_MDAPs,D$2,FALSE)/$G44,"")</f>
        <v>6.8316915150174268E-2</v>
      </c>
      <c r="E44" s="66">
        <f ca="1">IFERROR(VLOOKUP($A44,[1]!LOOKUP_MDAPs,E$2,FALSE)/$G44,"")</f>
        <v>2.5886865898166387E-2</v>
      </c>
      <c r="F44" s="66">
        <f t="shared" ca="1" si="2"/>
        <v>0.84676637777829977</v>
      </c>
      <c r="G44" s="4">
        <f ca="1">IFERROR(VLOOKUP($A44,[1]!LOOKUP_MDAPs,G$2,FALSE),"")</f>
        <v>65990</v>
      </c>
      <c r="H44" s="3">
        <f ca="1">VLOOKUP($A44,[1]!LOOKUP_SARS_Unified2,H$2,FALSE)</f>
        <v>0.628</v>
      </c>
      <c r="I44" s="3"/>
      <c r="J44" s="32">
        <f t="shared" ca="1" si="4"/>
        <v>146324</v>
      </c>
      <c r="K44" s="26">
        <f ca="1">VLOOKUP($A44,[1]!LOOKUP_SARS_Unified2,K$1,FALSE)</f>
        <v>233000</v>
      </c>
      <c r="L44" s="83"/>
      <c r="M44" s="4"/>
      <c r="N44" s="12"/>
      <c r="O44" s="12"/>
      <c r="P44" s="12"/>
      <c r="T44" s="75" t="e">
        <f ca="1">'Comp-Bar'!M46</f>
        <v>#N/A</v>
      </c>
      <c r="U44" s="75">
        <f t="shared" si="5"/>
        <v>0</v>
      </c>
      <c r="V44" s="19">
        <f t="shared" ca="1" si="6"/>
        <v>0.628</v>
      </c>
      <c r="X44" s="40" t="str">
        <f ca="1">IF(MIN($F44,'Comp-Bar'!$H46)&lt;0.5,'Comp-Bar'!H46,"")</f>
        <v/>
      </c>
      <c r="Y44" s="40" t="str">
        <f ca="1">IF(MIN($F44,'Comp-Bar'!$H46)&lt;0.5,'Comp-Bar'!I46,"")</f>
        <v/>
      </c>
      <c r="Z44" s="40" t="str">
        <f ca="1">IF(MIN($F44,'Comp-Bar'!$H46)&lt;0.5,'Comp-Bar'!J46,"")</f>
        <v/>
      </c>
    </row>
    <row r="45" spans="1:26" s="1" customFormat="1" ht="15" customHeight="1" x14ac:dyDescent="0.25">
      <c r="A45" s="92" t="s">
        <v>1</v>
      </c>
      <c r="B45" s="66">
        <f ca="1">IFERROR(VLOOKUP($A45,[1]!LOOKUP_MDAPs,B$2,FALSE)/$G45,"")</f>
        <v>4.3731875445685764E-5</v>
      </c>
      <c r="C45" s="66">
        <f ca="1">IFERROR(VLOOKUP($A45,[1]!LOOKUP_MDAPs,C$2,FALSE)/$G45,"")</f>
        <v>0</v>
      </c>
      <c r="D45" s="66">
        <f ca="1">IFERROR(VLOOKUP($A45,[1]!LOOKUP_MDAPs,D$2,FALSE)/$G45,"")</f>
        <v>0</v>
      </c>
      <c r="E45" s="66">
        <f ca="1">IFERROR(VLOOKUP($A45,[1]!LOOKUP_MDAPs,E$2,FALSE)/$G45,"")</f>
        <v>0</v>
      </c>
      <c r="F45" s="66">
        <f t="shared" ca="1" si="2"/>
        <v>0.99995626812455429</v>
      </c>
      <c r="G45" s="4">
        <f ca="1">IFERROR(VLOOKUP($A45,[1]!LOOKUP_MDAPs,G$2,FALSE),"")</f>
        <v>1682.8</v>
      </c>
      <c r="H45" s="3">
        <f ca="1">VLOOKUP($A45,[1]!LOOKUP_SARS_Unified2,H$2,FALSE)</f>
        <v>0.39899999999999997</v>
      </c>
      <c r="I45" s="3"/>
      <c r="J45" s="32">
        <f t="shared" ca="1" si="4"/>
        <v>1263.7926</v>
      </c>
      <c r="K45" s="26">
        <f ca="1">VLOOKUP($A45,[1]!LOOKUP_SARS_Unified2,K$1,FALSE)</f>
        <v>3167.4</v>
      </c>
      <c r="L45" s="83"/>
      <c r="M45" s="4"/>
      <c r="N45" s="12"/>
      <c r="O45" s="12"/>
      <c r="P45" s="12"/>
      <c r="T45" s="75" t="e">
        <f ca="1">'Comp-Bar'!M47</f>
        <v>#N/A</v>
      </c>
      <c r="U45" s="75">
        <f t="shared" si="5"/>
        <v>0</v>
      </c>
      <c r="V45" s="19">
        <f t="shared" ca="1" si="6"/>
        <v>0.39899999999999997</v>
      </c>
      <c r="X45" s="40" t="str">
        <f ca="1">IF(MIN($F45,'Comp-Bar'!$H47)&lt;0.5,'Comp-Bar'!H47,"")</f>
        <v/>
      </c>
      <c r="Y45" s="40" t="str">
        <f ca="1">IF(MIN($F45,'Comp-Bar'!$H47)&lt;0.5,'Comp-Bar'!I47,"")</f>
        <v/>
      </c>
      <c r="Z45" s="40" t="str">
        <f ca="1">IF(MIN($F45,'Comp-Bar'!$H47)&lt;0.5,'Comp-Bar'!J47,"")</f>
        <v/>
      </c>
    </row>
    <row r="46" spans="1:26" s="1" customFormat="1" ht="15" customHeight="1" x14ac:dyDescent="0.25">
      <c r="A46" s="92" t="s">
        <v>14</v>
      </c>
      <c r="B46" s="66">
        <f ca="1">IFERROR(VLOOKUP($A46,[1]!LOOKUP_MDAPs,B$2,FALSE)/$G46,"")</f>
        <v>0.5275105316586336</v>
      </c>
      <c r="C46" s="66">
        <f ca="1">IFERROR(VLOOKUP($A46,[1]!LOOKUP_MDAPs,C$2,FALSE)/$G46,"")</f>
        <v>0</v>
      </c>
      <c r="D46" s="66">
        <f ca="1">IFERROR(VLOOKUP($A46,[1]!LOOKUP_MDAPs,D$2,FALSE)/$G46,"")</f>
        <v>0.1097540317319782</v>
      </c>
      <c r="E46" s="66">
        <f ca="1">IFERROR(VLOOKUP($A46,[1]!LOOKUP_MDAPs,E$2,FALSE)/$G46,"")</f>
        <v>0.12108401876309725</v>
      </c>
      <c r="F46" s="66">
        <f t="shared" ca="1" si="2"/>
        <v>0.24165141784629096</v>
      </c>
      <c r="G46" s="4">
        <f ca="1">IFERROR(VLOOKUP($A46,[1]!LOOKUP_MDAPs,G$2,FALSE),"")</f>
        <v>3817.6</v>
      </c>
      <c r="H46" s="3">
        <f ca="1">VLOOKUP($A46,[1]!LOOKUP_SARS_Unified2,H$2,FALSE)</f>
        <v>0.20899999999999999</v>
      </c>
      <c r="I46" s="3"/>
      <c r="J46" s="32">
        <f t="shared" ca="1" si="4"/>
        <v>325.3503</v>
      </c>
      <c r="K46" s="26">
        <f ca="1">VLOOKUP($A46,[1]!LOOKUP_SARS_Unified2,K$1,FALSE)</f>
        <v>1556.7</v>
      </c>
      <c r="L46" s="83"/>
      <c r="M46" s="4"/>
      <c r="N46" s="12"/>
      <c r="O46" s="12"/>
      <c r="P46" s="12"/>
      <c r="T46" s="75" t="e">
        <f ca="1">'Comp-Bar'!M48</f>
        <v>#N/A</v>
      </c>
      <c r="U46" s="75">
        <f t="shared" si="5"/>
        <v>0</v>
      </c>
      <c r="V46" s="19">
        <f t="shared" ca="1" si="6"/>
        <v>0.20899999999999999</v>
      </c>
      <c r="X46" s="40">
        <f ca="1">IF(MIN($F46,'Comp-Bar'!$H48)&lt;0.5,'Comp-Bar'!H48,"")</f>
        <v>0.2878103864993713</v>
      </c>
      <c r="Y46" s="40">
        <f ca="1">IF(MIN($F46,'Comp-Bar'!$H48)&lt;0.5,'Comp-Bar'!I48,"")</f>
        <v>3817.6</v>
      </c>
      <c r="Z46" s="40">
        <f ca="1">IF(MIN($F46,'Comp-Bar'!$H48)&lt;0.5,'Comp-Bar'!J48,"")</f>
        <v>0.20899999999999999</v>
      </c>
    </row>
    <row r="47" spans="1:26" s="1" customFormat="1" ht="15" customHeight="1" x14ac:dyDescent="0.25">
      <c r="A47" s="104" t="s">
        <v>218</v>
      </c>
      <c r="B47" s="112">
        <f ca="1">IFERROR(VLOOKUP($A47,[1]!LOOKUP_MDAPs,B$2,FALSE)/$G47,"")</f>
        <v>2.7226903120703052E-3</v>
      </c>
      <c r="C47" s="112">
        <f ca="1">IFERROR(VLOOKUP($A47,[1]!LOOKUP_MDAPs,C$2,FALSE)/$G47,"")</f>
        <v>0</v>
      </c>
      <c r="D47" s="112">
        <f ca="1">IFERROR(VLOOKUP($A47,[1]!LOOKUP_MDAPs,D$2,FALSE)/$G47,"")</f>
        <v>6.715227220960125E-3</v>
      </c>
      <c r="E47" s="112">
        <f ca="1">IFERROR(VLOOKUP($A47,[1]!LOOKUP_MDAPs,E$2,FALSE)/$G47,"")</f>
        <v>0.74901266114067078</v>
      </c>
      <c r="F47" s="112">
        <f t="shared" ca="1" si="2"/>
        <v>0.24154942132629875</v>
      </c>
      <c r="G47" s="105">
        <f ca="1">IFERROR(VLOOKUP($A47,[1]!LOOKUP_MDAPs,G$2,FALSE),"")</f>
        <v>6690.7999999999993</v>
      </c>
      <c r="H47" s="3">
        <f ca="1">VLOOKUP($A47,[1]!LOOKUP_SARS_Unified2,H$2,FALSE)</f>
        <v>0.72799999999999998</v>
      </c>
      <c r="I47" s="3"/>
      <c r="J47" s="32">
        <f t="shared" ca="1" si="4"/>
        <v>67121.599999999991</v>
      </c>
      <c r="K47" s="26">
        <f ca="1">VLOOKUP($A47,[1]!LOOKUP_SARS_Unified2,K$1,FALSE)</f>
        <v>92200</v>
      </c>
      <c r="L47" s="83"/>
      <c r="M47" s="4"/>
      <c r="N47" s="12"/>
      <c r="O47" s="12"/>
      <c r="P47" s="12"/>
      <c r="T47" s="75" t="e">
        <f ca="1">'Comp-Bar'!M49</f>
        <v>#N/A</v>
      </c>
      <c r="U47" s="75">
        <f t="shared" si="5"/>
        <v>0</v>
      </c>
      <c r="V47" s="19">
        <f t="shared" ca="1" si="6"/>
        <v>0.72799999999999998</v>
      </c>
      <c r="X47" s="40">
        <f ca="1">IF(MIN($F47,'Comp-Bar'!$H49)&lt;0.5,'Comp-Bar'!H49,"")</f>
        <v>0.34474581410145277</v>
      </c>
      <c r="Y47" s="40">
        <f ca="1">IF(MIN($F47,'Comp-Bar'!$H49)&lt;0.5,'Comp-Bar'!I49,"")</f>
        <v>6690.7999999999993</v>
      </c>
      <c r="Z47" s="40">
        <f ca="1">IF(MIN($F47,'Comp-Bar'!$H49)&lt;0.5,'Comp-Bar'!J49,"")</f>
        <v>0.72799999999999998</v>
      </c>
    </row>
    <row r="48" spans="1:26" s="1" customFormat="1" ht="15" customHeight="1" x14ac:dyDescent="0.25">
      <c r="A48" s="92" t="s">
        <v>7</v>
      </c>
      <c r="B48" s="66">
        <f ca="1">IFERROR(VLOOKUP($A48,[1]!LOOKUP_MDAPs,B$2,FALSE)/$G48,"")</f>
        <v>5.8972219566592737E-2</v>
      </c>
      <c r="C48" s="66">
        <f ca="1">IFERROR(VLOOKUP($A48,[1]!LOOKUP_MDAPs,C$2,FALSE)/$G48,"")</f>
        <v>0</v>
      </c>
      <c r="D48" s="66">
        <f ca="1">IFERROR(VLOOKUP($A48,[1]!LOOKUP_MDAPs,D$2,FALSE)/$G48,"")</f>
        <v>1.8352132207744072E-4</v>
      </c>
      <c r="E48" s="66">
        <f ca="1">IFERROR(VLOOKUP($A48,[1]!LOOKUP_MDAPs,E$2,FALSE)/$G48,"")</f>
        <v>1.1592932688313598E-3</v>
      </c>
      <c r="F48" s="66">
        <f t="shared" ca="1" si="2"/>
        <v>0.9396849658424985</v>
      </c>
      <c r="G48" s="4">
        <f ca="1">IFERROR(VLOOKUP($A48,[1]!LOOKUP_MDAPs,G$2,FALSE),"")</f>
        <v>15648.1</v>
      </c>
      <c r="H48" s="3">
        <f ca="1">VLOOKUP($A48,[1]!LOOKUP_SARS_Unified2,H$2,FALSE)</f>
        <v>-0.06</v>
      </c>
      <c r="I48" s="3"/>
      <c r="J48" s="32">
        <f t="shared" ca="1" si="4"/>
        <v>-1135.278</v>
      </c>
      <c r="K48" s="26">
        <f ca="1">VLOOKUP($A48,[1]!LOOKUP_SARS_Unified2,K$1,FALSE)</f>
        <v>18921.3</v>
      </c>
      <c r="L48" s="83"/>
      <c r="M48" s="4"/>
      <c r="N48" s="12"/>
      <c r="O48" s="12"/>
      <c r="P48" s="12"/>
      <c r="T48" s="75" t="e">
        <f ca="1">'Comp-Bar'!M50</f>
        <v>#N/A</v>
      </c>
      <c r="U48" s="75">
        <f t="shared" si="5"/>
        <v>0</v>
      </c>
      <c r="V48" s="19">
        <f t="shared" ca="1" si="6"/>
        <v>-0.06</v>
      </c>
      <c r="X48" s="40" t="str">
        <f ca="1">IF(MIN($F48,'Comp-Bar'!$H50)&lt;0.5,'Comp-Bar'!H50,"")</f>
        <v/>
      </c>
      <c r="Y48" s="40" t="str">
        <f ca="1">IF(MIN($F48,'Comp-Bar'!$H50)&lt;0.5,'Comp-Bar'!I50,"")</f>
        <v/>
      </c>
      <c r="Z48" s="40" t="str">
        <f ca="1">IF(MIN($F48,'Comp-Bar'!$H50)&lt;0.5,'Comp-Bar'!J50,"")</f>
        <v/>
      </c>
    </row>
    <row r="49" spans="1:26" s="1" customFormat="1" ht="15" customHeight="1" x14ac:dyDescent="0.25">
      <c r="A49" s="92" t="s">
        <v>54</v>
      </c>
      <c r="B49" s="66">
        <f ca="1">IFERROR(VLOOKUP($A49,[1]!LOOKUP_MDAPs,B$2,FALSE)/$G49,"")</f>
        <v>7.3358041256896142E-2</v>
      </c>
      <c r="C49" s="66">
        <f ca="1">IFERROR(VLOOKUP($A49,[1]!LOOKUP_MDAPs,C$2,FALSE)/$G49,"")</f>
        <v>0</v>
      </c>
      <c r="D49" s="66">
        <f ca="1">IFERROR(VLOOKUP($A49,[1]!LOOKUP_MDAPs,D$2,FALSE)/$G49,"")</f>
        <v>5.1946136747421448E-2</v>
      </c>
      <c r="E49" s="66">
        <f ca="1">IFERROR(VLOOKUP($A49,[1]!LOOKUP_MDAPs,E$2,FALSE)/$G49,"")</f>
        <v>0.1859137091868554</v>
      </c>
      <c r="F49" s="66">
        <f t="shared" ca="1" si="2"/>
        <v>0.68878211280882695</v>
      </c>
      <c r="G49" s="4">
        <f ca="1">IFERROR(VLOOKUP($A49,[1]!LOOKUP_MDAPs,G$2,FALSE),"")</f>
        <v>833.8</v>
      </c>
      <c r="H49" s="3">
        <f ca="1">VLOOKUP($A49,[1]!LOOKUP_SARS_Unified2,H$2,FALSE)</f>
        <v>0.218</v>
      </c>
      <c r="I49" s="3"/>
      <c r="J49" s="32">
        <f t="shared" ca="1" si="4"/>
        <v>108.3678</v>
      </c>
      <c r="K49" s="26">
        <f ca="1">VLOOKUP($A49,[1]!LOOKUP_SARS_Unified2,K$1,FALSE)</f>
        <v>497.1</v>
      </c>
      <c r="L49" s="83"/>
      <c r="M49" s="4"/>
      <c r="N49" s="12"/>
      <c r="O49" s="12"/>
      <c r="P49" s="12"/>
      <c r="T49" s="75" t="e">
        <f ca="1">'Comp-Bar'!M51</f>
        <v>#N/A</v>
      </c>
      <c r="U49" s="75">
        <f t="shared" si="5"/>
        <v>0</v>
      </c>
      <c r="V49" s="19">
        <f t="shared" ca="1" si="6"/>
        <v>0.218</v>
      </c>
      <c r="X49" s="40" t="str">
        <f ca="1">IF(MIN($F49,'Comp-Bar'!$H51)&lt;0.5,'Comp-Bar'!H51,"")</f>
        <v/>
      </c>
      <c r="Y49" s="40" t="str">
        <f ca="1">IF(MIN($F49,'Comp-Bar'!$H51)&lt;0.5,'Comp-Bar'!I51,"")</f>
        <v/>
      </c>
      <c r="Z49" s="40" t="str">
        <f ca="1">IF(MIN($F49,'Comp-Bar'!$H51)&lt;0.5,'Comp-Bar'!J51,"")</f>
        <v/>
      </c>
    </row>
    <row r="50" spans="1:26" s="1" customFormat="1" ht="15" customHeight="1" x14ac:dyDescent="0.25">
      <c r="A50" s="92" t="s">
        <v>53</v>
      </c>
      <c r="B50" s="66">
        <f ca="1">IFERROR(VLOOKUP($A50,[1]!LOOKUP_MDAPs,B$2,FALSE)/$G50,"")</f>
        <v>0.17645802611132336</v>
      </c>
      <c r="C50" s="66">
        <f ca="1">IFERROR(VLOOKUP($A50,[1]!LOOKUP_MDAPs,C$2,FALSE)/$G50,"")</f>
        <v>0</v>
      </c>
      <c r="D50" s="66">
        <f ca="1">IFERROR(VLOOKUP($A50,[1]!LOOKUP_MDAPs,D$2,FALSE)/$G50,"")</f>
        <v>1.4656035069842482E-3</v>
      </c>
      <c r="E50" s="66">
        <f ca="1">IFERROR(VLOOKUP($A50,[1]!LOOKUP_MDAPs,E$2,FALSE)/$G50,"")</f>
        <v>2.329835692693075E-2</v>
      </c>
      <c r="F50" s="66">
        <f t="shared" ca="1" si="2"/>
        <v>0.79877801345476163</v>
      </c>
      <c r="G50" s="4">
        <f ca="1">IFERROR(VLOOKUP($A50,[1]!LOOKUP_MDAPs,G$2,FALSE),"")</f>
        <v>2355.3000000000002</v>
      </c>
      <c r="H50" s="3">
        <f ca="1">VLOOKUP($A50,[1]!LOOKUP_SARS_Unified2,H$2,FALSE)</f>
        <v>1.054</v>
      </c>
      <c r="I50" s="3"/>
      <c r="J50" s="32">
        <f t="shared" ca="1" si="4"/>
        <v>12488.740600000001</v>
      </c>
      <c r="K50" s="26">
        <f ca="1">VLOOKUP($A50,[1]!LOOKUP_SARS_Unified2,K$1,FALSE)</f>
        <v>11848.9</v>
      </c>
      <c r="L50" s="83"/>
      <c r="M50" s="4"/>
      <c r="N50" s="12"/>
      <c r="O50" s="12"/>
      <c r="P50" s="12"/>
      <c r="T50" s="75" t="e">
        <f ca="1">'Comp-Bar'!M52</f>
        <v>#N/A</v>
      </c>
      <c r="U50" s="75">
        <f t="shared" si="5"/>
        <v>0</v>
      </c>
      <c r="V50" s="19">
        <f t="shared" ca="1" si="6"/>
        <v>1.054</v>
      </c>
      <c r="X50" s="40" t="str">
        <f ca="1">IF(MIN($F50,'Comp-Bar'!$H52)&lt;0.5,'Comp-Bar'!H52,"")</f>
        <v/>
      </c>
      <c r="Y50" s="40" t="str">
        <f ca="1">IF(MIN($F50,'Comp-Bar'!$H52)&lt;0.5,'Comp-Bar'!I52,"")</f>
        <v/>
      </c>
      <c r="Z50" s="40" t="str">
        <f ca="1">IF(MIN($F50,'Comp-Bar'!$H52)&lt;0.5,'Comp-Bar'!J52,"")</f>
        <v/>
      </c>
    </row>
    <row r="51" spans="1:26" s="1" customFormat="1" ht="15" customHeight="1" x14ac:dyDescent="0.25">
      <c r="A51" s="92" t="s">
        <v>4</v>
      </c>
      <c r="B51" s="66">
        <f ca="1">IFERROR(VLOOKUP($A51,[1]!LOOKUP_MDAPs,B$2,FALSE)/$G51,"")</f>
        <v>5.9116901997749015E-2</v>
      </c>
      <c r="C51" s="66">
        <f ca="1">IFERROR(VLOOKUP($A51,[1]!LOOKUP_MDAPs,C$2,FALSE)/$G51,"")</f>
        <v>0</v>
      </c>
      <c r="D51" s="66">
        <f ca="1">IFERROR(VLOOKUP($A51,[1]!LOOKUP_MDAPs,D$2,FALSE)/$G51,"")</f>
        <v>0</v>
      </c>
      <c r="E51" s="66">
        <f ca="1">IFERROR(VLOOKUP($A51,[1]!LOOKUP_MDAPs,E$2,FALSE)/$G51,"")</f>
        <v>0</v>
      </c>
      <c r="F51" s="66">
        <f t="shared" ca="1" si="2"/>
        <v>0.94088309800225101</v>
      </c>
      <c r="G51" s="4">
        <f ca="1">IFERROR(VLOOKUP($A51,[1]!LOOKUP_MDAPs,G$2,FALSE),"")</f>
        <v>1777</v>
      </c>
      <c r="H51" s="3">
        <f ca="1">VLOOKUP($A51,[1]!LOOKUP_SARS_Unified2,H$2,FALSE)</f>
        <v>-2.4E-2</v>
      </c>
      <c r="I51" s="3"/>
      <c r="J51" s="32">
        <f t="shared" ca="1" si="4"/>
        <v>-102.4752</v>
      </c>
      <c r="K51" s="26">
        <f ca="1">VLOOKUP($A51,[1]!LOOKUP_SARS_Unified2,K$1,FALSE)</f>
        <v>4269.8</v>
      </c>
      <c r="L51" s="83"/>
      <c r="M51" s="4"/>
      <c r="N51" s="4" t="s">
        <v>162</v>
      </c>
      <c r="O51" s="74">
        <v>1</v>
      </c>
      <c r="P51" s="12"/>
      <c r="T51" s="75" t="e">
        <f ca="1">'Comp-Bar'!M53</f>
        <v>#N/A</v>
      </c>
      <c r="U51" s="75">
        <f t="shared" si="5"/>
        <v>0</v>
      </c>
      <c r="V51" s="19">
        <f t="shared" ca="1" si="6"/>
        <v>-2.4E-2</v>
      </c>
      <c r="X51" s="40" t="str">
        <f ca="1">IF(MIN($F51,'Comp-Bar'!$H53)&lt;0.5,'Comp-Bar'!H53,"")</f>
        <v/>
      </c>
      <c r="Y51" s="40" t="str">
        <f ca="1">IF(MIN($F51,'Comp-Bar'!$H53)&lt;0.5,'Comp-Bar'!I53,"")</f>
        <v/>
      </c>
      <c r="Z51" s="40" t="str">
        <f ca="1">IF(MIN($F51,'Comp-Bar'!$H53)&lt;0.5,'Comp-Bar'!J53,"")</f>
        <v/>
      </c>
    </row>
    <row r="52" spans="1:26" s="1" customFormat="1" ht="15" customHeight="1" x14ac:dyDescent="0.25">
      <c r="A52" s="92" t="s">
        <v>39</v>
      </c>
      <c r="B52" s="66">
        <f ca="1">IFERROR(VLOOKUP($A52,[1]!LOOKUP_MDAPs,B$2,FALSE)/$G52,"")</f>
        <v>0.41942250222105087</v>
      </c>
      <c r="C52" s="66">
        <f ca="1">IFERROR(VLOOKUP($A52,[1]!LOOKUP_MDAPs,C$2,FALSE)/$G52,"")</f>
        <v>7.3359896503250748E-4</v>
      </c>
      <c r="D52" s="66">
        <f ca="1">IFERROR(VLOOKUP($A52,[1]!LOOKUP_MDAPs,D$2,FALSE)/$G52,"")</f>
        <v>7.4102445229309432E-3</v>
      </c>
      <c r="E52" s="66">
        <f ca="1">IFERROR(VLOOKUP($A52,[1]!LOOKUP_MDAPs,E$2,FALSE)/$G52,"")</f>
        <v>3.2696206244948164E-2</v>
      </c>
      <c r="F52" s="66">
        <f t="shared" ca="1" si="2"/>
        <v>0.53973744804603752</v>
      </c>
      <c r="G52" s="4">
        <f ca="1">IFERROR(VLOOKUP($A52,[1]!LOOKUP_MDAPs,G$2,FALSE),"")</f>
        <v>5691</v>
      </c>
      <c r="H52" s="3">
        <f ca="1">VLOOKUP($A52,[1]!LOOKUP_SARS_Unified2,H$2,FALSE)</f>
        <v>5.4000000000000006E-2</v>
      </c>
      <c r="I52" s="3"/>
      <c r="J52" s="32">
        <f t="shared" ca="1" si="4"/>
        <v>658.08720000000005</v>
      </c>
      <c r="K52" s="26">
        <f ca="1">VLOOKUP($A52,[1]!LOOKUP_SARS_Unified2,K$1,FALSE)</f>
        <v>12186.8</v>
      </c>
      <c r="L52" s="83"/>
      <c r="M52" s="4"/>
      <c r="N52" s="4" t="s">
        <v>161</v>
      </c>
      <c r="O52" s="74">
        <v>0</v>
      </c>
      <c r="P52" s="12"/>
      <c r="T52" s="75" t="e">
        <f ca="1">'Comp-Bar'!M54</f>
        <v>#N/A</v>
      </c>
      <c r="U52" s="75">
        <f t="shared" si="5"/>
        <v>0</v>
      </c>
      <c r="V52" s="19">
        <f t="shared" ca="1" si="6"/>
        <v>5.4000000000000006E-2</v>
      </c>
      <c r="X52" s="40" t="str">
        <f ca="1">IF(MIN($F52,'Comp-Bar'!$H54)&lt;0.5,'Comp-Bar'!H54,"")</f>
        <v/>
      </c>
      <c r="Y52" s="40" t="str">
        <f ca="1">IF(MIN($F52,'Comp-Bar'!$H54)&lt;0.5,'Comp-Bar'!I54,"")</f>
        <v/>
      </c>
      <c r="Z52" s="40" t="str">
        <f ca="1">IF(MIN($F52,'Comp-Bar'!$H54)&lt;0.5,'Comp-Bar'!J54,"")</f>
        <v/>
      </c>
    </row>
    <row r="53" spans="1:26" s="1" customFormat="1" ht="15" customHeight="1" x14ac:dyDescent="0.25">
      <c r="A53" s="92" t="s">
        <v>3</v>
      </c>
      <c r="B53" s="66">
        <f ca="1">IFERROR(VLOOKUP($A53,[1]!LOOKUP_MDAPs,B$2,FALSE)/$G53,"")</f>
        <v>0.27847306603608252</v>
      </c>
      <c r="C53" s="66">
        <f ca="1">IFERROR(VLOOKUP($A53,[1]!LOOKUP_MDAPs,C$2,FALSE)/$G53,"")</f>
        <v>0</v>
      </c>
      <c r="D53" s="66">
        <f ca="1">IFERROR(VLOOKUP($A53,[1]!LOOKUP_MDAPs,D$2,FALSE)/$G53,"")</f>
        <v>0</v>
      </c>
      <c r="E53" s="66">
        <f ca="1">IFERROR(VLOOKUP($A53,[1]!LOOKUP_MDAPs,E$2,FALSE)/$G53,"")</f>
        <v>1.5984043706185568E-2</v>
      </c>
      <c r="F53" s="66">
        <f t="shared" ca="1" si="2"/>
        <v>0.70554289025773187</v>
      </c>
      <c r="G53" s="4">
        <f ca="1">IFERROR(VLOOKUP($A53,[1]!LOOKUP_MDAPs,G$2,FALSE),"")</f>
        <v>1940</v>
      </c>
      <c r="H53" s="3">
        <f ca="1">VLOOKUP($A53,[1]!LOOKUP_SARS_Unified2,H$2,FALSE)</f>
        <v>-3.2000000000000001E-2</v>
      </c>
      <c r="I53" s="3"/>
      <c r="J53" s="32">
        <f t="shared" ca="1" si="4"/>
        <v>-140.4288</v>
      </c>
      <c r="K53" s="26">
        <f ca="1">VLOOKUP($A53,[1]!LOOKUP_SARS_Unified2,K$1,FALSE)</f>
        <v>4388.3999999999996</v>
      </c>
      <c r="L53" s="83"/>
      <c r="M53" s="4"/>
      <c r="N53" s="4" t="s">
        <v>160</v>
      </c>
      <c r="O53" s="74">
        <v>0.25</v>
      </c>
      <c r="P53" s="12"/>
      <c r="T53" s="75" t="e">
        <f ca="1">'Comp-Bar'!M55</f>
        <v>#N/A</v>
      </c>
      <c r="U53" s="75">
        <f t="shared" si="5"/>
        <v>0</v>
      </c>
      <c r="V53" s="19">
        <f t="shared" ca="1" si="6"/>
        <v>-3.2000000000000001E-2</v>
      </c>
      <c r="X53" s="40" t="str">
        <f ca="1">IF(MIN($F53,'Comp-Bar'!$H55)&lt;0.5,'Comp-Bar'!H55,"")</f>
        <v/>
      </c>
      <c r="Y53" s="40" t="str">
        <f ca="1">IF(MIN($F53,'Comp-Bar'!$H55)&lt;0.5,'Comp-Bar'!I55,"")</f>
        <v/>
      </c>
      <c r="Z53" s="40" t="str">
        <f ca="1">IF(MIN($F53,'Comp-Bar'!$H55)&lt;0.5,'Comp-Bar'!J55,"")</f>
        <v/>
      </c>
    </row>
    <row r="54" spans="1:26" s="1" customFormat="1" ht="15" customHeight="1" x14ac:dyDescent="0.25">
      <c r="A54" s="92" t="s">
        <v>179</v>
      </c>
      <c r="B54" s="66">
        <f ca="1">IFERROR(VLOOKUP($A54,[1]!LOOKUP_MDAPs,B$2,FALSE)/$G54,"")</f>
        <v>0</v>
      </c>
      <c r="C54" s="66">
        <f ca="1">IFERROR(VLOOKUP($A54,[1]!LOOKUP_MDAPs,C$2,FALSE)/$G54,"")</f>
        <v>0</v>
      </c>
      <c r="D54" s="66">
        <f ca="1">IFERROR(VLOOKUP($A54,[1]!LOOKUP_MDAPs,D$2,FALSE)/$G54,"")</f>
        <v>0</v>
      </c>
      <c r="E54" s="66">
        <f ca="1">IFERROR(VLOOKUP($A54,[1]!LOOKUP_MDAPs,E$2,FALSE)/$G54,"")</f>
        <v>0</v>
      </c>
      <c r="F54" s="66">
        <f t="shared" ca="1" si="2"/>
        <v>1</v>
      </c>
      <c r="G54" s="4">
        <f ca="1">IFERROR(VLOOKUP($A54,[1]!LOOKUP_MDAPs,G$2,FALSE),"")</f>
        <v>634.1</v>
      </c>
      <c r="H54" s="3">
        <f ca="1">VLOOKUP($A54,[1]!LOOKUP_SARS_Unified2,H$2,FALSE)</f>
        <v>-0.14800000000000002</v>
      </c>
      <c r="I54" s="3"/>
      <c r="J54" s="32">
        <f t="shared" ca="1" si="4"/>
        <v>-857.1568000000002</v>
      </c>
      <c r="K54" s="26">
        <f ca="1">VLOOKUP($A54,[1]!LOOKUP_SARS_Unified2,K$1,FALSE)</f>
        <v>5791.6</v>
      </c>
      <c r="L54" s="83"/>
      <c r="M54" s="4"/>
      <c r="N54" s="4" t="s">
        <v>159</v>
      </c>
      <c r="O54" s="74">
        <v>0.5</v>
      </c>
      <c r="P54" s="12"/>
      <c r="T54" s="75" t="e">
        <f ca="1">'Comp-Bar'!M56</f>
        <v>#N/A</v>
      </c>
      <c r="U54" s="75">
        <f t="shared" si="5"/>
        <v>0</v>
      </c>
      <c r="V54" s="19">
        <f t="shared" ca="1" si="6"/>
        <v>-0.14800000000000002</v>
      </c>
      <c r="X54" s="40" t="str">
        <f ca="1">IF(MIN($F54,'Comp-Bar'!$H56)&lt;0.5,'Comp-Bar'!H56,"")</f>
        <v/>
      </c>
      <c r="Y54" s="40" t="str">
        <f ca="1">IF(MIN($F54,'Comp-Bar'!$H56)&lt;0.5,'Comp-Bar'!I56,"")</f>
        <v/>
      </c>
      <c r="Z54" s="40" t="str">
        <f ca="1">IF(MIN($F54,'Comp-Bar'!$H56)&lt;0.5,'Comp-Bar'!J56,"")</f>
        <v/>
      </c>
    </row>
    <row r="55" spans="1:26" s="1" customFormat="1" ht="15" customHeight="1" x14ac:dyDescent="0.25">
      <c r="A55" s="92" t="s">
        <v>2</v>
      </c>
      <c r="B55" s="66" t="str">
        <f ca="1">IFERROR(VLOOKUP($A55,[1]!LOOKUP_MDAPs,B$2,FALSE)/$G55,"")</f>
        <v/>
      </c>
      <c r="C55" s="66" t="str">
        <f ca="1">IFERROR(VLOOKUP($A55,[1]!LOOKUP_MDAPs,C$2,FALSE)/$G55,"")</f>
        <v/>
      </c>
      <c r="D55" s="66" t="str">
        <f ca="1">IFERROR(VLOOKUP($A55,[1]!LOOKUP_MDAPs,D$2,FALSE)/$G55,"")</f>
        <v/>
      </c>
      <c r="E55" s="66" t="str">
        <f ca="1">IFERROR(VLOOKUP($A55,[1]!LOOKUP_MDAPs,E$2,FALSE)/$G55,"")</f>
        <v/>
      </c>
      <c r="F55" s="66">
        <f t="shared" ca="1" si="2"/>
        <v>1</v>
      </c>
      <c r="G55" s="4" t="str">
        <f ca="1">IFERROR(VLOOKUP($A55,[1]!LOOKUP_MDAPs,G$2,FALSE),"")</f>
        <v/>
      </c>
      <c r="H55" s="3" t="str">
        <f ca="1">VLOOKUP($A55,[1]!LOOKUP_SARS_Unified2,H$2,FALSE)</f>
        <v/>
      </c>
      <c r="I55" s="3"/>
      <c r="J55" s="32" t="e">
        <f t="shared" ca="1" si="4"/>
        <v>#VALUE!</v>
      </c>
      <c r="K55" s="26" t="str">
        <f ca="1">VLOOKUP($A55,[1]!LOOKUP_SARS_Unified2,K$1,FALSE)</f>
        <v/>
      </c>
      <c r="L55" s="83"/>
      <c r="M55" s="4"/>
      <c r="N55" s="4" t="s">
        <v>163</v>
      </c>
      <c r="O55" s="74">
        <v>0</v>
      </c>
      <c r="P55" s="12"/>
      <c r="T55" s="75" t="e">
        <f ca="1">'Comp-Bar'!M57</f>
        <v>#N/A</v>
      </c>
      <c r="U55" s="75">
        <f t="shared" si="5"/>
        <v>0</v>
      </c>
      <c r="V55" s="19" t="str">
        <f t="shared" ca="1" si="6"/>
        <v/>
      </c>
      <c r="X55" s="40" t="str">
        <f ca="1">IF(MIN($F55,'Comp-Bar'!$H57)&lt;0.5,'Comp-Bar'!H57,"")</f>
        <v/>
      </c>
      <c r="Y55" s="40" t="str">
        <f ca="1">IF(MIN($F55,'Comp-Bar'!$H57)&lt;0.5,'Comp-Bar'!I57,"")</f>
        <v/>
      </c>
      <c r="Z55" s="40" t="str">
        <f ca="1">IF(MIN($F55,'Comp-Bar'!$H57)&lt;0.5,'Comp-Bar'!J57,"")</f>
        <v/>
      </c>
    </row>
    <row r="56" spans="1:26" s="1" customFormat="1" ht="15" customHeight="1" x14ac:dyDescent="0.25">
      <c r="A56" s="92" t="s">
        <v>61</v>
      </c>
      <c r="B56" s="66">
        <f ca="1">IFERROR(VLOOKUP($A56,[1]!LOOKUP_MDAPs,B$2,FALSE)/$G56,"")</f>
        <v>0.58188372326186755</v>
      </c>
      <c r="C56" s="66">
        <f ca="1">IFERROR(VLOOKUP($A56,[1]!LOOKUP_MDAPs,C$2,FALSE)/$G56,"")</f>
        <v>0</v>
      </c>
      <c r="D56" s="66">
        <f ca="1">IFERROR(VLOOKUP($A56,[1]!LOOKUP_MDAPs,D$2,FALSE)/$G56,"")</f>
        <v>7.7092071891712802E-3</v>
      </c>
      <c r="E56" s="66">
        <f ca="1">IFERROR(VLOOKUP($A56,[1]!LOOKUP_MDAPs,E$2,FALSE)/$G56,"")</f>
        <v>0.11248795239244641</v>
      </c>
      <c r="F56" s="66">
        <f t="shared" ca="1" si="2"/>
        <v>0.29791911715651476</v>
      </c>
      <c r="G56" s="4">
        <f ca="1">IFERROR(VLOOKUP($A56,[1]!LOOKUP_MDAPs,G$2,FALSE),"")</f>
        <v>2112.9</v>
      </c>
      <c r="H56" s="3">
        <f ca="1">VLOOKUP($A56,[1]!LOOKUP_SARS_Unified2,H$2,FALSE)</f>
        <v>0.64</v>
      </c>
      <c r="I56" s="3"/>
      <c r="J56" s="32">
        <f t="shared" ca="1" si="4"/>
        <v>3187.9040000000005</v>
      </c>
      <c r="K56" s="26">
        <f ca="1">VLOOKUP($A56,[1]!LOOKUP_SARS_Unified2,K$1,FALSE)</f>
        <v>4981.1000000000004</v>
      </c>
      <c r="L56" s="83"/>
      <c r="M56" s="4"/>
      <c r="N56" s="12"/>
      <c r="O56" s="12"/>
      <c r="P56" s="12"/>
      <c r="T56" s="75" t="e">
        <f ca="1">'Comp-Bar'!M58</f>
        <v>#N/A</v>
      </c>
      <c r="U56" s="75">
        <f t="shared" si="5"/>
        <v>0</v>
      </c>
      <c r="V56" s="19">
        <f t="shared" ca="1" si="6"/>
        <v>0.64</v>
      </c>
      <c r="X56" s="40">
        <f ca="1">IF(MIN($F56,'Comp-Bar'!$H58)&lt;0.5,'Comp-Bar'!H58,"")</f>
        <v>0.33896170831558536</v>
      </c>
      <c r="Y56" s="40">
        <f ca="1">IF(MIN($F56,'Comp-Bar'!$H58)&lt;0.5,'Comp-Bar'!I58,"")</f>
        <v>2112.9</v>
      </c>
      <c r="Z56" s="40">
        <f ca="1">IF(MIN($F56,'Comp-Bar'!$H58)&lt;0.5,'Comp-Bar'!J58,"")</f>
        <v>0.64</v>
      </c>
    </row>
    <row r="57" spans="1:26" s="1" customFormat="1" ht="15" customHeight="1" x14ac:dyDescent="0.25">
      <c r="A57" s="92" t="s">
        <v>5</v>
      </c>
      <c r="B57" s="66">
        <f ca="1">IFERROR(VLOOKUP($A57,[1]!LOOKUP_MDAPs,B$2,FALSE)/$G57,"")</f>
        <v>0.32364074879176968</v>
      </c>
      <c r="C57" s="66">
        <f ca="1">IFERROR(VLOOKUP($A57,[1]!LOOKUP_MDAPs,C$2,FALSE)/$G57,"")</f>
        <v>0</v>
      </c>
      <c r="D57" s="66">
        <f ca="1">IFERROR(VLOOKUP($A57,[1]!LOOKUP_MDAPs,D$2,FALSE)/$G57,"")</f>
        <v>0</v>
      </c>
      <c r="E57" s="66">
        <f ca="1">IFERROR(VLOOKUP($A57,[1]!LOOKUP_MDAPs,E$2,FALSE)/$G57,"")</f>
        <v>0</v>
      </c>
      <c r="F57" s="66">
        <f t="shared" ca="1" si="2"/>
        <v>0.67635925120823037</v>
      </c>
      <c r="G57" s="4">
        <f ca="1">IFERROR(VLOOKUP($A57,[1]!LOOKUP_MDAPs,G$2,FALSE),"")</f>
        <v>1253.9000000000001</v>
      </c>
      <c r="H57" s="3">
        <f ca="1">VLOOKUP($A57,[1]!LOOKUP_SARS_Unified2,H$2,FALSE)</f>
        <v>-0.158</v>
      </c>
      <c r="I57" s="3"/>
      <c r="J57" s="32">
        <f t="shared" ca="1" si="4"/>
        <v>-645.87240000000008</v>
      </c>
      <c r="K57" s="26">
        <f ca="1">VLOOKUP($A57,[1]!LOOKUP_SARS_Unified2,K$1,FALSE)</f>
        <v>4087.8</v>
      </c>
      <c r="L57" s="83"/>
      <c r="M57" s="4"/>
      <c r="N57" s="12"/>
      <c r="O57" s="12"/>
      <c r="P57" s="12"/>
      <c r="T57" s="75" t="e">
        <f ca="1">'Comp-Bar'!M59</f>
        <v>#N/A</v>
      </c>
      <c r="U57" s="75">
        <f t="shared" si="5"/>
        <v>0</v>
      </c>
      <c r="V57" s="19">
        <f t="shared" ca="1" si="6"/>
        <v>-0.158</v>
      </c>
      <c r="X57" s="40" t="str">
        <f ca="1">IF(MIN($F57,'Comp-Bar'!$H59)&lt;0.5,'Comp-Bar'!H59,"")</f>
        <v/>
      </c>
      <c r="Y57" s="40" t="str">
        <f ca="1">IF(MIN($F57,'Comp-Bar'!$H59)&lt;0.5,'Comp-Bar'!I59,"")</f>
        <v/>
      </c>
      <c r="Z57" s="40" t="str">
        <f ca="1">IF(MIN($F57,'Comp-Bar'!$H59)&lt;0.5,'Comp-Bar'!J59,"")</f>
        <v/>
      </c>
    </row>
    <row r="58" spans="1:26" s="1" customFormat="1" ht="15" customHeight="1" x14ac:dyDescent="0.25">
      <c r="A58" s="92" t="s">
        <v>219</v>
      </c>
      <c r="B58" s="66">
        <f ca="1">IFERROR(VLOOKUP($A58,[1]!LOOKUP_MDAPs,B$2,FALSE)/$G58,"")</f>
        <v>0.83109548922183429</v>
      </c>
      <c r="C58" s="66">
        <f ca="1">IFERROR(VLOOKUP($A58,[1]!LOOKUP_MDAPs,C$2,FALSE)/$G58,"")</f>
        <v>0</v>
      </c>
      <c r="D58" s="66">
        <f ca="1">IFERROR(VLOOKUP($A58,[1]!LOOKUP_MDAPs,D$2,FALSE)/$G58,"")</f>
        <v>4.4221750927916963E-2</v>
      </c>
      <c r="E58" s="66">
        <f ca="1">IFERROR(VLOOKUP($A58,[1]!LOOKUP_MDAPs,E$2,FALSE)/$G58,"")</f>
        <v>0.22918434694227963</v>
      </c>
      <c r="F58" s="66">
        <f t="shared" ca="1" si="2"/>
        <v>-0.10450158709203095</v>
      </c>
      <c r="G58" s="4">
        <f ca="1">IFERROR(VLOOKUP($A58,[1]!LOOKUP_MDAPs,G$2,FALSE),"")</f>
        <v>776.96928161000005</v>
      </c>
      <c r="H58" s="3">
        <f ca="1">VLOOKUP($A58,[1]!LOOKUP_SARS_Unified2,H$2,FALSE)</f>
        <v>-0.71099999999999997</v>
      </c>
      <c r="I58" s="3"/>
      <c r="J58" s="32">
        <f t="shared" ca="1" si="4"/>
        <v>-5788.4642999999996</v>
      </c>
      <c r="K58" s="26">
        <f ca="1">VLOOKUP($A58,[1]!LOOKUP_SARS_Unified2,K$1,FALSE)</f>
        <v>8141.3</v>
      </c>
      <c r="L58" s="83"/>
      <c r="M58" s="4"/>
      <c r="N58" s="12"/>
      <c r="O58" s="12"/>
      <c r="P58" s="12"/>
      <c r="T58" s="75" t="e">
        <f ca="1">'Comp-Bar'!M60</f>
        <v>#N/A</v>
      </c>
      <c r="U58" s="75">
        <f t="shared" si="5"/>
        <v>0</v>
      </c>
      <c r="V58" s="19">
        <f t="shared" ca="1" si="6"/>
        <v>-0.71099999999999997</v>
      </c>
      <c r="X58" s="40">
        <f ca="1">IF(MIN($F58,'Comp-Bar'!$H60)&lt;0.5,'Comp-Bar'!H60,"")</f>
        <v>-2.7528751246997496E-2</v>
      </c>
      <c r="Y58" s="40">
        <f ca="1">IF(MIN($F58,'Comp-Bar'!$H60)&lt;0.5,'Comp-Bar'!I60,"")</f>
        <v>776.96928161000005</v>
      </c>
      <c r="Z58" s="40">
        <f ca="1">IF(MIN($F58,'Comp-Bar'!$H60)&lt;0.5,'Comp-Bar'!J60,"")</f>
        <v>-0.71099999999999997</v>
      </c>
    </row>
    <row r="59" spans="1:26" s="1" customFormat="1" ht="15" customHeight="1" x14ac:dyDescent="0.25">
      <c r="A59" s="92" t="s">
        <v>34</v>
      </c>
      <c r="B59" s="66">
        <f ca="1">IFERROR(VLOOKUP($A59,[1]!LOOKUP_MDAPs,B$2,FALSE)/$G59,"")</f>
        <v>0.40862787354496372</v>
      </c>
      <c r="C59" s="66">
        <f ca="1">IFERROR(VLOOKUP($A59,[1]!LOOKUP_MDAPs,C$2,FALSE)/$G59,"")</f>
        <v>0</v>
      </c>
      <c r="D59" s="66">
        <f ca="1">IFERROR(VLOOKUP($A59,[1]!LOOKUP_MDAPs,D$2,FALSE)/$G59,"")</f>
        <v>1.4128536839496199E-2</v>
      </c>
      <c r="E59" s="66">
        <f ca="1">IFERROR(VLOOKUP($A59,[1]!LOOKUP_MDAPs,E$2,FALSE)/$G59,"")</f>
        <v>2.9047710094370797E-2</v>
      </c>
      <c r="F59" s="66">
        <f t="shared" ca="1" si="2"/>
        <v>0.54819587952116922</v>
      </c>
      <c r="G59" s="4">
        <f ca="1">IFERROR(VLOOKUP($A59,[1]!LOOKUP_MDAPs,G$2,FALSE),"")</f>
        <v>5446.6</v>
      </c>
      <c r="H59" s="3">
        <f ca="1">VLOOKUP($A59,[1]!LOOKUP_SARS_Unified2,H$2,FALSE)</f>
        <v>0.28000000000000003</v>
      </c>
      <c r="I59" s="3"/>
      <c r="J59" s="32">
        <f t="shared" ca="1" si="4"/>
        <v>729.87599999999998</v>
      </c>
      <c r="K59" s="26">
        <f ca="1">VLOOKUP($A59,[1]!LOOKUP_SARS_Unified2,K$1,FALSE)</f>
        <v>2606.6999999999998</v>
      </c>
      <c r="L59" s="83"/>
      <c r="M59" s="4"/>
      <c r="N59" s="12"/>
      <c r="O59" s="12"/>
      <c r="P59" s="12"/>
      <c r="T59" s="75" t="e">
        <f ca="1">'Comp-Bar'!M61</f>
        <v>#N/A</v>
      </c>
      <c r="U59" s="75">
        <f t="shared" si="5"/>
        <v>0</v>
      </c>
      <c r="V59" s="19">
        <f t="shared" ca="1" si="6"/>
        <v>0.28000000000000003</v>
      </c>
      <c r="X59" s="40" t="str">
        <f ca="1">IF(MIN($F59,'Comp-Bar'!$H61)&lt;0.5,'Comp-Bar'!H61,"")</f>
        <v/>
      </c>
      <c r="Y59" s="40" t="str">
        <f ca="1">IF(MIN($F59,'Comp-Bar'!$H61)&lt;0.5,'Comp-Bar'!I61,"")</f>
        <v/>
      </c>
      <c r="Z59" s="40" t="str">
        <f ca="1">IF(MIN($F59,'Comp-Bar'!$H61)&lt;0.5,'Comp-Bar'!J61,"")</f>
        <v/>
      </c>
    </row>
    <row r="60" spans="1:26" s="1" customFormat="1" ht="15" customHeight="1" x14ac:dyDescent="0.25">
      <c r="A60" s="92" t="s">
        <v>181</v>
      </c>
      <c r="B60" s="66">
        <f ca="1">IFERROR(VLOOKUP($A60,[1]!LOOKUP_MDAPs,B$2,FALSE)/$G60,"")</f>
        <v>0</v>
      </c>
      <c r="C60" s="66">
        <f ca="1">IFERROR(VLOOKUP($A60,[1]!LOOKUP_MDAPs,C$2,FALSE)/$G60,"")</f>
        <v>0</v>
      </c>
      <c r="D60" s="66">
        <f ca="1">IFERROR(VLOOKUP($A60,[1]!LOOKUP_MDAPs,D$2,FALSE)/$G60,"")</f>
        <v>0</v>
      </c>
      <c r="E60" s="66">
        <f ca="1">IFERROR(VLOOKUP($A60,[1]!LOOKUP_MDAPs,E$2,FALSE)/$G60,"")</f>
        <v>0</v>
      </c>
      <c r="F60" s="66">
        <f t="shared" ca="1" si="2"/>
        <v>1</v>
      </c>
      <c r="G60" s="4">
        <f ca="1">IFERROR(VLOOKUP($A60,[1]!LOOKUP_MDAPs,G$2,FALSE),"")</f>
        <v>1450</v>
      </c>
      <c r="H60" s="3">
        <f ca="1">VLOOKUP($A60,[1]!LOOKUP_SARS_Unified2,H$2,FALSE)</f>
        <v>-4.4000000000000004E-2</v>
      </c>
      <c r="I60" s="3"/>
      <c r="J60" s="32">
        <f t="shared" ca="1" si="4"/>
        <v>-171.26120000000003</v>
      </c>
      <c r="K60" s="26">
        <f ca="1">VLOOKUP($A60,[1]!LOOKUP_SARS_Unified2,K$1,FALSE)</f>
        <v>3892.3</v>
      </c>
      <c r="L60" s="83"/>
      <c r="M60" s="4"/>
      <c r="N60" s="12"/>
      <c r="O60" s="12"/>
      <c r="P60" s="12"/>
      <c r="T60" s="75" t="e">
        <f ca="1">'Comp-Bar'!M62</f>
        <v>#N/A</v>
      </c>
      <c r="U60" s="75">
        <f t="shared" si="5"/>
        <v>0</v>
      </c>
      <c r="V60" s="19">
        <f t="shared" ca="1" si="6"/>
        <v>-4.4000000000000004E-2</v>
      </c>
      <c r="X60" s="40" t="str">
        <f ca="1">IF(MIN($F60,'Comp-Bar'!$H62)&lt;0.5,'Comp-Bar'!H62,"")</f>
        <v/>
      </c>
      <c r="Y60" s="40" t="str">
        <f ca="1">IF(MIN($F60,'Comp-Bar'!$H62)&lt;0.5,'Comp-Bar'!I62,"")</f>
        <v/>
      </c>
      <c r="Z60" s="40" t="str">
        <f ca="1">IF(MIN($F60,'Comp-Bar'!$H62)&lt;0.5,'Comp-Bar'!J62,"")</f>
        <v/>
      </c>
    </row>
    <row r="61" spans="1:26" s="1" customFormat="1" ht="15" customHeight="1" x14ac:dyDescent="0.25">
      <c r="A61" s="92" t="s">
        <v>78</v>
      </c>
      <c r="B61" s="66">
        <f ca="1">IFERROR(VLOOKUP($A61,[1]!LOOKUP_MDAPs,B$2,FALSE)/$G61,"")</f>
        <v>1.621271004723741E-2</v>
      </c>
      <c r="C61" s="66">
        <f ca="1">IFERROR(VLOOKUP($A61,[1]!LOOKUP_MDAPs,C$2,FALSE)/$G61,"")</f>
        <v>0</v>
      </c>
      <c r="D61" s="66">
        <f ca="1">IFERROR(VLOOKUP($A61,[1]!LOOKUP_MDAPs,D$2,FALSE)/$G61,"")</f>
        <v>5.1312297648744762E-4</v>
      </c>
      <c r="E61" s="66">
        <f ca="1">IFERROR(VLOOKUP($A61,[1]!LOOKUP_MDAPs,E$2,FALSE)/$G61,"")</f>
        <v>6.249398850910249E-2</v>
      </c>
      <c r="F61" s="66">
        <f t="shared" ca="1" si="2"/>
        <v>0.92078017846717264</v>
      </c>
      <c r="G61" s="4">
        <f ca="1">IFERROR(VLOOKUP($A61,[1]!LOOKUP_MDAPs,G$2,FALSE),"")</f>
        <v>1884.1</v>
      </c>
      <c r="H61" s="3">
        <f ca="1">VLOOKUP($A61,[1]!LOOKUP_SARS_Unified2,H$2,FALSE)</f>
        <v>-0.223</v>
      </c>
      <c r="I61" s="3"/>
      <c r="J61" s="32">
        <f t="shared" ca="1" si="4"/>
        <v>-1594.673</v>
      </c>
      <c r="K61" s="26">
        <f ca="1">VLOOKUP($A61,[1]!LOOKUP_SARS_Unified2,K$1,FALSE)</f>
        <v>7151</v>
      </c>
      <c r="L61" s="83"/>
      <c r="M61" s="4"/>
      <c r="N61" s="12"/>
      <c r="O61" s="12"/>
      <c r="P61" s="12"/>
      <c r="T61" s="75" t="e">
        <f ca="1">'Comp-Bar'!M63</f>
        <v>#N/A</v>
      </c>
      <c r="U61" s="75">
        <f t="shared" si="5"/>
        <v>0</v>
      </c>
      <c r="V61" s="19">
        <f t="shared" ca="1" si="6"/>
        <v>-0.223</v>
      </c>
      <c r="X61" s="40" t="str">
        <f ca="1">IF(MIN($F61,'Comp-Bar'!$H63)&lt;0.5,'Comp-Bar'!H63,"")</f>
        <v/>
      </c>
      <c r="Y61" s="40" t="str">
        <f ca="1">IF(MIN($F61,'Comp-Bar'!$H63)&lt;0.5,'Comp-Bar'!I63,"")</f>
        <v/>
      </c>
      <c r="Z61" s="40" t="str">
        <f ca="1">IF(MIN($F61,'Comp-Bar'!$H63)&lt;0.5,'Comp-Bar'!J63,"")</f>
        <v/>
      </c>
    </row>
    <row r="62" spans="1:26" s="1" customFormat="1" ht="15" customHeight="1" x14ac:dyDescent="0.25">
      <c r="A62" s="92" t="s">
        <v>6</v>
      </c>
      <c r="B62" s="66">
        <f ca="1">IFERROR(VLOOKUP($A62,[1]!LOOKUP_MDAPs,B$2,FALSE)/$G62,"")</f>
        <v>0</v>
      </c>
      <c r="C62" s="66">
        <f ca="1">IFERROR(VLOOKUP($A62,[1]!LOOKUP_MDAPs,C$2,FALSE)/$G62,"")</f>
        <v>0</v>
      </c>
      <c r="D62" s="66">
        <f ca="1">IFERROR(VLOOKUP($A62,[1]!LOOKUP_MDAPs,D$2,FALSE)/$G62,"")</f>
        <v>0</v>
      </c>
      <c r="E62" s="66">
        <f ca="1">IFERROR(VLOOKUP($A62,[1]!LOOKUP_MDAPs,E$2,FALSE)/$G62,"")</f>
        <v>0</v>
      </c>
      <c r="F62" s="66">
        <f t="shared" ca="1" si="2"/>
        <v>1</v>
      </c>
      <c r="G62" s="4">
        <f ca="1">IFERROR(VLOOKUP($A62,[1]!LOOKUP_MDAPs,G$2,FALSE),"")</f>
        <v>35532.699999999997</v>
      </c>
      <c r="H62" s="3">
        <f ca="1">VLOOKUP($A62,[1]!LOOKUP_SARS_Unified2,H$2,FALSE)</f>
        <v>0.27399999999999997</v>
      </c>
      <c r="I62" s="3"/>
      <c r="J62" s="32">
        <f t="shared" ca="1" si="4"/>
        <v>6141.7099999999991</v>
      </c>
      <c r="K62" s="26">
        <f ca="1">VLOOKUP($A62,[1]!LOOKUP_SARS_Unified2,K$1,FALSE)</f>
        <v>22415</v>
      </c>
      <c r="L62" s="83"/>
      <c r="M62" s="4"/>
      <c r="N62" s="12"/>
      <c r="O62" s="12"/>
      <c r="P62" s="12"/>
      <c r="T62" s="75" t="e">
        <f ca="1">'Comp-Bar'!M64</f>
        <v>#N/A</v>
      </c>
      <c r="U62" s="75">
        <f t="shared" si="5"/>
        <v>0</v>
      </c>
      <c r="V62" s="19">
        <f t="shared" ca="1" si="6"/>
        <v>0.27399999999999997</v>
      </c>
      <c r="X62" s="40" t="str">
        <f ca="1">IF(MIN($F62,'Comp-Bar'!$H64)&lt;0.5,'Comp-Bar'!H64,"")</f>
        <v/>
      </c>
      <c r="Y62" s="40" t="str">
        <f ca="1">IF(MIN($F62,'Comp-Bar'!$H64)&lt;0.5,'Comp-Bar'!I64,"")</f>
        <v/>
      </c>
      <c r="Z62" s="40" t="str">
        <f ca="1">IF(MIN($F62,'Comp-Bar'!$H64)&lt;0.5,'Comp-Bar'!J64,"")</f>
        <v/>
      </c>
    </row>
    <row r="63" spans="1:26" s="1" customFormat="1" ht="15" customHeight="1" x14ac:dyDescent="0.25">
      <c r="A63" s="92" t="s">
        <v>182</v>
      </c>
      <c r="B63" s="66">
        <f ca="1">IFERROR(VLOOKUP($A63,[1]!LOOKUP_MDAPs,B$2,FALSE)/$G63,"")</f>
        <v>2.6109758362147413E-2</v>
      </c>
      <c r="C63" s="66">
        <f ca="1">IFERROR(VLOOKUP($A63,[1]!LOOKUP_MDAPs,C$2,FALSE)/$G63,"")</f>
        <v>0</v>
      </c>
      <c r="D63" s="66">
        <f ca="1">IFERROR(VLOOKUP($A63,[1]!LOOKUP_MDAPs,D$2,FALSE)/$G63,"")</f>
        <v>2.0025880764331209E-2</v>
      </c>
      <c r="E63" s="66">
        <f ca="1">IFERROR(VLOOKUP($A63,[1]!LOOKUP_MDAPs,E$2,FALSE)/$G63,"")</f>
        <v>8.5705255777979994E-2</v>
      </c>
      <c r="F63" s="66">
        <f t="shared" ca="1" si="2"/>
        <v>0.86815910509554139</v>
      </c>
      <c r="G63" s="4">
        <f ca="1">IFERROR(VLOOKUP($A63,[1]!LOOKUP_MDAPs,G$2,FALSE),"")</f>
        <v>549.5</v>
      </c>
      <c r="H63" s="3">
        <f ca="1">VLOOKUP($A63,[1]!LOOKUP_SARS_Unified2,H$2,FALSE)</f>
        <v>-3.6000000000000004E-2</v>
      </c>
      <c r="I63" s="3"/>
      <c r="J63" s="32">
        <f t="shared" ca="1" si="4"/>
        <v>-37.148400000000009</v>
      </c>
      <c r="K63" s="26">
        <f ca="1">VLOOKUP($A63,[1]!LOOKUP_SARS_Unified2,K$1,FALSE)</f>
        <v>1031.9000000000001</v>
      </c>
      <c r="L63" s="83"/>
      <c r="M63" s="4"/>
      <c r="N63" s="12"/>
      <c r="O63" s="12"/>
      <c r="P63" s="12"/>
      <c r="T63" s="75" t="e">
        <f ca="1">'Comp-Bar'!M65</f>
        <v>#N/A</v>
      </c>
      <c r="U63" s="75">
        <f t="shared" si="5"/>
        <v>0</v>
      </c>
      <c r="V63" s="19">
        <f t="shared" ca="1" si="6"/>
        <v>-3.6000000000000004E-2</v>
      </c>
      <c r="X63" s="40" t="str">
        <f ca="1">IF(MIN($F63,'Comp-Bar'!$H65)&lt;0.5,'Comp-Bar'!H65,"")</f>
        <v/>
      </c>
      <c r="Y63" s="40" t="str">
        <f ca="1">IF(MIN($F63,'Comp-Bar'!$H65)&lt;0.5,'Comp-Bar'!I65,"")</f>
        <v/>
      </c>
      <c r="Z63" s="40" t="str">
        <f ca="1">IF(MIN($F63,'Comp-Bar'!$H65)&lt;0.5,'Comp-Bar'!J65,"")</f>
        <v/>
      </c>
    </row>
    <row r="64" spans="1:26" s="1" customFormat="1" ht="15" customHeight="1" x14ac:dyDescent="0.25">
      <c r="A64" s="92" t="s">
        <v>21</v>
      </c>
      <c r="B64" s="66">
        <f ca="1">IFERROR(VLOOKUP($A64,[1]!LOOKUP_MDAPs,B$2,FALSE)/$G64,"")</f>
        <v>0.64327204094848278</v>
      </c>
      <c r="C64" s="66">
        <f ca="1">IFERROR(VLOOKUP($A64,[1]!LOOKUP_MDAPs,C$2,FALSE)/$G64,"")</f>
        <v>-1.8375345848672625E-6</v>
      </c>
      <c r="D64" s="66">
        <f ca="1">IFERROR(VLOOKUP($A64,[1]!LOOKUP_MDAPs,D$2,FALSE)/$G64,"")</f>
        <v>5.2288775569935744E-3</v>
      </c>
      <c r="E64" s="66">
        <f ca="1">IFERROR(VLOOKUP($A64,[1]!LOOKUP_MDAPs,E$2,FALSE)/$G64,"")</f>
        <v>2.7784298730935447E-2</v>
      </c>
      <c r="F64" s="66">
        <f t="shared" ca="1" si="2"/>
        <v>0.32371662029817305</v>
      </c>
      <c r="G64" s="4">
        <f ca="1">IFERROR(VLOOKUP($A64,[1]!LOOKUP_MDAPs,G$2,FALSE),"")</f>
        <v>4373.3</v>
      </c>
      <c r="H64" s="3">
        <f ca="1">VLOOKUP($A64,[1]!LOOKUP_SARS_Unified2,H$2,FALSE)</f>
        <v>9.4E-2</v>
      </c>
      <c r="I64" s="3"/>
      <c r="J64" s="32">
        <f t="shared" ca="1" si="4"/>
        <v>473.86340000000001</v>
      </c>
      <c r="K64" s="26">
        <f ca="1">VLOOKUP($A64,[1]!LOOKUP_SARS_Unified2,K$1,FALSE)</f>
        <v>5041.1000000000004</v>
      </c>
      <c r="L64" s="83"/>
      <c r="M64" s="4"/>
      <c r="N64" s="12"/>
      <c r="O64" s="12"/>
      <c r="P64" s="12"/>
      <c r="T64" s="75" t="e">
        <f ca="1">'Comp-Bar'!M66</f>
        <v>#N/A</v>
      </c>
      <c r="U64" s="75">
        <f t="shared" si="5"/>
        <v>0</v>
      </c>
      <c r="V64" s="19">
        <f t="shared" ca="1" si="6"/>
        <v>9.4E-2</v>
      </c>
      <c r="X64" s="40">
        <f ca="1">IF(MIN($F64,'Comp-Bar'!$H66)&lt;0.5,'Comp-Bar'!H66,"")</f>
        <v>0.3924704591932866</v>
      </c>
      <c r="Y64" s="40">
        <f ca="1">IF(MIN($F64,'Comp-Bar'!$H66)&lt;0.5,'Comp-Bar'!I66,"")</f>
        <v>4373.3</v>
      </c>
      <c r="Z64" s="40">
        <f ca="1">IF(MIN($F64,'Comp-Bar'!$H66)&lt;0.5,'Comp-Bar'!J66,"")</f>
        <v>9.4E-2</v>
      </c>
    </row>
    <row r="65" spans="1:26" s="1" customFormat="1" ht="15" customHeight="1" x14ac:dyDescent="0.25">
      <c r="A65" s="92" t="s">
        <v>220</v>
      </c>
      <c r="B65" s="66">
        <f ca="1">IFERROR(VLOOKUP($A65,[1]!LOOKUP_MDAPs,B$2,FALSE)/$G65,"")</f>
        <v>0.99999651656951771</v>
      </c>
      <c r="C65" s="66">
        <f ca="1">IFERROR(VLOOKUP($A65,[1]!LOOKUP_MDAPs,C$2,FALSE)/$G65,"")</f>
        <v>0</v>
      </c>
      <c r="D65" s="66">
        <f ca="1">IFERROR(VLOOKUP($A65,[1]!LOOKUP_MDAPs,D$2,FALSE)/$G65,"")</f>
        <v>0</v>
      </c>
      <c r="E65" s="66">
        <f ca="1">IFERROR(VLOOKUP($A65,[1]!LOOKUP_MDAPs,E$2,FALSE)/$G65,"")</f>
        <v>0.88750527159146331</v>
      </c>
      <c r="F65" s="66">
        <f t="shared" ca="1" si="2"/>
        <v>-0.88750178816098102</v>
      </c>
      <c r="G65" s="4">
        <f ca="1">IFERROR(VLOOKUP($A65,[1]!LOOKUP_MDAPs,G$2,FALSE),"")</f>
        <v>0.86121999999999999</v>
      </c>
      <c r="H65" s="3">
        <f ca="1">VLOOKUP($A65,[1]!LOOKUP_SARS_Unified2,H$2,FALSE)</f>
        <v>-0.29299999999999998</v>
      </c>
      <c r="I65" s="3"/>
      <c r="J65" s="32">
        <f t="shared" ca="1" si="4"/>
        <v>-385.79309999999998</v>
      </c>
      <c r="K65" s="26">
        <f ca="1">VLOOKUP($A65,[1]!LOOKUP_SARS_Unified2,K$1,FALSE)</f>
        <v>1316.7</v>
      </c>
      <c r="L65" s="83"/>
      <c r="M65" s="4"/>
      <c r="N65" s="12"/>
      <c r="O65" s="12"/>
      <c r="P65" s="12"/>
      <c r="T65" s="75" t="e">
        <f ca="1">'Comp-Bar'!M67</f>
        <v>#N/A</v>
      </c>
      <c r="U65" s="75">
        <f t="shared" si="5"/>
        <v>0</v>
      </c>
      <c r="V65" s="19">
        <f t="shared" ca="1" si="6"/>
        <v>-0.29299999999999998</v>
      </c>
      <c r="X65" s="40">
        <f ca="1">IF(MIN($F65,'Comp-Bar'!$H67)&lt;0.5,'Comp-Bar'!H67,"")</f>
        <v>-0.36499069924061223</v>
      </c>
      <c r="Y65" s="40">
        <f ca="1">IF(MIN($F65,'Comp-Bar'!$H67)&lt;0.5,'Comp-Bar'!I67,"")</f>
        <v>0.86121999999999999</v>
      </c>
      <c r="Z65" s="40">
        <f ca="1">IF(MIN($F65,'Comp-Bar'!$H67)&lt;0.5,'Comp-Bar'!J67,"")</f>
        <v>-0.29299999999999998</v>
      </c>
    </row>
    <row r="66" spans="1:26" s="1" customFormat="1" ht="15" customHeight="1" x14ac:dyDescent="0.25">
      <c r="A66" s="92" t="s">
        <v>33</v>
      </c>
      <c r="B66" s="66">
        <f ca="1">IFERROR(VLOOKUP($A66,[1]!LOOKUP_MDAPs,B$2,FALSE)/$G66,"")</f>
        <v>0.87760165696294823</v>
      </c>
      <c r="C66" s="66">
        <f ca="1">IFERROR(VLOOKUP($A66,[1]!LOOKUP_MDAPs,C$2,FALSE)/$G66,"")</f>
        <v>1.9122665339994845E-2</v>
      </c>
      <c r="D66" s="66">
        <f ca="1">IFERROR(VLOOKUP($A66,[1]!LOOKUP_MDAPs,D$2,FALSE)/$G66,"")</f>
        <v>6.6598675024122089E-2</v>
      </c>
      <c r="E66" s="66">
        <f ca="1">IFERROR(VLOOKUP($A66,[1]!LOOKUP_MDAPs,E$2,FALSE)/$G66,"")</f>
        <v>0.67892230480413351</v>
      </c>
      <c r="F66" s="66">
        <f t="shared" ca="1" si="2"/>
        <v>-0.64224530213119868</v>
      </c>
      <c r="G66" s="4">
        <f ca="1">IFERROR(VLOOKUP($A66,[1]!LOOKUP_MDAPs,G$2,FALSE),"")</f>
        <v>507.89541244999992</v>
      </c>
      <c r="H66" s="3">
        <f ca="1">VLOOKUP($A66,[1]!LOOKUP_SARS_Unified2,H$2,FALSE)</f>
        <v>-1.2E-2</v>
      </c>
      <c r="I66" s="3"/>
      <c r="J66" s="32">
        <f t="shared" ca="1" si="4"/>
        <v>-94.481999999999999</v>
      </c>
      <c r="K66" s="26">
        <f ca="1">VLOOKUP($A66,[1]!LOOKUP_SARS_Unified2,K$1,FALSE)</f>
        <v>7873.5</v>
      </c>
      <c r="L66" s="83"/>
      <c r="M66" s="4"/>
      <c r="N66" s="12"/>
      <c r="O66" s="12"/>
      <c r="P66" s="12"/>
      <c r="T66" s="75" t="e">
        <f ca="1">'Comp-Bar'!M68</f>
        <v>#N/A</v>
      </c>
      <c r="U66" s="75">
        <f t="shared" si="5"/>
        <v>0</v>
      </c>
      <c r="V66" s="19">
        <f t="shared" ca="1" si="6"/>
        <v>-1.2E-2</v>
      </c>
      <c r="X66" s="40">
        <f ca="1">IF(MIN($F66,'Comp-Bar'!$H68)&lt;0.5,'Comp-Bar'!H68,"")</f>
        <v>-0.33293638909693213</v>
      </c>
      <c r="Y66" s="40">
        <f ca="1">IF(MIN($F66,'Comp-Bar'!$H68)&lt;0.5,'Comp-Bar'!I68,"")</f>
        <v>507.89541244999992</v>
      </c>
      <c r="Z66" s="40">
        <f ca="1">IF(MIN($F66,'Comp-Bar'!$H68)&lt;0.5,'Comp-Bar'!J68,"")</f>
        <v>-1.2E-2</v>
      </c>
    </row>
    <row r="67" spans="1:26" s="1" customFormat="1" ht="15" customHeight="1" x14ac:dyDescent="0.25">
      <c r="A67" s="92" t="s">
        <v>68</v>
      </c>
      <c r="B67" s="66">
        <f ca="1">IFERROR(VLOOKUP($A67,[1]!LOOKUP_MDAPs,B$2,FALSE)/$G67,"")</f>
        <v>0.62275474279395959</v>
      </c>
      <c r="C67" s="66">
        <f ca="1">IFERROR(VLOOKUP($A67,[1]!LOOKUP_MDAPs,C$2,FALSE)/$G67,"")</f>
        <v>-3.6014405762304921E-7</v>
      </c>
      <c r="D67" s="66">
        <f ca="1">IFERROR(VLOOKUP($A67,[1]!LOOKUP_MDAPs,D$2,FALSE)/$G67,"")</f>
        <v>0.19965876600113727</v>
      </c>
      <c r="E67" s="66">
        <f ca="1">IFERROR(VLOOKUP($A67,[1]!LOOKUP_MDAPs,E$2,FALSE)/$G67,"")</f>
        <v>9.0792241991533452E-3</v>
      </c>
      <c r="F67" s="66">
        <f t="shared" ca="1" si="2"/>
        <v>0.16850762714980738</v>
      </c>
      <c r="G67" s="4">
        <f ca="1">IFERROR(VLOOKUP($A67,[1]!LOOKUP_MDAPs,G$2,FALSE),"")</f>
        <v>1582.7</v>
      </c>
      <c r="H67" s="3">
        <f ca="1">VLOOKUP($A67,[1]!LOOKUP_SARS_Unified2,H$2,FALSE)</f>
        <v>-0.252</v>
      </c>
      <c r="I67" s="3"/>
      <c r="J67" s="32">
        <f t="shared" ca="1" si="4"/>
        <v>-4816.4508000000005</v>
      </c>
      <c r="K67" s="26">
        <f ca="1">VLOOKUP($A67,[1]!LOOKUP_SARS_Unified2,K$1,FALSE)</f>
        <v>19112.900000000001</v>
      </c>
      <c r="L67" s="83"/>
      <c r="M67" s="4"/>
      <c r="N67" s="4"/>
      <c r="O67" s="74"/>
      <c r="P67" s="12"/>
      <c r="T67" s="75" t="e">
        <f ca="1">'Comp-Bar'!M69</f>
        <v>#N/A</v>
      </c>
      <c r="U67" s="75">
        <f t="shared" si="5"/>
        <v>0</v>
      </c>
      <c r="V67" s="19">
        <f t="shared" ca="1" si="6"/>
        <v>-0.252</v>
      </c>
      <c r="X67" s="40">
        <f ca="1">IF(MIN($F67,'Comp-Bar'!$H69)&lt;0.5,'Comp-Bar'!H69,"")</f>
        <v>0.3401642798192962</v>
      </c>
      <c r="Y67" s="40">
        <f ca="1">IF(MIN($F67,'Comp-Bar'!$H69)&lt;0.5,'Comp-Bar'!I69,"")</f>
        <v>1582.7</v>
      </c>
      <c r="Z67" s="40">
        <f ca="1">IF(MIN($F67,'Comp-Bar'!$H69)&lt;0.5,'Comp-Bar'!J69,"")</f>
        <v>-0.252</v>
      </c>
    </row>
    <row r="68" spans="1:26" s="1" customFormat="1" ht="15" customHeight="1" x14ac:dyDescent="0.25">
      <c r="A68" s="92" t="s">
        <v>76</v>
      </c>
      <c r="B68" s="66">
        <f ca="1">IFERROR(VLOOKUP($A68,[1]!LOOKUP_MDAPs,B$2,FALSE)/$G68,"")</f>
        <v>0</v>
      </c>
      <c r="C68" s="66">
        <f ca="1">IFERROR(VLOOKUP($A68,[1]!LOOKUP_MDAPs,C$2,FALSE)/$G68,"")</f>
        <v>0</v>
      </c>
      <c r="D68" s="66">
        <f ca="1">IFERROR(VLOOKUP($A68,[1]!LOOKUP_MDAPs,D$2,FALSE)/$G68,"")</f>
        <v>0</v>
      </c>
      <c r="E68" s="66">
        <f ca="1">IFERROR(VLOOKUP($A68,[1]!LOOKUP_MDAPs,E$2,FALSE)/$G68,"")</f>
        <v>0</v>
      </c>
      <c r="F68" s="66">
        <f t="shared" ca="1" si="2"/>
        <v>1</v>
      </c>
      <c r="G68" s="4">
        <f ca="1">IFERROR(VLOOKUP($A68,[1]!LOOKUP_MDAPs,G$2,FALSE),"")</f>
        <v>951</v>
      </c>
      <c r="H68" s="3">
        <f ca="1">VLOOKUP($A68,[1]!LOOKUP_SARS_Unified2,H$2,FALSE)</f>
        <v>-0.25800000000000001</v>
      </c>
      <c r="I68" s="3"/>
      <c r="J68" s="32">
        <f t="shared" ca="1" si="4"/>
        <v>-2764.9859999999999</v>
      </c>
      <c r="K68" s="26">
        <f ca="1">VLOOKUP($A68,[1]!LOOKUP_SARS_Unified2,K$1,FALSE)</f>
        <v>10717</v>
      </c>
      <c r="L68" s="83"/>
      <c r="M68" s="4"/>
      <c r="N68" s="4"/>
      <c r="O68" s="74"/>
      <c r="P68" s="12"/>
      <c r="T68" s="75" t="e">
        <f ca="1">'Comp-Bar'!M70</f>
        <v>#N/A</v>
      </c>
      <c r="U68" s="75">
        <f t="shared" si="5"/>
        <v>0</v>
      </c>
      <c r="V68" s="19">
        <f t="shared" ca="1" si="6"/>
        <v>-0.25800000000000001</v>
      </c>
      <c r="X68" s="40" t="str">
        <f ca="1">IF(MIN($F68,'Comp-Bar'!$H70)&lt;0.5,'Comp-Bar'!H70,"")</f>
        <v/>
      </c>
      <c r="Y68" s="40" t="str">
        <f ca="1">IF(MIN($F68,'Comp-Bar'!$H70)&lt;0.5,'Comp-Bar'!I70,"")</f>
        <v/>
      </c>
      <c r="Z68" s="40" t="str">
        <f ca="1">IF(MIN($F68,'Comp-Bar'!$H70)&lt;0.5,'Comp-Bar'!J70,"")</f>
        <v/>
      </c>
    </row>
    <row r="69" spans="1:26" s="1" customFormat="1" ht="15" customHeight="1" x14ac:dyDescent="0.25">
      <c r="A69" s="92" t="s">
        <v>70</v>
      </c>
      <c r="B69" s="66">
        <f ca="1">IFERROR(VLOOKUP($A69,[1]!LOOKUP_MDAPs,B$2,FALSE)/$G69,"")</f>
        <v>5.0457326119725705E-2</v>
      </c>
      <c r="C69" s="66">
        <f ca="1">IFERROR(VLOOKUP($A69,[1]!LOOKUP_MDAPs,C$2,FALSE)/$G69,"")</f>
        <v>4.5287384320751222E-3</v>
      </c>
      <c r="D69" s="66">
        <f ca="1">IFERROR(VLOOKUP($A69,[1]!LOOKUP_MDAPs,D$2,FALSE)/$G69,"")</f>
        <v>5.4808707981713722E-2</v>
      </c>
      <c r="E69" s="66">
        <f ca="1">IFERROR(VLOOKUP($A69,[1]!LOOKUP_MDAPs,E$2,FALSE)/$G69,"")</f>
        <v>0.27944418425897322</v>
      </c>
      <c r="F69" s="66">
        <f t="shared" ca="1" si="2"/>
        <v>0.61076104320751223</v>
      </c>
      <c r="G69" s="4">
        <f ca="1">IFERROR(VLOOKUP($A69,[1]!LOOKUP_MDAPs,G$2,FALSE),"")</f>
        <v>1618.7</v>
      </c>
      <c r="H69" s="3">
        <f ca="1">VLOOKUP($A69,[1]!LOOKUP_SARS_Unified2,H$2,FALSE)</f>
        <v>1.179</v>
      </c>
      <c r="I69" s="3"/>
      <c r="J69" s="32">
        <f t="shared" ref="J69:J89" ca="1" si="7">H69*K69</f>
        <v>1078.0776000000001</v>
      </c>
      <c r="K69" s="26">
        <f ca="1">VLOOKUP($A69,[1]!LOOKUP_SARS_Unified2,K$1,FALSE)</f>
        <v>914.4</v>
      </c>
      <c r="L69" s="83"/>
      <c r="M69" s="4"/>
      <c r="N69" s="4"/>
      <c r="O69" s="74"/>
      <c r="P69" s="12"/>
      <c r="T69" s="75" t="e">
        <f ca="1">'Comp-Bar'!M71</f>
        <v>#N/A</v>
      </c>
      <c r="U69" s="75">
        <f t="shared" ref="U69:U89" si="8">L69</f>
        <v>0</v>
      </c>
      <c r="V69" s="19">
        <f t="shared" ref="V69:V89" ca="1" si="9">H69</f>
        <v>1.179</v>
      </c>
      <c r="X69" s="40" t="str">
        <f ca="1">IF(MIN($F69,'Comp-Bar'!$H71)&lt;0.5,'Comp-Bar'!H71,"")</f>
        <v/>
      </c>
      <c r="Y69" s="40" t="str">
        <f ca="1">IF(MIN($F69,'Comp-Bar'!$H71)&lt;0.5,'Comp-Bar'!I71,"")</f>
        <v/>
      </c>
      <c r="Z69" s="40" t="str">
        <f ca="1">IF(MIN($F69,'Comp-Bar'!$H71)&lt;0.5,'Comp-Bar'!J71,"")</f>
        <v/>
      </c>
    </row>
    <row r="70" spans="1:26" s="1" customFormat="1" ht="15" customHeight="1" x14ac:dyDescent="0.25">
      <c r="A70" s="92" t="s">
        <v>45</v>
      </c>
      <c r="B70" s="66">
        <f ca="1">IFERROR(VLOOKUP($A70,[1]!LOOKUP_MDAPs,B$2,FALSE)/$G70,"")</f>
        <v>0</v>
      </c>
      <c r="C70" s="66">
        <f ca="1">IFERROR(VLOOKUP($A70,[1]!LOOKUP_MDAPs,C$2,FALSE)/$G70,"")</f>
        <v>0</v>
      </c>
      <c r="D70" s="66">
        <f ca="1">IFERROR(VLOOKUP($A70,[1]!LOOKUP_MDAPs,D$2,FALSE)/$G70,"")</f>
        <v>3.5707912250431355E-4</v>
      </c>
      <c r="E70" s="66">
        <f ca="1">IFERROR(VLOOKUP($A70,[1]!LOOKUP_MDAPs,E$2,FALSE)/$G70,"")</f>
        <v>0</v>
      </c>
      <c r="F70" s="66">
        <f t="shared" ref="F70:F89" ca="1" si="10">1-SUM(B70:E70)</f>
        <v>0.99964292087749573</v>
      </c>
      <c r="G70" s="4">
        <f ca="1">IFERROR(VLOOKUP($A70,[1]!LOOKUP_MDAPs,G$2,FALSE),"")</f>
        <v>405.7</v>
      </c>
      <c r="H70" s="3">
        <f ca="1">VLOOKUP($A70,[1]!LOOKUP_SARS_Unified2,H$2,FALSE)</f>
        <v>0.129</v>
      </c>
      <c r="I70" s="3"/>
      <c r="J70" s="32">
        <f t="shared" ca="1" si="7"/>
        <v>47.213999999999999</v>
      </c>
      <c r="K70" s="26">
        <f ca="1">VLOOKUP($A70,[1]!LOOKUP_SARS_Unified2,K$1,FALSE)</f>
        <v>366</v>
      </c>
      <c r="L70" s="83"/>
      <c r="M70" s="4"/>
      <c r="N70" s="4"/>
      <c r="O70" s="74"/>
      <c r="P70" s="12"/>
      <c r="T70" s="75" t="e">
        <f ca="1">'Comp-Bar'!M72</f>
        <v>#N/A</v>
      </c>
      <c r="U70" s="75">
        <f t="shared" si="8"/>
        <v>0</v>
      </c>
      <c r="V70" s="19">
        <f t="shared" ca="1" si="9"/>
        <v>0.129</v>
      </c>
      <c r="X70" s="40" t="str">
        <f ca="1">IF(MIN($F70,'Comp-Bar'!$H72)&lt;0.5,'Comp-Bar'!H72,"")</f>
        <v/>
      </c>
      <c r="Y70" s="40" t="str">
        <f ca="1">IF(MIN($F70,'Comp-Bar'!$H72)&lt;0.5,'Comp-Bar'!I72,"")</f>
        <v/>
      </c>
      <c r="Z70" s="40" t="str">
        <f ca="1">IF(MIN($F70,'Comp-Bar'!$H72)&lt;0.5,'Comp-Bar'!J72,"")</f>
        <v/>
      </c>
    </row>
    <row r="71" spans="1:26" s="1" customFormat="1" ht="15" customHeight="1" x14ac:dyDescent="0.25">
      <c r="A71" s="92" t="s">
        <v>221</v>
      </c>
      <c r="B71" s="66">
        <f ca="1">IFERROR(VLOOKUP($A71,[1]!LOOKUP_MDAPs,B$2,FALSE)/$G71,"")</f>
        <v>0</v>
      </c>
      <c r="C71" s="66">
        <f ca="1">IFERROR(VLOOKUP($A71,[1]!LOOKUP_MDAPs,C$2,FALSE)/$G71,"")</f>
        <v>0</v>
      </c>
      <c r="D71" s="66">
        <f ca="1">IFERROR(VLOOKUP($A71,[1]!LOOKUP_MDAPs,D$2,FALSE)/$G71,"")</f>
        <v>0</v>
      </c>
      <c r="E71" s="66">
        <f ca="1">IFERROR(VLOOKUP($A71,[1]!LOOKUP_MDAPs,E$2,FALSE)/$G71,"")</f>
        <v>0</v>
      </c>
      <c r="F71" s="66">
        <f t="shared" ca="1" si="10"/>
        <v>1</v>
      </c>
      <c r="G71" s="4">
        <f ca="1">IFERROR(VLOOKUP($A71,[1]!LOOKUP_MDAPs,G$2,FALSE),"")</f>
        <v>671.4</v>
      </c>
      <c r="H71" s="3">
        <f ca="1">VLOOKUP($A71,[1]!LOOKUP_SARS_Unified2,H$2,FALSE)</f>
        <v>-0.92900000000000005</v>
      </c>
      <c r="I71" s="3"/>
      <c r="J71" s="32">
        <f t="shared" ca="1" si="7"/>
        <v>-2642.4476000000004</v>
      </c>
      <c r="K71" s="26">
        <f ca="1">VLOOKUP($A71,[1]!LOOKUP_SARS_Unified2,K$1,FALSE)</f>
        <v>2844.4</v>
      </c>
      <c r="L71" s="83"/>
      <c r="M71" s="4"/>
      <c r="N71" s="4"/>
      <c r="O71" s="74"/>
      <c r="P71" s="12"/>
      <c r="T71" s="75" t="e">
        <f ca="1">'Comp-Bar'!M73</f>
        <v>#N/A</v>
      </c>
      <c r="U71" s="75">
        <f t="shared" si="8"/>
        <v>0</v>
      </c>
      <c r="V71" s="19">
        <f t="shared" ca="1" si="9"/>
        <v>-0.92900000000000005</v>
      </c>
      <c r="X71" s="40" t="str">
        <f ca="1">IF(MIN($F71,'Comp-Bar'!$H73)&lt;0.5,'Comp-Bar'!H73,"")</f>
        <v/>
      </c>
      <c r="Y71" s="40" t="str">
        <f ca="1">IF(MIN($F71,'Comp-Bar'!$H73)&lt;0.5,'Comp-Bar'!I73,"")</f>
        <v/>
      </c>
      <c r="Z71" s="40" t="str">
        <f ca="1">IF(MIN($F71,'Comp-Bar'!$H73)&lt;0.5,'Comp-Bar'!J73,"")</f>
        <v/>
      </c>
    </row>
    <row r="72" spans="1:26" s="1" customFormat="1" ht="15" customHeight="1" x14ac:dyDescent="0.25">
      <c r="A72" s="92" t="s">
        <v>62</v>
      </c>
      <c r="B72" s="66">
        <f ca="1">IFERROR(VLOOKUP($A72,[1]!LOOKUP_MDAPs,B$2,FALSE)/$G72,"")</f>
        <v>3.9191730605926574E-3</v>
      </c>
      <c r="C72" s="66">
        <f ca="1">IFERROR(VLOOKUP($A72,[1]!LOOKUP_MDAPs,C$2,FALSE)/$G72,"")</f>
        <v>0</v>
      </c>
      <c r="D72" s="66">
        <f ca="1">IFERROR(VLOOKUP($A72,[1]!LOOKUP_MDAPs,D$2,FALSE)/$G72,"")</f>
        <v>0</v>
      </c>
      <c r="E72" s="66">
        <f ca="1">IFERROR(VLOOKUP($A72,[1]!LOOKUP_MDAPs,E$2,FALSE)/$G72,"")</f>
        <v>7.6070820654577626E-2</v>
      </c>
      <c r="F72" s="66">
        <f t="shared" ca="1" si="10"/>
        <v>0.92001000628482976</v>
      </c>
      <c r="G72" s="4">
        <f ca="1">IFERROR(VLOOKUP($A72,[1]!LOOKUP_MDAPs,G$2,FALSE),"")</f>
        <v>4522</v>
      </c>
      <c r="H72" s="3">
        <f ca="1">VLOOKUP($A72,[1]!LOOKUP_SARS_Unified2,H$2,FALSE)</f>
        <v>3.9E-2</v>
      </c>
      <c r="I72" s="3"/>
      <c r="J72" s="32">
        <f t="shared" ca="1" si="7"/>
        <v>120.6465</v>
      </c>
      <c r="K72" s="26">
        <f ca="1">VLOOKUP($A72,[1]!LOOKUP_SARS_Unified2,K$1,FALSE)</f>
        <v>3093.5</v>
      </c>
      <c r="L72" s="83"/>
      <c r="M72" s="4"/>
      <c r="N72" s="4"/>
      <c r="O72" s="74"/>
      <c r="P72" s="12"/>
      <c r="T72" s="75" t="e">
        <f ca="1">'Comp-Bar'!M74</f>
        <v>#N/A</v>
      </c>
      <c r="U72" s="75">
        <f t="shared" si="8"/>
        <v>0</v>
      </c>
      <c r="V72" s="19">
        <f t="shared" ca="1" si="9"/>
        <v>3.9E-2</v>
      </c>
      <c r="X72" s="40" t="str">
        <f ca="1">IF(MIN($F72,'Comp-Bar'!$H74)&lt;0.5,'Comp-Bar'!H74,"")</f>
        <v/>
      </c>
      <c r="Y72" s="40" t="str">
        <f ca="1">IF(MIN($F72,'Comp-Bar'!$H74)&lt;0.5,'Comp-Bar'!I74,"")</f>
        <v/>
      </c>
      <c r="Z72" s="40" t="str">
        <f ca="1">IF(MIN($F72,'Comp-Bar'!$H74)&lt;0.5,'Comp-Bar'!J74,"")</f>
        <v/>
      </c>
    </row>
    <row r="73" spans="1:26" s="1" customFormat="1" ht="15" customHeight="1" x14ac:dyDescent="0.25">
      <c r="A73" s="92" t="s">
        <v>245</v>
      </c>
      <c r="B73" s="66">
        <f ca="1">IFERROR(VLOOKUP($A73,[1]!LOOKUP_MDAPs,B$2,FALSE)/$G73,"")</f>
        <v>3.9638508885999138E-4</v>
      </c>
      <c r="C73" s="66">
        <f ca="1">IFERROR(VLOOKUP($A73,[1]!LOOKUP_MDAPs,C$2,FALSE)/$G73,"")</f>
        <v>0</v>
      </c>
      <c r="D73" s="66">
        <f ca="1">IFERROR(VLOOKUP($A73,[1]!LOOKUP_MDAPs,D$2,FALSE)/$G73,"")</f>
        <v>5.6226480809740001E-4</v>
      </c>
      <c r="E73" s="66">
        <f ca="1">IFERROR(VLOOKUP($A73,[1]!LOOKUP_MDAPs,E$2,FALSE)/$G73,"")</f>
        <v>5.3654126647350925E-4</v>
      </c>
      <c r="F73" s="66">
        <f t="shared" ca="1" si="10"/>
        <v>0.99850480883656911</v>
      </c>
      <c r="G73" s="4">
        <f ca="1">IFERROR(VLOOKUP($A73,[1]!LOOKUP_MDAPs,G$2,FALSE),"")</f>
        <v>13149.9</v>
      </c>
      <c r="H73" s="3">
        <f ca="1">VLOOKUP($A73,[1]!LOOKUP_SARS_Unified2,H$2,FALSE)</f>
        <v>69.7</v>
      </c>
      <c r="I73" s="3"/>
      <c r="J73" s="32">
        <f t="shared" ca="1" si="7"/>
        <v>489837.66000000003</v>
      </c>
      <c r="K73" s="26">
        <f ca="1">VLOOKUP($A73,[1]!LOOKUP_SARS_Unified2,K$1,FALSE)</f>
        <v>7027.8</v>
      </c>
      <c r="L73" s="83"/>
      <c r="M73" s="4"/>
      <c r="N73" s="4"/>
      <c r="O73" s="74"/>
      <c r="P73" s="12"/>
      <c r="T73" s="75" t="str">
        <f ca="1">'Comp-Bar'!M75</f>
        <v/>
      </c>
      <c r="U73" s="75">
        <f t="shared" si="8"/>
        <v>0</v>
      </c>
      <c r="V73" s="19">
        <f t="shared" ca="1" si="9"/>
        <v>69.7</v>
      </c>
      <c r="X73" s="40" t="str">
        <f ca="1">IF(MIN($F73,'Comp-Bar'!$H75)&lt;0.5,'Comp-Bar'!H75,"")</f>
        <v/>
      </c>
      <c r="Y73" s="40" t="str">
        <f ca="1">IF(MIN($F73,'Comp-Bar'!$H75)&lt;0.5,'Comp-Bar'!I75,"")</f>
        <v/>
      </c>
      <c r="Z73" s="40" t="str">
        <f ca="1">IF(MIN($F73,'Comp-Bar'!$H75)&lt;0.5,'Comp-Bar'!J75,"")</f>
        <v/>
      </c>
    </row>
    <row r="74" spans="1:26" s="1" customFormat="1" ht="15" customHeight="1" x14ac:dyDescent="0.25">
      <c r="A74" s="92" t="s">
        <v>37</v>
      </c>
      <c r="B74" s="66">
        <f ca="1">IFERROR(VLOOKUP($A74,[1]!LOOKUP_MDAPs,B$2,FALSE)/$G74,"")</f>
        <v>0.15202421034161154</v>
      </c>
      <c r="C74" s="66">
        <f ca="1">IFERROR(VLOOKUP($A74,[1]!LOOKUP_MDAPs,C$2,FALSE)/$G74,"")</f>
        <v>0</v>
      </c>
      <c r="D74" s="66">
        <f ca="1">IFERROR(VLOOKUP($A74,[1]!LOOKUP_MDAPs,D$2,FALSE)/$G74,"")</f>
        <v>6.8431677620911218E-3</v>
      </c>
      <c r="E74" s="66">
        <f ca="1">IFERROR(VLOOKUP($A74,[1]!LOOKUP_MDAPs,E$2,FALSE)/$G74,"")</f>
        <v>2.3943341487753435E-2</v>
      </c>
      <c r="F74" s="66">
        <f t="shared" ca="1" si="10"/>
        <v>0.81718928040854388</v>
      </c>
      <c r="G74" s="4">
        <f ca="1">IFERROR(VLOOKUP($A74,[1]!LOOKUP_MDAPs,G$2,FALSE),"")</f>
        <v>16404.599999999999</v>
      </c>
      <c r="H74" s="3">
        <f ca="1">VLOOKUP($A74,[1]!LOOKUP_SARS_Unified2,H$2,FALSE)</f>
        <v>1.0270000000000001</v>
      </c>
      <c r="I74" s="3"/>
      <c r="J74" s="32">
        <f t="shared" ca="1" si="7"/>
        <v>11052.368600000002</v>
      </c>
      <c r="K74" s="26">
        <f ca="1">VLOOKUP($A74,[1]!LOOKUP_SARS_Unified2,K$1,FALSE)</f>
        <v>10761.8</v>
      </c>
      <c r="L74" s="83"/>
      <c r="M74" s="4"/>
      <c r="N74" s="12"/>
      <c r="O74" s="12"/>
      <c r="P74" s="12"/>
      <c r="T74" s="75" t="e">
        <f ca="1">'Comp-Bar'!M76</f>
        <v>#N/A</v>
      </c>
      <c r="U74" s="75">
        <f t="shared" si="8"/>
        <v>0</v>
      </c>
      <c r="V74" s="19">
        <f t="shared" ca="1" si="9"/>
        <v>1.0270000000000001</v>
      </c>
      <c r="X74" s="40" t="str">
        <f ca="1">IF(MIN($F74,'Comp-Bar'!$H76)&lt;0.5,'Comp-Bar'!H76,"")</f>
        <v/>
      </c>
      <c r="Y74" s="40" t="str">
        <f ca="1">IF(MIN($F74,'Comp-Bar'!$H76)&lt;0.5,'Comp-Bar'!I76,"")</f>
        <v/>
      </c>
      <c r="Z74" s="40" t="str">
        <f ca="1">IF(MIN($F74,'Comp-Bar'!$H76)&lt;0.5,'Comp-Bar'!J76,"")</f>
        <v/>
      </c>
    </row>
    <row r="75" spans="1:26" s="1" customFormat="1" ht="15" customHeight="1" x14ac:dyDescent="0.25">
      <c r="A75" s="92" t="s">
        <v>58</v>
      </c>
      <c r="B75" s="66">
        <f ca="1">IFERROR(VLOOKUP($A75,[1]!LOOKUP_MDAPs,B$2,FALSE)/$G75,"")</f>
        <v>0.79489257568594007</v>
      </c>
      <c r="C75" s="66">
        <f ca="1">IFERROR(VLOOKUP($A75,[1]!LOOKUP_MDAPs,C$2,FALSE)/$G75,"")</f>
        <v>0</v>
      </c>
      <c r="D75" s="66">
        <f ca="1">IFERROR(VLOOKUP($A75,[1]!LOOKUP_MDAPs,D$2,FALSE)/$G75,"")</f>
        <v>0</v>
      </c>
      <c r="E75" s="66">
        <f ca="1">IFERROR(VLOOKUP($A75,[1]!LOOKUP_MDAPs,E$2,FALSE)/$G75,"")</f>
        <v>0</v>
      </c>
      <c r="F75" s="66">
        <f t="shared" ca="1" si="10"/>
        <v>0.20510742431405993</v>
      </c>
      <c r="G75" s="4">
        <f ca="1">IFERROR(VLOOKUP($A75,[1]!LOOKUP_MDAPs,G$2,FALSE),"")</f>
        <v>1290.2</v>
      </c>
      <c r="H75" s="3">
        <f ca="1">VLOOKUP($A75,[1]!LOOKUP_SARS_Unified2,H$2,FALSE)</f>
        <v>-9.0000000000000011E-3</v>
      </c>
      <c r="I75" s="3"/>
      <c r="J75" s="32">
        <f t="shared" ca="1" si="7"/>
        <v>-16.947000000000003</v>
      </c>
      <c r="K75" s="26">
        <f ca="1">VLOOKUP($A75,[1]!LOOKUP_SARS_Unified2,K$1,FALSE)</f>
        <v>1883</v>
      </c>
      <c r="L75" s="83"/>
      <c r="M75" s="4"/>
      <c r="N75" s="12"/>
      <c r="O75" s="12"/>
      <c r="P75" s="12"/>
      <c r="T75" s="75" t="e">
        <f ca="1">'Comp-Bar'!M77</f>
        <v>#N/A</v>
      </c>
      <c r="U75" s="75">
        <f t="shared" si="8"/>
        <v>0</v>
      </c>
      <c r="V75" s="19">
        <f t="shared" ca="1" si="9"/>
        <v>-9.0000000000000011E-3</v>
      </c>
      <c r="X75" s="40">
        <f ca="1">IF(MIN($F75,'Comp-Bar'!$H77)&lt;0.5,'Comp-Bar'!H77,"")</f>
        <v>0.5259260159510154</v>
      </c>
      <c r="Y75" s="40">
        <f ca="1">IF(MIN($F75,'Comp-Bar'!$H77)&lt;0.5,'Comp-Bar'!I77,"")</f>
        <v>1290.2</v>
      </c>
      <c r="Z75" s="40">
        <f ca="1">IF(MIN($F75,'Comp-Bar'!$H77)&lt;0.5,'Comp-Bar'!J77,"")</f>
        <v>-9.0000000000000011E-3</v>
      </c>
    </row>
    <row r="76" spans="1:26" s="1" customFormat="1" ht="15" customHeight="1" x14ac:dyDescent="0.25">
      <c r="A76" s="92" t="s">
        <v>41</v>
      </c>
      <c r="B76" s="66">
        <f ca="1">IFERROR(VLOOKUP($A76,[1]!LOOKUP_MDAPs,B$2,FALSE)/$G76,"")</f>
        <v>0.28277345396819936</v>
      </c>
      <c r="C76" s="66">
        <f ca="1">IFERROR(VLOOKUP($A76,[1]!LOOKUP_MDAPs,C$2,FALSE)/$G76,"")</f>
        <v>3.1506076968050354E-5</v>
      </c>
      <c r="D76" s="66">
        <f ca="1">IFERROR(VLOOKUP($A76,[1]!LOOKUP_MDAPs,D$2,FALSE)/$G76,"")</f>
        <v>1.650123537733145E-2</v>
      </c>
      <c r="E76" s="66">
        <f ca="1">IFERROR(VLOOKUP($A76,[1]!LOOKUP_MDAPs,E$2,FALSE)/$G76,"")</f>
        <v>5.5594791147642472E-2</v>
      </c>
      <c r="F76" s="66">
        <f t="shared" ca="1" si="10"/>
        <v>0.64509901342985865</v>
      </c>
      <c r="G76" s="4">
        <f ca="1">IFERROR(VLOOKUP($A76,[1]!LOOKUP_MDAPs,G$2,FALSE),"")</f>
        <v>8723.1</v>
      </c>
      <c r="H76" s="3">
        <f ca="1">VLOOKUP($A76,[1]!LOOKUP_SARS_Unified2,H$2,FALSE)</f>
        <v>0.14000000000000001</v>
      </c>
      <c r="I76" s="3"/>
      <c r="J76" s="32">
        <f t="shared" ca="1" si="7"/>
        <v>1599.4580000000003</v>
      </c>
      <c r="K76" s="26">
        <f ca="1">VLOOKUP($A76,[1]!LOOKUP_SARS_Unified2,K$1,FALSE)</f>
        <v>11424.7</v>
      </c>
      <c r="L76" s="83"/>
      <c r="M76" s="4"/>
      <c r="N76" s="12"/>
      <c r="O76" s="12"/>
      <c r="P76" s="12"/>
      <c r="T76" s="75" t="e">
        <f ca="1">'Comp-Bar'!M78</f>
        <v>#N/A</v>
      </c>
      <c r="U76" s="75">
        <f t="shared" si="8"/>
        <v>0</v>
      </c>
      <c r="V76" s="19">
        <f t="shared" ca="1" si="9"/>
        <v>0.14000000000000001</v>
      </c>
      <c r="X76" s="40" t="str">
        <f ca="1">IF(MIN($F76,'Comp-Bar'!$H78)&lt;0.5,'Comp-Bar'!H78,"")</f>
        <v/>
      </c>
      <c r="Y76" s="40" t="str">
        <f ca="1">IF(MIN($F76,'Comp-Bar'!$H78)&lt;0.5,'Comp-Bar'!I78,"")</f>
        <v/>
      </c>
      <c r="Z76" s="40" t="str">
        <f ca="1">IF(MIN($F76,'Comp-Bar'!$H78)&lt;0.5,'Comp-Bar'!J78,"")</f>
        <v/>
      </c>
    </row>
    <row r="77" spans="1:26" s="1" customFormat="1" ht="15" customHeight="1" x14ac:dyDescent="0.25">
      <c r="A77" s="92" t="s">
        <v>44</v>
      </c>
      <c r="B77" s="66">
        <f ca="1">IFERROR(VLOOKUP($A77,[1]!LOOKUP_MDAPs,B$2,FALSE)/$G77,"")</f>
        <v>0.1572108104282206</v>
      </c>
      <c r="C77" s="66">
        <f ca="1">IFERROR(VLOOKUP($A77,[1]!LOOKUP_MDAPs,C$2,FALSE)/$G77,"")</f>
        <v>6.6464159903719486E-3</v>
      </c>
      <c r="D77" s="66">
        <f ca="1">IFERROR(VLOOKUP($A77,[1]!LOOKUP_MDAPs,D$2,FALSE)/$G77,"")</f>
        <v>2.2021926877226084E-2</v>
      </c>
      <c r="E77" s="66">
        <f ca="1">IFERROR(VLOOKUP($A77,[1]!LOOKUP_MDAPs,E$2,FALSE)/$G77,"")</f>
        <v>5.5154637009449149E-2</v>
      </c>
      <c r="F77" s="66">
        <f t="shared" ca="1" si="10"/>
        <v>0.75896620969473227</v>
      </c>
      <c r="G77" s="4">
        <f ca="1">IFERROR(VLOOKUP($A77,[1]!LOOKUP_MDAPs,G$2,FALSE),"")</f>
        <v>6148.7</v>
      </c>
      <c r="H77" s="3">
        <f ca="1">VLOOKUP($A77,[1]!LOOKUP_SARS_Unified2,H$2,FALSE)</f>
        <v>0.161</v>
      </c>
      <c r="I77" s="3"/>
      <c r="J77" s="32">
        <f t="shared" ca="1" si="7"/>
        <v>981.10180000000003</v>
      </c>
      <c r="K77" s="26">
        <f ca="1">VLOOKUP($A77,[1]!LOOKUP_SARS_Unified2,K$1,FALSE)</f>
        <v>6093.8</v>
      </c>
      <c r="L77" s="83"/>
      <c r="M77" s="4"/>
      <c r="N77" s="12"/>
      <c r="O77" s="12"/>
      <c r="P77" s="12"/>
      <c r="T77" s="75" t="e">
        <f ca="1">'Comp-Bar'!M79</f>
        <v>#N/A</v>
      </c>
      <c r="U77" s="75">
        <f t="shared" si="8"/>
        <v>0</v>
      </c>
      <c r="V77" s="19">
        <f t="shared" ca="1" si="9"/>
        <v>0.161</v>
      </c>
      <c r="X77" s="40" t="str">
        <f ca="1">IF(MIN($F77,'Comp-Bar'!$H79)&lt;0.5,'Comp-Bar'!H79,"")</f>
        <v/>
      </c>
      <c r="Y77" s="40" t="str">
        <f ca="1">IF(MIN($F77,'Comp-Bar'!$H79)&lt;0.5,'Comp-Bar'!I79,"")</f>
        <v/>
      </c>
      <c r="Z77" s="40" t="str">
        <f ca="1">IF(MIN($F77,'Comp-Bar'!$H79)&lt;0.5,'Comp-Bar'!J79,"")</f>
        <v/>
      </c>
    </row>
    <row r="78" spans="1:26" s="1" customFormat="1" ht="15" customHeight="1" x14ac:dyDescent="0.25">
      <c r="A78" s="92" t="s">
        <v>183</v>
      </c>
      <c r="B78" s="66">
        <f ca="1">IFERROR(VLOOKUP($A78,[1]!LOOKUP_MDAPs,B$2,FALSE)/$G78,"")</f>
        <v>0.68114430488250333</v>
      </c>
      <c r="C78" s="66">
        <f ca="1">IFERROR(VLOOKUP($A78,[1]!LOOKUP_MDAPs,C$2,FALSE)/$G78,"")</f>
        <v>0</v>
      </c>
      <c r="D78" s="66">
        <f ca="1">IFERROR(VLOOKUP($A78,[1]!LOOKUP_MDAPs,D$2,FALSE)/$G78,"")</f>
        <v>2.6641887962378596E-2</v>
      </c>
      <c r="E78" s="66">
        <f ca="1">IFERROR(VLOOKUP($A78,[1]!LOOKUP_MDAPs,E$2,FALSE)/$G78,"")</f>
        <v>0.38295767560586669</v>
      </c>
      <c r="F78" s="66">
        <f t="shared" ca="1" si="10"/>
        <v>-9.0743868450748444E-2</v>
      </c>
      <c r="G78" s="4">
        <f ca="1">IFERROR(VLOOKUP($A78,[1]!LOOKUP_MDAPs,G$2,FALSE),"")</f>
        <v>2803.4873330100004</v>
      </c>
      <c r="H78" s="3">
        <f ca="1">VLOOKUP($A78,[1]!LOOKUP_SARS_Unified2,H$2,FALSE)</f>
        <v>0.17499999999999999</v>
      </c>
      <c r="I78" s="3"/>
      <c r="J78" s="32">
        <f t="shared" ca="1" si="7"/>
        <v>318.3075</v>
      </c>
      <c r="K78" s="26">
        <f ca="1">VLOOKUP($A78,[1]!LOOKUP_SARS_Unified2,K$1,FALSE)</f>
        <v>1818.9</v>
      </c>
      <c r="L78" s="83"/>
      <c r="M78" s="4"/>
      <c r="N78" s="12"/>
      <c r="O78" s="12"/>
      <c r="P78" s="12"/>
      <c r="T78" s="75" t="e">
        <f ca="1">'Comp-Bar'!M80</f>
        <v>#N/A</v>
      </c>
      <c r="U78" s="75">
        <f t="shared" si="8"/>
        <v>0</v>
      </c>
      <c r="V78" s="19">
        <f t="shared" ca="1" si="9"/>
        <v>0.17499999999999999</v>
      </c>
      <c r="X78" s="40">
        <f ca="1">IF(MIN($F78,'Comp-Bar'!$H80)&lt;0.5,'Comp-Bar'!H80,"")</f>
        <v>-5.2092990366109371E-2</v>
      </c>
      <c r="Y78" s="40">
        <f ca="1">IF(MIN($F78,'Comp-Bar'!$H80)&lt;0.5,'Comp-Bar'!I80,"")</f>
        <v>2803.4873330100004</v>
      </c>
      <c r="Z78" s="40">
        <f ca="1">IF(MIN($F78,'Comp-Bar'!$H80)&lt;0.5,'Comp-Bar'!J80,"")</f>
        <v>0.17499999999999999</v>
      </c>
    </row>
    <row r="79" spans="1:26" s="1" customFormat="1" ht="15" customHeight="1" x14ac:dyDescent="0.25">
      <c r="A79" s="92" t="s">
        <v>66</v>
      </c>
      <c r="B79" s="66">
        <f ca="1">IFERROR(VLOOKUP($A79,[1]!LOOKUP_MDAPs,B$2,FALSE)/$G79,"")</f>
        <v>3.4645103114302411E-2</v>
      </c>
      <c r="C79" s="66">
        <f ca="1">IFERROR(VLOOKUP($A79,[1]!LOOKUP_MDAPs,C$2,FALSE)/$G79,"")</f>
        <v>0</v>
      </c>
      <c r="D79" s="66">
        <f ca="1">IFERROR(VLOOKUP($A79,[1]!LOOKUP_MDAPs,D$2,FALSE)/$G79,"")</f>
        <v>6.6995073891625613E-6</v>
      </c>
      <c r="E79" s="66">
        <f ca="1">IFERROR(VLOOKUP($A79,[1]!LOOKUP_MDAPs,E$2,FALSE)/$G79,"")</f>
        <v>7.2472238457042663E-4</v>
      </c>
      <c r="F79" s="66">
        <f t="shared" ca="1" si="10"/>
        <v>0.96462347499373802</v>
      </c>
      <c r="G79" s="4">
        <f ca="1">IFERROR(VLOOKUP($A79,[1]!LOOKUP_MDAPs,G$2,FALSE),"")</f>
        <v>1197.7</v>
      </c>
      <c r="H79" s="3">
        <f ca="1">VLOOKUP($A79,[1]!LOOKUP_SARS_Unified2,H$2,FALSE)</f>
        <v>-16.899999999999999</v>
      </c>
      <c r="I79" s="3"/>
      <c r="J79" s="32">
        <f t="shared" ca="1" si="7"/>
        <v>-26505.96</v>
      </c>
      <c r="K79" s="26">
        <f ca="1">VLOOKUP($A79,[1]!LOOKUP_SARS_Unified2,K$1,FALSE)</f>
        <v>1568.4</v>
      </c>
      <c r="L79" s="83"/>
      <c r="M79" s="4"/>
      <c r="N79" s="12"/>
      <c r="O79" s="12"/>
      <c r="P79" s="12"/>
      <c r="T79" s="75" t="e">
        <f ca="1">'Comp-Bar'!M81</f>
        <v>#N/A</v>
      </c>
      <c r="U79" s="75">
        <f t="shared" si="8"/>
        <v>0</v>
      </c>
      <c r="V79" s="19">
        <f t="shared" ca="1" si="9"/>
        <v>-16.899999999999999</v>
      </c>
      <c r="X79" s="40" t="str">
        <f ca="1">IF(MIN($F79,'Comp-Bar'!$H81)&lt;0.5,'Comp-Bar'!H81,"")</f>
        <v/>
      </c>
      <c r="Y79" s="40" t="str">
        <f ca="1">IF(MIN($F79,'Comp-Bar'!$H81)&lt;0.5,'Comp-Bar'!I81,"")</f>
        <v/>
      </c>
      <c r="Z79" s="40" t="str">
        <f ca="1">IF(MIN($F79,'Comp-Bar'!$H81)&lt;0.5,'Comp-Bar'!J81,"")</f>
        <v/>
      </c>
    </row>
    <row r="80" spans="1:26" s="1" customFormat="1" ht="15" customHeight="1" x14ac:dyDescent="0.25">
      <c r="A80" s="92" t="s">
        <v>65</v>
      </c>
      <c r="B80" s="66">
        <f ca="1">IFERROR(VLOOKUP($A80,[1]!LOOKUP_MDAPs,B$2,FALSE)/$G80,"")</f>
        <v>5.9858880357729231E-2</v>
      </c>
      <c r="C80" s="66">
        <f ca="1">IFERROR(VLOOKUP($A80,[1]!LOOKUP_MDAPs,C$2,FALSE)/$G80,"")</f>
        <v>0</v>
      </c>
      <c r="D80" s="66">
        <f ca="1">IFERROR(VLOOKUP($A80,[1]!LOOKUP_MDAPs,D$2,FALSE)/$G80,"")</f>
        <v>0.1569321582121265</v>
      </c>
      <c r="E80" s="66">
        <f ca="1">IFERROR(VLOOKUP($A80,[1]!LOOKUP_MDAPs,E$2,FALSE)/$G80,"")</f>
        <v>0.26819083651658265</v>
      </c>
      <c r="F80" s="66">
        <f t="shared" ca="1" si="10"/>
        <v>0.51501812491356158</v>
      </c>
      <c r="G80" s="4">
        <f ca="1">IFERROR(VLOOKUP($A80,[1]!LOOKUP_MDAPs,G$2,FALSE),"")</f>
        <v>5177.1000000000004</v>
      </c>
      <c r="H80" s="3">
        <f ca="1">VLOOKUP($A80,[1]!LOOKUP_SARS_Unified2,H$2,FALSE)</f>
        <v>3.3000000000000002E-2</v>
      </c>
      <c r="I80" s="3"/>
      <c r="J80" s="32">
        <f t="shared" ca="1" si="7"/>
        <v>224.74980000000002</v>
      </c>
      <c r="K80" s="26">
        <f ca="1">VLOOKUP($A80,[1]!LOOKUP_SARS_Unified2,K$1,FALSE)</f>
        <v>6810.6</v>
      </c>
      <c r="L80" s="83"/>
      <c r="M80" s="4"/>
      <c r="N80" s="12"/>
      <c r="O80" s="12"/>
      <c r="P80" s="12"/>
      <c r="T80" s="75" t="e">
        <f ca="1">'Comp-Bar'!M82</f>
        <v>#N/A</v>
      </c>
      <c r="U80" s="75">
        <f t="shared" si="8"/>
        <v>0</v>
      </c>
      <c r="V80" s="19">
        <f t="shared" ca="1" si="9"/>
        <v>3.3000000000000002E-2</v>
      </c>
      <c r="X80" s="40" t="str">
        <f ca="1">IF(MIN($F80,'Comp-Bar'!$H82)&lt;0.5,'Comp-Bar'!H82,"")</f>
        <v/>
      </c>
      <c r="Y80" s="40" t="str">
        <f ca="1">IF(MIN($F80,'Comp-Bar'!$H82)&lt;0.5,'Comp-Bar'!I82,"")</f>
        <v/>
      </c>
      <c r="Z80" s="40" t="str">
        <f ca="1">IF(MIN($F80,'Comp-Bar'!$H82)&lt;0.5,'Comp-Bar'!J82,"")</f>
        <v/>
      </c>
    </row>
    <row r="81" spans="1:26" s="1" customFormat="1" ht="15" customHeight="1" x14ac:dyDescent="0.25">
      <c r="A81" s="92" t="s">
        <v>46</v>
      </c>
      <c r="B81" s="66">
        <f ca="1">IFERROR(VLOOKUP($A81,[1]!LOOKUP_MDAPs,B$2,FALSE)/$G81,"")</f>
        <v>4.554162754814467E-2</v>
      </c>
      <c r="C81" s="66">
        <f ca="1">IFERROR(VLOOKUP($A81,[1]!LOOKUP_MDAPs,C$2,FALSE)/$G81,"")</f>
        <v>0</v>
      </c>
      <c r="D81" s="66">
        <f ca="1">IFERROR(VLOOKUP($A81,[1]!LOOKUP_MDAPs,D$2,FALSE)/$G81,"")</f>
        <v>4.6144155550336616E-3</v>
      </c>
      <c r="E81" s="66">
        <f ca="1">IFERROR(VLOOKUP($A81,[1]!LOOKUP_MDAPs,E$2,FALSE)/$G81,"")</f>
        <v>9.4114576092061992E-3</v>
      </c>
      <c r="F81" s="66">
        <f t="shared" ca="1" si="10"/>
        <v>0.94043249928761552</v>
      </c>
      <c r="G81" s="4">
        <f ca="1">IFERROR(VLOOKUP($A81,[1]!LOOKUP_MDAPs,G$2,FALSE),"")</f>
        <v>1277.4000000000001</v>
      </c>
      <c r="H81" s="3">
        <f ca="1">VLOOKUP($A81,[1]!LOOKUP_SARS_Unified2,H$2,FALSE)</f>
        <v>4.4999999999999998E-2</v>
      </c>
      <c r="I81" s="3"/>
      <c r="J81" s="32">
        <f t="shared" ca="1" si="7"/>
        <v>63.949499999999993</v>
      </c>
      <c r="K81" s="26">
        <f ca="1">VLOOKUP($A81,[1]!LOOKUP_SARS_Unified2,K$1,FALSE)</f>
        <v>1421.1</v>
      </c>
      <c r="L81" s="83"/>
      <c r="M81" s="4"/>
      <c r="N81" s="12"/>
      <c r="O81" s="12"/>
      <c r="P81" s="12"/>
      <c r="T81" s="75" t="e">
        <f ca="1">'Comp-Bar'!M83</f>
        <v>#N/A</v>
      </c>
      <c r="U81" s="75">
        <f t="shared" si="8"/>
        <v>0</v>
      </c>
      <c r="V81" s="19">
        <f t="shared" ca="1" si="9"/>
        <v>4.4999999999999998E-2</v>
      </c>
      <c r="X81" s="40" t="str">
        <f ca="1">IF(MIN($F81,'Comp-Bar'!$H83)&lt;0.5,'Comp-Bar'!H83,"")</f>
        <v/>
      </c>
      <c r="Y81" s="40" t="str">
        <f ca="1">IF(MIN($F81,'Comp-Bar'!$H83)&lt;0.5,'Comp-Bar'!I83,"")</f>
        <v/>
      </c>
      <c r="Z81" s="40" t="str">
        <f ca="1">IF(MIN($F81,'Comp-Bar'!$H83)&lt;0.5,'Comp-Bar'!J83,"")</f>
        <v/>
      </c>
    </row>
    <row r="82" spans="1:26" s="1" customFormat="1" ht="15" customHeight="1" x14ac:dyDescent="0.25">
      <c r="A82" s="92" t="s">
        <v>63</v>
      </c>
      <c r="B82" s="66">
        <f ca="1">IFERROR(VLOOKUP($A82,[1]!LOOKUP_MDAPs,B$2,FALSE)/$G82,"")</f>
        <v>0.89040850855313503</v>
      </c>
      <c r="C82" s="66">
        <f ca="1">IFERROR(VLOOKUP($A82,[1]!LOOKUP_MDAPs,C$2,FALSE)/$G82,"")</f>
        <v>0</v>
      </c>
      <c r="D82" s="66">
        <f ca="1">IFERROR(VLOOKUP($A82,[1]!LOOKUP_MDAPs,D$2,FALSE)/$G82,"")</f>
        <v>0.71237920118427722</v>
      </c>
      <c r="E82" s="66">
        <f ca="1">IFERROR(VLOOKUP($A82,[1]!LOOKUP_MDAPs,E$2,FALSE)/$G82,"")</f>
        <v>0.61629294088516928</v>
      </c>
      <c r="F82" s="66">
        <f t="shared" ca="1" si="10"/>
        <v>-1.2190806506225815</v>
      </c>
      <c r="G82" s="4">
        <f ca="1">IFERROR(VLOOKUP($A82,[1]!LOOKUP_MDAPs,G$2,FALSE),"")</f>
        <v>1685.5687659799999</v>
      </c>
      <c r="H82" s="3">
        <f ca="1">VLOOKUP($A82,[1]!LOOKUP_SARS_Unified2,H$2,FALSE)</f>
        <v>0.28899999999999998</v>
      </c>
      <c r="I82" s="3"/>
      <c r="J82" s="32">
        <f t="shared" ca="1" si="7"/>
        <v>1732.6416999999999</v>
      </c>
      <c r="K82" s="26">
        <f ca="1">VLOOKUP($A82,[1]!LOOKUP_SARS_Unified2,K$1,FALSE)</f>
        <v>5995.3</v>
      </c>
      <c r="L82" s="83"/>
      <c r="M82" s="4"/>
      <c r="N82" s="12"/>
      <c r="O82" s="12"/>
      <c r="P82" s="12"/>
      <c r="T82" s="75" t="e">
        <f ca="1">'Comp-Bar'!M84</f>
        <v>#N/A</v>
      </c>
      <c r="U82" s="75">
        <f t="shared" si="8"/>
        <v>0</v>
      </c>
      <c r="V82" s="19">
        <f t="shared" ca="1" si="9"/>
        <v>0.28899999999999998</v>
      </c>
      <c r="X82" s="40">
        <f ca="1">IF(MIN($F82,'Comp-Bar'!$H84)&lt;0.5,'Comp-Bar'!H84,"")</f>
        <v>-0.59921029432031125</v>
      </c>
      <c r="Y82" s="40">
        <f ca="1">IF(MIN($F82,'Comp-Bar'!$H84)&lt;0.5,'Comp-Bar'!I84,"")</f>
        <v>1685.5687659799999</v>
      </c>
      <c r="Z82" s="40">
        <f ca="1">IF(MIN($F82,'Comp-Bar'!$H84)&lt;0.5,'Comp-Bar'!J84,"")</f>
        <v>0.28899999999999998</v>
      </c>
    </row>
    <row r="83" spans="1:26" s="1" customFormat="1" ht="15" customHeight="1" x14ac:dyDescent="0.25">
      <c r="A83" s="92" t="s">
        <v>71</v>
      </c>
      <c r="B83" s="66">
        <f ca="1">IFERROR(VLOOKUP($A83,[1]!LOOKUP_MDAPs,B$2,FALSE)/$G83,"")</f>
        <v>0</v>
      </c>
      <c r="C83" s="66">
        <f ca="1">IFERROR(VLOOKUP($A83,[1]!LOOKUP_MDAPs,C$2,FALSE)/$G83,"")</f>
        <v>0</v>
      </c>
      <c r="D83" s="66">
        <f ca="1">IFERROR(VLOOKUP($A83,[1]!LOOKUP_MDAPs,D$2,FALSE)/$G83,"")</f>
        <v>0</v>
      </c>
      <c r="E83" s="66">
        <f ca="1">IFERROR(VLOOKUP($A83,[1]!LOOKUP_MDAPs,E$2,FALSE)/$G83,"")</f>
        <v>0</v>
      </c>
      <c r="F83" s="66">
        <f t="shared" ca="1" si="10"/>
        <v>1</v>
      </c>
      <c r="G83" s="4">
        <f ca="1">IFERROR(VLOOKUP($A83,[1]!LOOKUP_MDAPs,G$2,FALSE),"")</f>
        <v>761.3</v>
      </c>
      <c r="H83" s="3">
        <f ca="1">VLOOKUP($A83,[1]!LOOKUP_SARS_Unified2,H$2,FALSE)</f>
        <v>7.0000000000000007E-2</v>
      </c>
      <c r="I83" s="3"/>
      <c r="J83" s="32">
        <f t="shared" ca="1" si="7"/>
        <v>129.71</v>
      </c>
      <c r="K83" s="26">
        <f ca="1">VLOOKUP($A83,[1]!LOOKUP_SARS_Unified2,K$1,FALSE)</f>
        <v>1853</v>
      </c>
      <c r="L83" s="83"/>
      <c r="M83" s="4"/>
      <c r="N83" s="12"/>
      <c r="O83" s="12"/>
      <c r="P83" s="12"/>
      <c r="T83" s="75" t="e">
        <f ca="1">'Comp-Bar'!M85</f>
        <v>#N/A</v>
      </c>
      <c r="U83" s="75">
        <f t="shared" si="8"/>
        <v>0</v>
      </c>
      <c r="V83" s="19">
        <f t="shared" ca="1" si="9"/>
        <v>7.0000000000000007E-2</v>
      </c>
      <c r="X83" s="40" t="str">
        <f ca="1">IF(MIN($F83,'Comp-Bar'!$H85)&lt;0.5,'Comp-Bar'!H85,"")</f>
        <v/>
      </c>
      <c r="Y83" s="40" t="str">
        <f ca="1">IF(MIN($F83,'Comp-Bar'!$H85)&lt;0.5,'Comp-Bar'!I85,"")</f>
        <v/>
      </c>
      <c r="Z83" s="40" t="str">
        <f ca="1">IF(MIN($F83,'Comp-Bar'!$H85)&lt;0.5,'Comp-Bar'!J85,"")</f>
        <v/>
      </c>
    </row>
    <row r="84" spans="1:26" s="1" customFormat="1" ht="15" customHeight="1" x14ac:dyDescent="0.25">
      <c r="A84" s="92" t="s">
        <v>69</v>
      </c>
      <c r="B84" s="66">
        <f ca="1">IFERROR(VLOOKUP($A84,[1]!LOOKUP_MDAPs,B$2,FALSE)/$G84,"")</f>
        <v>1.9507846029278404E-3</v>
      </c>
      <c r="C84" s="66">
        <f ca="1">IFERROR(VLOOKUP($A84,[1]!LOOKUP_MDAPs,C$2,FALSE)/$G84,"")</f>
        <v>0</v>
      </c>
      <c r="D84" s="66">
        <f ca="1">IFERROR(VLOOKUP($A84,[1]!LOOKUP_MDAPs,D$2,FALSE)/$G84,"")</f>
        <v>2.6458090426221015E-5</v>
      </c>
      <c r="E84" s="66">
        <f ca="1">IFERROR(VLOOKUP($A84,[1]!LOOKUP_MDAPs,E$2,FALSE)/$G84,"")</f>
        <v>3.0438887031998961E-3</v>
      </c>
      <c r="F84" s="66">
        <f t="shared" ca="1" si="10"/>
        <v>0.99497886860344609</v>
      </c>
      <c r="G84" s="4">
        <f ca="1">IFERROR(VLOOKUP($A84,[1]!LOOKUP_MDAPs,G$2,FALSE),"")</f>
        <v>3087.6</v>
      </c>
      <c r="H84" s="3">
        <f ca="1">VLOOKUP($A84,[1]!LOOKUP_SARS_Unified2,H$2,FALSE)</f>
        <v>-54.151000000000003</v>
      </c>
      <c r="I84" s="3"/>
      <c r="J84" s="32">
        <f t="shared" ca="1" si="7"/>
        <v>-331274.15760000004</v>
      </c>
      <c r="K84" s="26">
        <f ca="1">VLOOKUP($A84,[1]!LOOKUP_SARS_Unified2,K$1,FALSE)</f>
        <v>6117.6</v>
      </c>
      <c r="L84" s="83"/>
      <c r="M84" s="4"/>
      <c r="N84" s="12"/>
      <c r="O84" s="12"/>
      <c r="P84" s="12"/>
      <c r="T84" s="75" t="e">
        <f ca="1">'Comp-Bar'!M86</f>
        <v>#N/A</v>
      </c>
      <c r="U84" s="75">
        <f t="shared" si="8"/>
        <v>0</v>
      </c>
      <c r="V84" s="19">
        <f t="shared" ca="1" si="9"/>
        <v>-54.151000000000003</v>
      </c>
      <c r="X84" s="40" t="str">
        <f ca="1">IF(MIN($F84,'Comp-Bar'!$H86)&lt;0.5,'Comp-Bar'!H86,"")</f>
        <v/>
      </c>
      <c r="Y84" s="40" t="str">
        <f ca="1">IF(MIN($F84,'Comp-Bar'!$H86)&lt;0.5,'Comp-Bar'!I86,"")</f>
        <v/>
      </c>
      <c r="Z84" s="40" t="str">
        <f ca="1">IF(MIN($F84,'Comp-Bar'!$H86)&lt;0.5,'Comp-Bar'!J86,"")</f>
        <v/>
      </c>
    </row>
    <row r="85" spans="1:26" s="1" customFormat="1" ht="15" customHeight="1" x14ac:dyDescent="0.25">
      <c r="A85" s="92" t="s">
        <v>72</v>
      </c>
      <c r="B85" s="66">
        <f ca="1">IFERROR(VLOOKUP($A85,[1]!LOOKUP_MDAPs,B$2,FALSE)/$G85,"")</f>
        <v>0.41519942359537865</v>
      </c>
      <c r="C85" s="66">
        <f ca="1">IFERROR(VLOOKUP($A85,[1]!LOOKUP_MDAPs,C$2,FALSE)/$G85,"")</f>
        <v>0</v>
      </c>
      <c r="D85" s="66">
        <f ca="1">IFERROR(VLOOKUP($A85,[1]!LOOKUP_MDAPs,D$2,FALSE)/$G85,"")</f>
        <v>5.7394640610770327E-2</v>
      </c>
      <c r="E85" s="66">
        <f ca="1">IFERROR(VLOOKUP($A85,[1]!LOOKUP_MDAPs,E$2,FALSE)/$G85,"")</f>
        <v>7.9492088960599103E-2</v>
      </c>
      <c r="F85" s="66">
        <f t="shared" ca="1" si="10"/>
        <v>0.44791384683325197</v>
      </c>
      <c r="G85" s="4">
        <f ca="1">IFERROR(VLOOKUP($A85,[1]!LOOKUP_MDAPs,G$2,FALSE),"")</f>
        <v>10629.2</v>
      </c>
      <c r="H85" s="3">
        <f ca="1">VLOOKUP($A85,[1]!LOOKUP_SARS_Unified2,H$2,FALSE)</f>
        <v>-2E-3</v>
      </c>
      <c r="I85" s="3"/>
      <c r="J85" s="32">
        <f t="shared" ca="1" si="7"/>
        <v>-69.00139999999999</v>
      </c>
      <c r="K85" s="26">
        <f ca="1">VLOOKUP($A85,[1]!LOOKUP_SARS_Unified2,K$1,FALSE)</f>
        <v>34500.699999999997</v>
      </c>
      <c r="L85" s="83"/>
      <c r="M85" s="4"/>
      <c r="N85" s="12"/>
      <c r="O85" s="12"/>
      <c r="P85" s="12"/>
      <c r="T85" s="75" t="e">
        <f ca="1">'Comp-Bar'!M87</f>
        <v>#N/A</v>
      </c>
      <c r="U85" s="75">
        <f t="shared" si="8"/>
        <v>0</v>
      </c>
      <c r="V85" s="19">
        <f t="shared" ca="1" si="9"/>
        <v>-2E-3</v>
      </c>
      <c r="X85" s="40">
        <f ca="1">IF(MIN($F85,'Comp-Bar'!$H87)&lt;0.5,'Comp-Bar'!H87,"")</f>
        <v>0.56845188661799573</v>
      </c>
      <c r="Y85" s="40">
        <f ca="1">IF(MIN($F85,'Comp-Bar'!$H87)&lt;0.5,'Comp-Bar'!I87,"")</f>
        <v>10629.2</v>
      </c>
      <c r="Z85" s="40">
        <f ca="1">IF(MIN($F85,'Comp-Bar'!$H87)&lt;0.5,'Comp-Bar'!J87,"")</f>
        <v>-2E-3</v>
      </c>
    </row>
    <row r="86" spans="1:26" s="1" customFormat="1" ht="15" customHeight="1" x14ac:dyDescent="0.25">
      <c r="A86" s="92" t="s">
        <v>252</v>
      </c>
      <c r="B86" s="66">
        <f ca="1">IFERROR(VLOOKUP($A86,[1]!LOOKUP_MDAPs,B$2,FALSE)/$G86,"")</f>
        <v>0.12517296971680317</v>
      </c>
      <c r="C86" s="66">
        <f ca="1">IFERROR(VLOOKUP($A86,[1]!LOOKUP_MDAPs,C$2,FALSE)/$G86,"")</f>
        <v>0</v>
      </c>
      <c r="D86" s="66">
        <f ca="1">IFERROR(VLOOKUP($A86,[1]!LOOKUP_MDAPs,D$2,FALSE)/$G86,"")</f>
        <v>3.0386371876350377E-4</v>
      </c>
      <c r="E86" s="66">
        <f ca="1">IFERROR(VLOOKUP($A86,[1]!LOOKUP_MDAPs,E$2,FALSE)/$G86,"")</f>
        <v>3.6930183888238953E-2</v>
      </c>
      <c r="F86" s="66">
        <f t="shared" ca="1" si="10"/>
        <v>0.83759298267619431</v>
      </c>
      <c r="G86" s="4">
        <f ca="1">IFERROR(VLOOKUP($A86,[1]!LOOKUP_MDAPs,G$2,FALSE),"")</f>
        <v>9488.1</v>
      </c>
      <c r="H86" s="3">
        <f ca="1">VLOOKUP($A86,[1]!LOOKUP_SARS_Unified2,H$2,FALSE)</f>
        <v>8.6</v>
      </c>
      <c r="I86" s="3"/>
      <c r="J86" s="32">
        <f t="shared" ca="1" si="7"/>
        <v>79169.87999999999</v>
      </c>
      <c r="K86" s="26">
        <f ca="1">VLOOKUP($A86,[1]!LOOKUP_SARS_Unified2,K$1,FALSE)</f>
        <v>9205.7999999999993</v>
      </c>
      <c r="L86" s="83"/>
      <c r="M86" s="4"/>
      <c r="N86" s="12"/>
      <c r="O86" s="12"/>
      <c r="P86" s="12"/>
      <c r="T86" s="75" t="e">
        <f ca="1">'Comp-Bar'!M88</f>
        <v>#N/A</v>
      </c>
      <c r="U86" s="75">
        <f t="shared" si="8"/>
        <v>0</v>
      </c>
      <c r="V86" s="19">
        <f t="shared" ca="1" si="9"/>
        <v>8.6</v>
      </c>
      <c r="X86" s="40" t="str">
        <f ca="1">IF(MIN($F86,'Comp-Bar'!$H88)&lt;0.5,'Comp-Bar'!H88,"")</f>
        <v/>
      </c>
      <c r="Y86" s="40" t="str">
        <f ca="1">IF(MIN($F86,'Comp-Bar'!$H88)&lt;0.5,'Comp-Bar'!I88,"")</f>
        <v/>
      </c>
      <c r="Z86" s="40" t="str">
        <f ca="1">IF(MIN($F86,'Comp-Bar'!$H88)&lt;0.5,'Comp-Bar'!J88,"")</f>
        <v/>
      </c>
    </row>
    <row r="87" spans="1:26" s="1" customFormat="1" ht="15" customHeight="1" x14ac:dyDescent="0.25">
      <c r="A87" s="92" t="s">
        <v>77</v>
      </c>
      <c r="B87" s="66">
        <f ca="1">IFERROR(VLOOKUP($A87,[1]!LOOKUP_MDAPs,B$2,FALSE)/$G87,"")</f>
        <v>0</v>
      </c>
      <c r="C87" s="66">
        <f ca="1">IFERROR(VLOOKUP($A87,[1]!LOOKUP_MDAPs,C$2,FALSE)/$G87,"")</f>
        <v>0</v>
      </c>
      <c r="D87" s="66">
        <f ca="1">IFERROR(VLOOKUP($A87,[1]!LOOKUP_MDAPs,D$2,FALSE)/$G87,"")</f>
        <v>0</v>
      </c>
      <c r="E87" s="66">
        <f ca="1">IFERROR(VLOOKUP($A87,[1]!LOOKUP_MDAPs,E$2,FALSE)/$G87,"")</f>
        <v>2.5588847494553376E-3</v>
      </c>
      <c r="F87" s="66">
        <f t="shared" ca="1" si="10"/>
        <v>0.99744111525054469</v>
      </c>
      <c r="G87" s="4">
        <f ca="1">IFERROR(VLOOKUP($A87,[1]!LOOKUP_MDAPs,G$2,FALSE),"")</f>
        <v>780.3</v>
      </c>
      <c r="H87" s="3">
        <f ca="1">VLOOKUP($A87,[1]!LOOKUP_SARS_Unified2,H$2,FALSE)</f>
        <v>9.0000000000000011E-3</v>
      </c>
      <c r="I87" s="3"/>
      <c r="J87" s="32">
        <f t="shared" ca="1" si="7"/>
        <v>269.05860000000007</v>
      </c>
      <c r="K87" s="26">
        <f ca="1">VLOOKUP($A87,[1]!LOOKUP_SARS_Unified2,K$1,FALSE)</f>
        <v>29895.4</v>
      </c>
      <c r="L87" s="83"/>
      <c r="M87" s="4"/>
      <c r="N87" s="12"/>
      <c r="O87" s="12"/>
      <c r="P87" s="12"/>
      <c r="T87" s="75" t="e">
        <f ca="1">'Comp-Bar'!M89</f>
        <v>#N/A</v>
      </c>
      <c r="U87" s="75">
        <f t="shared" si="8"/>
        <v>0</v>
      </c>
      <c r="V87" s="19">
        <f t="shared" ca="1" si="9"/>
        <v>9.0000000000000011E-3</v>
      </c>
      <c r="X87" s="40" t="str">
        <f ca="1">IF(MIN($F87,'Comp-Bar'!$H89)&lt;0.5,'Comp-Bar'!H89,"")</f>
        <v/>
      </c>
      <c r="Y87" s="40" t="str">
        <f ca="1">IF(MIN($F87,'Comp-Bar'!$H89)&lt;0.5,'Comp-Bar'!I89,"")</f>
        <v/>
      </c>
      <c r="Z87" s="40" t="str">
        <f ca="1">IF(MIN($F87,'Comp-Bar'!$H89)&lt;0.5,'Comp-Bar'!J89,"")</f>
        <v/>
      </c>
    </row>
    <row r="88" spans="1:26" s="1" customFormat="1" ht="15" customHeight="1" x14ac:dyDescent="0.25">
      <c r="A88" s="92" t="s">
        <v>246</v>
      </c>
      <c r="B88" s="66" t="str">
        <f ca="1">IFERROR(VLOOKUP($A88,[1]!LOOKUP_MDAPs,B$2,FALSE)/$G88,"")</f>
        <v/>
      </c>
      <c r="C88" s="66" t="str">
        <f ca="1">IFERROR(VLOOKUP($A88,[1]!LOOKUP_MDAPs,C$2,FALSE)/$G88,"")</f>
        <v/>
      </c>
      <c r="D88" s="66" t="str">
        <f ca="1">IFERROR(VLOOKUP($A88,[1]!LOOKUP_MDAPs,D$2,FALSE)/$G88,"")</f>
        <v/>
      </c>
      <c r="E88" s="66" t="str">
        <f ca="1">IFERROR(VLOOKUP($A88,[1]!LOOKUP_MDAPs,E$2,FALSE)/$G88,"")</f>
        <v/>
      </c>
      <c r="F88" s="66">
        <f t="shared" ca="1" si="10"/>
        <v>1</v>
      </c>
      <c r="G88" s="4" t="str">
        <f ca="1">IFERROR(VLOOKUP($A88,[1]!LOOKUP_MDAPs,G$2,FALSE),"")</f>
        <v/>
      </c>
      <c r="H88" s="3" t="str">
        <f ca="1">VLOOKUP($A88,[1]!LOOKUP_SARS_Unified2,H$2,FALSE)</f>
        <v/>
      </c>
      <c r="I88" s="3"/>
      <c r="J88" s="32" t="e">
        <f t="shared" ca="1" si="7"/>
        <v>#VALUE!</v>
      </c>
      <c r="K88" s="26" t="str">
        <f ca="1">VLOOKUP($A88,[1]!LOOKUP_SARS_Unified2,K$1,FALSE)</f>
        <v/>
      </c>
      <c r="L88" s="83"/>
      <c r="M88" s="4"/>
      <c r="N88" s="12"/>
      <c r="O88" s="12"/>
      <c r="P88" s="12"/>
      <c r="T88" s="75" t="e">
        <f ca="1">'Comp-Bar'!M90</f>
        <v>#N/A</v>
      </c>
      <c r="U88" s="75">
        <f t="shared" si="8"/>
        <v>0</v>
      </c>
      <c r="V88" s="19" t="str">
        <f t="shared" ca="1" si="9"/>
        <v/>
      </c>
      <c r="X88" s="40" t="str">
        <f ca="1">IF(MIN($F88,'Comp-Bar'!$H90)&lt;0.5,'Comp-Bar'!H90,"")</f>
        <v/>
      </c>
      <c r="Y88" s="40" t="str">
        <f ca="1">IF(MIN($F88,'Comp-Bar'!$H90)&lt;0.5,'Comp-Bar'!I90,"")</f>
        <v/>
      </c>
      <c r="Z88" s="40" t="str">
        <f ca="1">IF(MIN($F88,'Comp-Bar'!$H90)&lt;0.5,'Comp-Bar'!J90,"")</f>
        <v/>
      </c>
    </row>
    <row r="89" spans="1:26" s="1" customFormat="1" ht="15" customHeight="1" x14ac:dyDescent="0.25">
      <c r="A89" s="92" t="s">
        <v>247</v>
      </c>
      <c r="B89" s="66">
        <f ca="1">IFERROR(VLOOKUP($A89,[1]!LOOKUP_MDAPs,B$2,FALSE)/$G89,"")</f>
        <v>0</v>
      </c>
      <c r="C89" s="66">
        <f ca="1">IFERROR(VLOOKUP($A89,[1]!LOOKUP_MDAPs,C$2,FALSE)/$G89,"")</f>
        <v>0</v>
      </c>
      <c r="D89" s="66">
        <f ca="1">IFERROR(VLOOKUP($A89,[1]!LOOKUP_MDAPs,D$2,FALSE)/$G89,"")</f>
        <v>0</v>
      </c>
      <c r="E89" s="66">
        <f ca="1">IFERROR(VLOOKUP($A89,[1]!LOOKUP_MDAPs,E$2,FALSE)/$G89,"")</f>
        <v>0</v>
      </c>
      <c r="F89" s="66">
        <f t="shared" ca="1" si="10"/>
        <v>1</v>
      </c>
      <c r="G89" s="4">
        <f ca="1">IFERROR(VLOOKUP($A89,[1]!LOOKUP_MDAPs,G$2,FALSE),"")</f>
        <v>3364.7</v>
      </c>
      <c r="H89" s="3">
        <f ca="1">VLOOKUP($A89,[1]!LOOKUP_SARS_Unified2,H$2,FALSE)</f>
        <v>8.6999999999999994E-2</v>
      </c>
      <c r="I89" s="3"/>
      <c r="J89" s="32">
        <f t="shared" ca="1" si="7"/>
        <v>1029.6275999999998</v>
      </c>
      <c r="K89" s="26">
        <f ca="1">VLOOKUP($A89,[1]!LOOKUP_SARS_Unified2,K$1,FALSE)</f>
        <v>11834.8</v>
      </c>
      <c r="L89" s="83"/>
      <c r="M89" s="4"/>
      <c r="N89" s="12"/>
      <c r="O89" s="12"/>
      <c r="P89" s="12"/>
      <c r="T89" s="75" t="e">
        <f ca="1">'Comp-Bar'!M91</f>
        <v>#N/A</v>
      </c>
      <c r="U89" s="75">
        <f t="shared" si="8"/>
        <v>0</v>
      </c>
      <c r="V89" s="19">
        <f t="shared" ca="1" si="9"/>
        <v>8.6999999999999994E-2</v>
      </c>
      <c r="X89" s="40" t="str">
        <f ca="1">IF(MIN($F89,'Comp-Bar'!$H91)&lt;0.5,'Comp-Bar'!H91,"")</f>
        <v/>
      </c>
      <c r="Y89" s="40" t="str">
        <f ca="1">IF(MIN($F89,'Comp-Bar'!$H91)&lt;0.5,'Comp-Bar'!I91,"")</f>
        <v/>
      </c>
      <c r="Z89" s="40" t="str">
        <f ca="1">IF(MIN($F89,'Comp-Bar'!$H91)&lt;0.5,'Comp-Bar'!J91,"")</f>
        <v/>
      </c>
    </row>
    <row r="90" spans="1:26" s="1" customFormat="1" ht="15" customHeight="1" x14ac:dyDescent="0.25">
      <c r="A90" s="92" t="s">
        <v>50</v>
      </c>
      <c r="B90" s="66">
        <f ca="1">IFERROR(VLOOKUP($A90,[1]!LOOKUP_MDAPs,B$2,FALSE)/$G90,"")</f>
        <v>0</v>
      </c>
      <c r="C90" s="66">
        <f ca="1">IFERROR(VLOOKUP($A90,[1]!LOOKUP_MDAPs,C$2,FALSE)/$G90,"")</f>
        <v>0</v>
      </c>
      <c r="D90" s="66">
        <f ca="1">IFERROR(VLOOKUP($A90,[1]!LOOKUP_MDAPs,D$2,FALSE)/$G90,"")</f>
        <v>0</v>
      </c>
      <c r="E90" s="66">
        <f ca="1">IFERROR(VLOOKUP($A90,[1]!LOOKUP_MDAPs,E$2,FALSE)/$G90,"")</f>
        <v>0</v>
      </c>
      <c r="F90" s="66">
        <f t="shared" ref="F90:F96" ca="1" si="11">1-SUM(B90:E90)</f>
        <v>1</v>
      </c>
      <c r="G90" s="4">
        <f ca="1">IFERROR(VLOOKUP($A90,[1]!LOOKUP_MDAPs,G$2,FALSE),"")</f>
        <v>544.20000000000005</v>
      </c>
      <c r="H90" s="3">
        <f ca="1">VLOOKUP($A90,[1]!LOOKUP_SARS_Unified2,H$2,FALSE)</f>
        <v>0</v>
      </c>
      <c r="J90" s="32">
        <f t="shared" ref="J90:J96" ca="1" si="12">H90*K90</f>
        <v>0</v>
      </c>
      <c r="K90" s="26">
        <f ca="1">VLOOKUP($A90,[1]!LOOKUP_SARS_Unified2,K$1,FALSE)</f>
        <v>1449.4</v>
      </c>
    </row>
    <row r="91" spans="1:26" s="1" customFormat="1" ht="15" customHeight="1" x14ac:dyDescent="0.25">
      <c r="A91" s="92" t="s">
        <v>248</v>
      </c>
      <c r="B91" s="66">
        <f ca="1">IFERROR(VLOOKUP($A91,[1]!LOOKUP_MDAPs,B$2,FALSE)/$G91,"")</f>
        <v>0.2297135495800362</v>
      </c>
      <c r="C91" s="66">
        <f ca="1">IFERROR(VLOOKUP($A91,[1]!LOOKUP_MDAPs,C$2,FALSE)/$G91,"")</f>
        <v>1.6024675966186837E-3</v>
      </c>
      <c r="D91" s="66">
        <f ca="1">IFERROR(VLOOKUP($A91,[1]!LOOKUP_MDAPs,D$2,FALSE)/$G91,"")</f>
        <v>2.8978434655791718E-3</v>
      </c>
      <c r="E91" s="66">
        <f ca="1">IFERROR(VLOOKUP($A91,[1]!LOOKUP_MDAPs,E$2,FALSE)/$G91,"")</f>
        <v>5.9672065576471221E-2</v>
      </c>
      <c r="F91" s="66">
        <f t="shared" ca="1" si="11"/>
        <v>0.70611407378129476</v>
      </c>
      <c r="G91" s="4">
        <f ca="1">IFERROR(VLOOKUP($A91,[1]!LOOKUP_MDAPs,G$2,FALSE),"")</f>
        <v>7405.4</v>
      </c>
      <c r="H91" s="3">
        <f ca="1">VLOOKUP($A91,[1]!LOOKUP_SARS_Unified2,H$2,FALSE)</f>
        <v>0.95700000000000007</v>
      </c>
      <c r="J91" s="32">
        <f t="shared" ca="1" si="12"/>
        <v>5162.058</v>
      </c>
      <c r="K91" s="26">
        <f ca="1">VLOOKUP($A91,[1]!LOOKUP_SARS_Unified2,K$1,FALSE)</f>
        <v>5394</v>
      </c>
    </row>
    <row r="92" spans="1:26" s="1" customFormat="1" ht="15" customHeight="1" x14ac:dyDescent="0.25">
      <c r="A92" s="92" t="s">
        <v>64</v>
      </c>
      <c r="B92" s="66">
        <f ca="1">IFERROR(VLOOKUP($A92,[1]!LOOKUP_MDAPs,B$2,FALSE)/$G92,"")</f>
        <v>5.6049175672912517E-2</v>
      </c>
      <c r="C92" s="66">
        <f ca="1">IFERROR(VLOOKUP($A92,[1]!LOOKUP_MDAPs,C$2,FALSE)/$G92,"")</f>
        <v>0</v>
      </c>
      <c r="D92" s="66">
        <f ca="1">IFERROR(VLOOKUP($A92,[1]!LOOKUP_MDAPs,D$2,FALSE)/$G92,"")</f>
        <v>3.737450508892845E-2</v>
      </c>
      <c r="E92" s="66">
        <f ca="1">IFERROR(VLOOKUP($A92,[1]!LOOKUP_MDAPs,E$2,FALSE)/$G92,"")</f>
        <v>2.376395272690416E-2</v>
      </c>
      <c r="F92" s="66">
        <f t="shared" ca="1" si="11"/>
        <v>0.88281236651125483</v>
      </c>
      <c r="G92" s="4">
        <f ca="1">IFERROR(VLOOKUP($A92,[1]!LOOKUP_MDAPs,G$2,FALSE),"")</f>
        <v>11346.2</v>
      </c>
      <c r="H92" s="3">
        <f ca="1">VLOOKUP($A92,[1]!LOOKUP_SARS_Unified2,H$2,FALSE)</f>
        <v>1.944</v>
      </c>
      <c r="J92" s="32">
        <f t="shared" ca="1" si="12"/>
        <v>8062.3512000000001</v>
      </c>
      <c r="K92" s="26">
        <f ca="1">VLOOKUP($A92,[1]!LOOKUP_SARS_Unified2,K$1,FALSE)</f>
        <v>4147.3</v>
      </c>
    </row>
    <row r="93" spans="1:26" s="1" customFormat="1" ht="15" customHeight="1" x14ac:dyDescent="0.25">
      <c r="A93" s="92" t="s">
        <v>79</v>
      </c>
      <c r="B93" s="66">
        <f ca="1">IFERROR(VLOOKUP($A93,[1]!LOOKUP_MDAPs,B$2,FALSE)/$G93,"")</f>
        <v>1.1909962231331709E-2</v>
      </c>
      <c r="C93" s="66">
        <f ca="1">IFERROR(VLOOKUP($A93,[1]!LOOKUP_MDAPs,C$2,FALSE)/$G93,"")</f>
        <v>0</v>
      </c>
      <c r="D93" s="66">
        <f ca="1">IFERROR(VLOOKUP($A93,[1]!LOOKUP_MDAPs,D$2,FALSE)/$G93,"")</f>
        <v>5.8724019499224462E-4</v>
      </c>
      <c r="E93" s="66">
        <f ca="1">IFERROR(VLOOKUP($A93,[1]!LOOKUP_MDAPs,E$2,FALSE)/$G93,"")</f>
        <v>0</v>
      </c>
      <c r="F93" s="66">
        <f t="shared" ca="1" si="11"/>
        <v>0.98750279757367609</v>
      </c>
      <c r="G93" s="4">
        <f ca="1">IFERROR(VLOOKUP($A93,[1]!LOOKUP_MDAPs,G$2,FALSE),"")</f>
        <v>902.6</v>
      </c>
      <c r="H93" s="3">
        <f ca="1">VLOOKUP($A93,[1]!LOOKUP_SARS_Unified2,H$2,FALSE)</f>
        <v>0.111</v>
      </c>
      <c r="J93" s="32">
        <f t="shared" ca="1" si="12"/>
        <v>91.663799999999995</v>
      </c>
      <c r="K93" s="26">
        <f ca="1">VLOOKUP($A93,[1]!LOOKUP_SARS_Unified2,K$1,FALSE)</f>
        <v>825.8</v>
      </c>
    </row>
    <row r="94" spans="1:26" s="1" customFormat="1" ht="15" customHeight="1" x14ac:dyDescent="0.25">
      <c r="A94" s="92" t="s">
        <v>67</v>
      </c>
      <c r="B94" s="66">
        <f ca="1">IFERROR(VLOOKUP($A94,[1]!LOOKUP_MDAPs,B$2,FALSE)/$G94,"")</f>
        <v>0</v>
      </c>
      <c r="C94" s="66">
        <f ca="1">IFERROR(VLOOKUP($A94,[1]!LOOKUP_MDAPs,C$2,FALSE)/$G94,"")</f>
        <v>0</v>
      </c>
      <c r="D94" s="66">
        <f ca="1">IFERROR(VLOOKUP($A94,[1]!LOOKUP_MDAPs,D$2,FALSE)/$G94,"")</f>
        <v>0</v>
      </c>
      <c r="E94" s="66">
        <f ca="1">IFERROR(VLOOKUP($A94,[1]!LOOKUP_MDAPs,E$2,FALSE)/$G94,"")</f>
        <v>0</v>
      </c>
      <c r="F94" s="66">
        <f t="shared" ca="1" si="11"/>
        <v>1</v>
      </c>
      <c r="G94" s="4">
        <f ca="1">IFERROR(VLOOKUP($A94,[1]!LOOKUP_MDAPs,G$2,FALSE),"")</f>
        <v>1378.7</v>
      </c>
      <c r="H94" s="3">
        <f ca="1">VLOOKUP($A94,[1]!LOOKUP_SARS_Unified2,H$2,FALSE)</f>
        <v>-0.02</v>
      </c>
      <c r="J94" s="32">
        <f t="shared" ca="1" si="12"/>
        <v>-131.94399999999999</v>
      </c>
      <c r="K94" s="26">
        <f ca="1">VLOOKUP($A94,[1]!LOOKUP_SARS_Unified2,K$1,FALSE)</f>
        <v>6597.2</v>
      </c>
    </row>
    <row r="95" spans="1:26" s="1" customFormat="1" ht="15" customHeight="1" x14ac:dyDescent="0.25">
      <c r="A95" s="92" t="s">
        <v>75</v>
      </c>
      <c r="B95" s="66">
        <f ca="1">IFERROR(VLOOKUP($A95,[1]!LOOKUP_MDAPs,B$2,FALSE)/$G95,"")</f>
        <v>5.8409156893289724E-2</v>
      </c>
      <c r="C95" s="66">
        <f ca="1">IFERROR(VLOOKUP($A95,[1]!LOOKUP_MDAPs,C$2,FALSE)/$G95,"")</f>
        <v>7.3609466404385107E-2</v>
      </c>
      <c r="D95" s="66">
        <f ca="1">IFERROR(VLOOKUP($A95,[1]!LOOKUP_MDAPs,D$2,FALSE)/$G95,"")</f>
        <v>2.2094217045354081E-4</v>
      </c>
      <c r="E95" s="66">
        <f ca="1">IFERROR(VLOOKUP($A95,[1]!LOOKUP_MDAPs,E$2,FALSE)/$G95,"")</f>
        <v>1.1534224277473255E-2</v>
      </c>
      <c r="F95" s="66">
        <f t="shared" ca="1" si="11"/>
        <v>0.85622621025439838</v>
      </c>
      <c r="G95" s="4">
        <f ca="1">IFERROR(VLOOKUP($A95,[1]!LOOKUP_MDAPs,G$2,FALSE),"")</f>
        <v>45244</v>
      </c>
      <c r="H95" s="3">
        <f ca="1">VLOOKUP($A95,[1]!LOOKUP_SARS_Unified2,H$2,FALSE)</f>
        <v>1E-3</v>
      </c>
      <c r="J95" s="32">
        <f t="shared" ca="1" si="12"/>
        <v>93.207300000000004</v>
      </c>
      <c r="K95" s="26">
        <f ca="1">VLOOKUP($A95,[1]!LOOKUP_SARS_Unified2,K$1,FALSE)</f>
        <v>93207.3</v>
      </c>
    </row>
    <row r="96" spans="1:26" s="1" customFormat="1" ht="15" customHeight="1" x14ac:dyDescent="0.25">
      <c r="A96" s="92" t="s">
        <v>40</v>
      </c>
      <c r="B96" s="66">
        <f ca="1">IFERROR(VLOOKUP($A96,[1]!LOOKUP_MDAPs,B$2,FALSE)/$G96,"")</f>
        <v>0.50279789212314641</v>
      </c>
      <c r="C96" s="66">
        <f ca="1">IFERROR(VLOOKUP($A96,[1]!LOOKUP_MDAPs,C$2,FALSE)/$G96,"")</f>
        <v>4.9189440787286384E-5</v>
      </c>
      <c r="D96" s="66">
        <f ca="1">IFERROR(VLOOKUP($A96,[1]!LOOKUP_MDAPs,D$2,FALSE)/$G96,"")</f>
        <v>0.11661914938027794</v>
      </c>
      <c r="E96" s="112">
        <f ca="1">IFERROR(VLOOKUP($A96,[1]!LOOKUP_MDAPs,E$2,FALSE)/$G96,"")</f>
        <v>0.53773695506084185</v>
      </c>
      <c r="F96" s="66">
        <f t="shared" ca="1" si="11"/>
        <v>-0.15720318600505356</v>
      </c>
      <c r="G96" s="4">
        <f ca="1">IFERROR(VLOOKUP($A96,[1]!LOOKUP_MDAPs,G$2,FALSE),"")</f>
        <v>15039</v>
      </c>
      <c r="H96" s="3">
        <f ca="1">VLOOKUP($A96,[1]!LOOKUP_SARS_Unified2,H$2,FALSE)</f>
        <v>3.1E-2</v>
      </c>
      <c r="J96" s="32">
        <f t="shared" ca="1" si="12"/>
        <v>264.57570000000004</v>
      </c>
      <c r="K96" s="26">
        <f ca="1">VLOOKUP($A96,[1]!LOOKUP_SARS_Unified2,K$1,FALSE)</f>
        <v>8534.7000000000007</v>
      </c>
    </row>
    <row r="97" spans="1:11" s="1" customFormat="1" ht="15" customHeight="1" x14ac:dyDescent="0.25">
      <c r="A97" s="92" t="s">
        <v>42</v>
      </c>
      <c r="B97" s="66">
        <f ca="1">IFERROR(VLOOKUP($A97,[1]!LOOKUP_MDAPs,B$2,FALSE)/$G97,"")</f>
        <v>0.41713610271317825</v>
      </c>
      <c r="C97" s="66">
        <f ca="1">IFERROR(VLOOKUP($A97,[1]!LOOKUP_MDAPs,C$2,FALSE)/$G97,"")</f>
        <v>0</v>
      </c>
      <c r="D97" s="66">
        <f ca="1">IFERROR(VLOOKUP($A97,[1]!LOOKUP_MDAPs,D$2,FALSE)/$G97,"")</f>
        <v>9.5022324305759978E-3</v>
      </c>
      <c r="E97" s="66">
        <f ca="1">IFERROR(VLOOKUP($A97,[1]!LOOKUP_MDAPs,E$2,FALSE)/$G97,"")</f>
        <v>7.9159923979491703E-2</v>
      </c>
      <c r="F97" s="66">
        <f t="shared" ref="F97:F108" ca="1" si="13">1-SUM(B97:E97)</f>
        <v>0.49420174087675406</v>
      </c>
      <c r="G97" s="4">
        <f ca="1">IFERROR(VLOOKUP($A97,[1]!LOOKUP_MDAPs,G$2,FALSE),"")</f>
        <v>4076.4</v>
      </c>
      <c r="H97" s="3">
        <f ca="1">VLOOKUP($A97,[1]!LOOKUP_SARS_Unified2,H$2,FALSE)</f>
        <v>0.379</v>
      </c>
      <c r="J97" s="32">
        <f t="shared" ref="J97:J108" ca="1" si="14">H97*K97</f>
        <v>1247.0237000000002</v>
      </c>
      <c r="K97" s="26">
        <f ca="1">VLOOKUP($A97,[1]!LOOKUP_SARS_Unified2,K$1,FALSE)</f>
        <v>3290.3</v>
      </c>
    </row>
    <row r="98" spans="1:11" s="1" customFormat="1" ht="15" customHeight="1" x14ac:dyDescent="0.25">
      <c r="A98" s="92" t="s">
        <v>52</v>
      </c>
      <c r="B98" s="66">
        <f ca="1">IFERROR(VLOOKUP($A98,[1]!LOOKUP_MDAPs,B$2,FALSE)/$G98,"")</f>
        <v>1.2347576465687347E-2</v>
      </c>
      <c r="C98" s="66">
        <f ca="1">IFERROR(VLOOKUP($A98,[1]!LOOKUP_MDAPs,C$2,FALSE)/$G98,"")</f>
        <v>0</v>
      </c>
      <c r="D98" s="66">
        <f ca="1">IFERROR(VLOOKUP($A98,[1]!LOOKUP_MDAPs,D$2,FALSE)/$G98,"")</f>
        <v>5.9181173719213614E-4</v>
      </c>
      <c r="E98" s="66">
        <f ca="1">IFERROR(VLOOKUP($A98,[1]!LOOKUP_MDAPs,E$2,FALSE)/$G98,"")</f>
        <v>1.8470571421471897E-2</v>
      </c>
      <c r="F98" s="66">
        <f t="shared" ca="1" si="13"/>
        <v>0.96859004037564866</v>
      </c>
      <c r="G98" s="4">
        <f ca="1">IFERROR(VLOOKUP($A98,[1]!LOOKUP_MDAPs,G$2,FALSE),"")</f>
        <v>6841.5</v>
      </c>
      <c r="H98" s="3">
        <f ca="1">VLOOKUP($A98,[1]!LOOKUP_SARS_Unified2,H$2,FALSE)</f>
        <v>0.16399999999999998</v>
      </c>
      <c r="J98" s="32">
        <f t="shared" ca="1" si="14"/>
        <v>801.99279999999987</v>
      </c>
      <c r="K98" s="26">
        <f ca="1">VLOOKUP($A98,[1]!LOOKUP_SARS_Unified2,K$1,FALSE)</f>
        <v>4890.2</v>
      </c>
    </row>
    <row r="99" spans="1:11" s="1" customFormat="1" ht="15" customHeight="1" x14ac:dyDescent="0.25">
      <c r="A99" s="92" t="s">
        <v>249</v>
      </c>
      <c r="B99" s="66">
        <f ca="1">IFERROR(VLOOKUP($A99,[1]!LOOKUP_MDAPs,B$2,FALSE)/$G99,"")</f>
        <v>3.6768262632816968E-2</v>
      </c>
      <c r="C99" s="66">
        <f ca="1">IFERROR(VLOOKUP($A99,[1]!LOOKUP_MDAPs,C$2,FALSE)/$G99,"")</f>
        <v>5.5707821517916662E-5</v>
      </c>
      <c r="D99" s="66">
        <f ca="1">IFERROR(VLOOKUP($A99,[1]!LOOKUP_MDAPs,D$2,FALSE)/$G99,"")</f>
        <v>1.5193349301057755E-2</v>
      </c>
      <c r="E99" s="66">
        <f ca="1">IFERROR(VLOOKUP($A99,[1]!LOOKUP_MDAPs,E$2,FALSE)/$G99,"")</f>
        <v>0.16555911006285548</v>
      </c>
      <c r="F99" s="66">
        <f t="shared" ca="1" si="13"/>
        <v>0.7824235701817519</v>
      </c>
      <c r="G99" s="4">
        <f ca="1">IFERROR(VLOOKUP($A99,[1]!LOOKUP_MDAPs,G$2,FALSE),"")</f>
        <v>33457.699999999997</v>
      </c>
      <c r="H99" s="3">
        <f ca="1">VLOOKUP($A99,[1]!LOOKUP_SARS_Unified2,H$2,FALSE)</f>
        <v>0.41</v>
      </c>
      <c r="J99" s="32">
        <f t="shared" ca="1" si="14"/>
        <v>14562.584999999999</v>
      </c>
      <c r="K99" s="26">
        <f ca="1">VLOOKUP($A99,[1]!LOOKUP_SARS_Unified2,K$1,FALSE)</f>
        <v>35518.5</v>
      </c>
    </row>
    <row r="100" spans="1:11" s="1" customFormat="1" ht="15" customHeight="1" x14ac:dyDescent="0.25">
      <c r="A100" t="s">
        <v>222</v>
      </c>
      <c r="B100" s="66">
        <f ca="1">IFERROR(VLOOKUP($A100,[1]!LOOKUP_MDAPs,B$2,FALSE)/$G100,"")</f>
        <v>0</v>
      </c>
      <c r="C100" s="66">
        <f ca="1">IFERROR(VLOOKUP($A100,[1]!LOOKUP_MDAPs,C$2,FALSE)/$G100,"")</f>
        <v>0</v>
      </c>
      <c r="D100" s="66">
        <f ca="1">IFERROR(VLOOKUP($A100,[1]!LOOKUP_MDAPs,D$2,FALSE)/$G100,"")</f>
        <v>0</v>
      </c>
      <c r="E100" s="66">
        <f ca="1">IFERROR(VLOOKUP($A100,[1]!LOOKUP_MDAPs,E$2,FALSE)/$G100,"")</f>
        <v>0</v>
      </c>
      <c r="F100" s="66">
        <f t="shared" ca="1" si="13"/>
        <v>1</v>
      </c>
      <c r="G100" s="4">
        <f ca="1">IFERROR(VLOOKUP($A100,[1]!LOOKUP_MDAPs,G$2,FALSE),"")</f>
        <v>1904</v>
      </c>
      <c r="H100" s="3">
        <f ca="1">VLOOKUP($A100,[1]!LOOKUP_SARS_Unified2,H$2,FALSE)</f>
        <v>7.0999999999999994E-2</v>
      </c>
      <c r="J100" s="32">
        <f t="shared" ca="1" si="14"/>
        <v>1253.9522999999999</v>
      </c>
      <c r="K100" s="26">
        <f ca="1">VLOOKUP($A100,[1]!LOOKUP_SARS_Unified2,K$1,FALSE)</f>
        <v>17661.3</v>
      </c>
    </row>
    <row r="101" spans="1:11" s="1" customFormat="1" ht="15" customHeight="1" x14ac:dyDescent="0.25">
      <c r="A101" t="s">
        <v>49</v>
      </c>
      <c r="B101" s="66">
        <f ca="1">IFERROR(VLOOKUP($A101,[1]!LOOKUP_MDAPs,B$2,FALSE)/$G101,"")</f>
        <v>4.6290074998031332E-2</v>
      </c>
      <c r="C101" s="66">
        <f ca="1">IFERROR(VLOOKUP($A101,[1]!LOOKUP_MDAPs,C$2,FALSE)/$G101,"")</f>
        <v>1.7686301677297424E-4</v>
      </c>
      <c r="D101" s="66">
        <f ca="1">IFERROR(VLOOKUP($A101,[1]!LOOKUP_MDAPs,D$2,FALSE)/$G101,"")</f>
        <v>2.2549019607843136E-4</v>
      </c>
      <c r="E101" s="66">
        <f ca="1">IFERROR(VLOOKUP($A101,[1]!LOOKUP_MDAPs,E$2,FALSE)/$G101,"")</f>
        <v>0.15729120692967949</v>
      </c>
      <c r="F101" s="66">
        <f t="shared" ca="1" si="13"/>
        <v>0.79601636485943783</v>
      </c>
      <c r="G101" s="4">
        <f ca="1">IFERROR(VLOOKUP($A101,[1]!LOOKUP_MDAPs,G$2,FALSE),"")</f>
        <v>2539.8000000000002</v>
      </c>
      <c r="H101" s="3">
        <f ca="1">VLOOKUP($A101,[1]!LOOKUP_SARS_Unified2,H$2,FALSE)</f>
        <v>0.153</v>
      </c>
      <c r="J101" s="32">
        <f t="shared" ca="1" si="14"/>
        <v>3189.6062999999999</v>
      </c>
      <c r="K101" s="26">
        <f ca="1">VLOOKUP($A101,[1]!LOOKUP_SARS_Unified2,K$1,FALSE)</f>
        <v>20847.099999999999</v>
      </c>
    </row>
    <row r="102" spans="1:11" s="1" customFormat="1" ht="15" customHeight="1" x14ac:dyDescent="0.25">
      <c r="A102" t="s">
        <v>60</v>
      </c>
      <c r="B102" s="66">
        <f ca="1">IFERROR(VLOOKUP($A102,[1]!LOOKUP_MDAPs,B$2,FALSE)/$G102,"")</f>
        <v>0.24563825932629935</v>
      </c>
      <c r="C102" s="66">
        <f ca="1">IFERROR(VLOOKUP($A102,[1]!LOOKUP_MDAPs,C$2,FALSE)/$G102,"")</f>
        <v>-6.7088945130362701E-6</v>
      </c>
      <c r="D102" s="66">
        <f ca="1">IFERROR(VLOOKUP($A102,[1]!LOOKUP_MDAPs,D$2,FALSE)/$G102,"")</f>
        <v>1.1824432966243715E-2</v>
      </c>
      <c r="E102" s="66">
        <f ca="1">IFERROR(VLOOKUP($A102,[1]!LOOKUP_MDAPs,E$2,FALSE)/$G102,"")</f>
        <v>5.1650852748042E-2</v>
      </c>
      <c r="F102" s="66">
        <f t="shared" ca="1" si="13"/>
        <v>0.69089316385392796</v>
      </c>
      <c r="G102" s="4">
        <f ca="1">IFERROR(VLOOKUP($A102,[1]!LOOKUP_MDAPs,G$2,FALSE),"")</f>
        <v>35086.800000000003</v>
      </c>
      <c r="H102" s="3">
        <f ca="1">VLOOKUP($A102,[1]!LOOKUP_SARS_Unified2,H$2,FALSE)</f>
        <v>3.0000000000000001E-3</v>
      </c>
      <c r="J102" s="32">
        <f t="shared" ca="1" si="14"/>
        <v>159.7602</v>
      </c>
      <c r="K102" s="26">
        <f ca="1">VLOOKUP($A102,[1]!LOOKUP_SARS_Unified2,K$1,FALSE)</f>
        <v>53253.4</v>
      </c>
    </row>
    <row r="103" spans="1:11" s="1" customFormat="1" ht="15" customHeight="1" x14ac:dyDescent="0.25">
      <c r="A103" s="92" t="s">
        <v>223</v>
      </c>
      <c r="B103" s="66">
        <f ca="1">IFERROR(VLOOKUP($A103,[1]!LOOKUP_MDAPs,B$2,FALSE)/$G103,"")</f>
        <v>0</v>
      </c>
      <c r="C103" s="66">
        <f ca="1">IFERROR(VLOOKUP($A103,[1]!LOOKUP_MDAPs,C$2,FALSE)/$G103,"")</f>
        <v>0</v>
      </c>
      <c r="D103" s="66">
        <f ca="1">IFERROR(VLOOKUP($A103,[1]!LOOKUP_MDAPs,D$2,FALSE)/$G103,"")</f>
        <v>0</v>
      </c>
      <c r="E103" s="66">
        <f ca="1">IFERROR(VLOOKUP($A103,[1]!LOOKUP_MDAPs,E$2,FALSE)/$G103,"")</f>
        <v>0</v>
      </c>
      <c r="F103" s="66">
        <f t="shared" ca="1" si="13"/>
        <v>1</v>
      </c>
      <c r="G103" s="4">
        <f ca="1">IFERROR(VLOOKUP($A103,[1]!LOOKUP_MDAPs,G$2,FALSE),"")</f>
        <v>1273.2</v>
      </c>
      <c r="H103" s="3">
        <f ca="1">VLOOKUP($A103,[1]!LOOKUP_SARS_Unified2,H$2,FALSE)</f>
        <v>-2.2000000000000002E-2</v>
      </c>
      <c r="J103" s="32">
        <f t="shared" ca="1" si="14"/>
        <v>-144.04060000000001</v>
      </c>
      <c r="K103" s="26">
        <f ca="1">VLOOKUP($A103,[1]!LOOKUP_SARS_Unified2,K$1,FALSE)</f>
        <v>6547.3</v>
      </c>
    </row>
    <row r="104" spans="1:11" s="1" customFormat="1" ht="15" customHeight="1" x14ac:dyDescent="0.25">
      <c r="A104" t="s">
        <v>56</v>
      </c>
      <c r="B104" s="66">
        <f ca="1">IFERROR(VLOOKUP($A104,[1]!LOOKUP_MDAPs,B$2,FALSE)/$G104,"")</f>
        <v>0</v>
      </c>
      <c r="C104" s="66">
        <f ca="1">IFERROR(VLOOKUP($A104,[1]!LOOKUP_MDAPs,C$2,FALSE)/$G104,"")</f>
        <v>0</v>
      </c>
      <c r="D104" s="66">
        <f ca="1">IFERROR(VLOOKUP($A104,[1]!LOOKUP_MDAPs,D$2,FALSE)/$G104,"")</f>
        <v>0</v>
      </c>
      <c r="E104" s="66">
        <f ca="1">IFERROR(VLOOKUP($A104,[1]!LOOKUP_MDAPs,E$2,FALSE)/$G104,"")</f>
        <v>0</v>
      </c>
      <c r="F104" s="66">
        <f t="shared" ca="1" si="13"/>
        <v>1</v>
      </c>
      <c r="G104" s="4">
        <f ca="1">IFERROR(VLOOKUP($A104,[1]!LOOKUP_MDAPs,G$2,FALSE),"")</f>
        <v>948.5</v>
      </c>
      <c r="H104" s="3">
        <f ca="1">VLOOKUP($A104,[1]!LOOKUP_SARS_Unified2,H$2,FALSE)</f>
        <v>0.03</v>
      </c>
      <c r="J104" s="32">
        <f t="shared" ca="1" si="14"/>
        <v>83.613</v>
      </c>
      <c r="K104" s="26">
        <f ca="1">VLOOKUP($A104,[1]!LOOKUP_SARS_Unified2,K$1,FALSE)</f>
        <v>2787.1</v>
      </c>
    </row>
    <row r="105" spans="1:11" s="1" customFormat="1" ht="15" customHeight="1" x14ac:dyDescent="0.25">
      <c r="A105" t="s">
        <v>59</v>
      </c>
      <c r="B105" s="66">
        <f ca="1">IFERROR(VLOOKUP($A105,[1]!LOOKUP_MDAPs,B$2,FALSE)/$G105,"")</f>
        <v>0.4511631271675437</v>
      </c>
      <c r="C105" s="66">
        <f ca="1">IFERROR(VLOOKUP($A105,[1]!LOOKUP_MDAPs,C$2,FALSE)/$G105,"")</f>
        <v>4.8289590564699729E-4</v>
      </c>
      <c r="D105" s="66">
        <f ca="1">IFERROR(VLOOKUP($A105,[1]!LOOKUP_MDAPs,D$2,FALSE)/$G105,"")</f>
        <v>7.1404844548949353E-5</v>
      </c>
      <c r="E105" s="66">
        <f ca="1">IFERROR(VLOOKUP($A105,[1]!LOOKUP_MDAPs,E$2,FALSE)/$G105,"")</f>
        <v>1.4343741798230879E-2</v>
      </c>
      <c r="F105" s="66">
        <f t="shared" ca="1" si="13"/>
        <v>0.53393883028402955</v>
      </c>
      <c r="G105" s="4">
        <f ca="1">IFERROR(VLOOKUP($A105,[1]!LOOKUP_MDAPs,G$2,FALSE),"")</f>
        <v>2679.3</v>
      </c>
      <c r="H105" s="3">
        <f ca="1">VLOOKUP($A105,[1]!LOOKUP_SARS_Unified2,H$2,FALSE)</f>
        <v>-0.02</v>
      </c>
      <c r="J105" s="32">
        <f t="shared" ca="1" si="14"/>
        <v>-70.793999999999997</v>
      </c>
      <c r="K105" s="26">
        <f ca="1">VLOOKUP($A105,[1]!LOOKUP_SARS_Unified2,K$1,FALSE)</f>
        <v>3539.7</v>
      </c>
    </row>
    <row r="106" spans="1:11" s="1" customFormat="1" ht="15" customHeight="1" x14ac:dyDescent="0.25">
      <c r="A106" t="s">
        <v>43</v>
      </c>
      <c r="B106" s="66">
        <f ca="1">IFERROR(VLOOKUP($A106,[1]!LOOKUP_MDAPs,B$2,FALSE)/$G106,"")</f>
        <v>4.1734357565841984E-2</v>
      </c>
      <c r="C106" s="66">
        <f ca="1">IFERROR(VLOOKUP($A106,[1]!LOOKUP_MDAPs,C$2,FALSE)/$G106,"")</f>
        <v>0</v>
      </c>
      <c r="D106" s="66">
        <f ca="1">IFERROR(VLOOKUP($A106,[1]!LOOKUP_MDAPs,D$2,FALSE)/$G106,"")</f>
        <v>-1.3443966586858204E-3</v>
      </c>
      <c r="E106" s="66">
        <f ca="1">IFERROR(VLOOKUP($A106,[1]!LOOKUP_MDAPs,E$2,FALSE)/$G106,"")</f>
        <v>5.5026496408619311E-4</v>
      </c>
      <c r="F106" s="66">
        <f t="shared" ca="1" si="13"/>
        <v>0.95905977412875765</v>
      </c>
      <c r="G106" s="4">
        <f ca="1">IFERROR(VLOOKUP($A106,[1]!LOOKUP_MDAPs,G$2,FALSE),"")</f>
        <v>3759</v>
      </c>
      <c r="H106" s="3">
        <f ca="1">VLOOKUP($A106,[1]!LOOKUP_SARS_Unified2,H$2,FALSE)</f>
        <v>2.5000000000000001E-2</v>
      </c>
      <c r="J106" s="32">
        <f t="shared" ca="1" si="14"/>
        <v>96.992500000000007</v>
      </c>
      <c r="K106" s="26">
        <f ca="1">VLOOKUP($A106,[1]!LOOKUP_SARS_Unified2,K$1,FALSE)</f>
        <v>3879.7</v>
      </c>
    </row>
    <row r="107" spans="1:11" s="1" customFormat="1" ht="15" customHeight="1" x14ac:dyDescent="0.25">
      <c r="A107" t="s">
        <v>57</v>
      </c>
      <c r="B107" s="66">
        <f ca="1">IFERROR(VLOOKUP($A107,[1]!LOOKUP_MDAPs,B$2,FALSE)/$G107,"")</f>
        <v>0.81926222338430332</v>
      </c>
      <c r="C107" s="66">
        <f ca="1">IFERROR(VLOOKUP($A107,[1]!LOOKUP_MDAPs,C$2,FALSE)/$G107,"")</f>
        <v>0</v>
      </c>
      <c r="D107" s="66">
        <f ca="1">IFERROR(VLOOKUP($A107,[1]!LOOKUP_MDAPs,D$2,FALSE)/$G107,"")</f>
        <v>0.10021213436681591</v>
      </c>
      <c r="E107" s="66">
        <f ca="1">IFERROR(VLOOKUP($A107,[1]!LOOKUP_MDAPs,E$2,FALSE)/$G107,"")</f>
        <v>0.2435219430007603</v>
      </c>
      <c r="F107" s="66">
        <f t="shared" ca="1" si="13"/>
        <v>-0.16299630075187954</v>
      </c>
      <c r="G107" s="4">
        <f ca="1">IFERROR(VLOOKUP($A107,[1]!LOOKUP_MDAPs,G$2,FALSE),"")</f>
        <v>1183.7</v>
      </c>
      <c r="H107" s="3">
        <f ca="1">VLOOKUP($A107,[1]!LOOKUP_SARS_Unified2,H$2,FALSE)</f>
        <v>0.08</v>
      </c>
      <c r="J107" s="32">
        <f t="shared" ca="1" si="14"/>
        <v>399.75199999999995</v>
      </c>
      <c r="K107" s="26">
        <f ca="1">VLOOKUP($A107,[1]!LOOKUP_SARS_Unified2,K$1,FALSE)</f>
        <v>4996.8999999999996</v>
      </c>
    </row>
    <row r="108" spans="1:11" s="1" customFormat="1" ht="15" customHeight="1" x14ac:dyDescent="0.25">
      <c r="A108" t="s">
        <v>185</v>
      </c>
      <c r="B108" s="66">
        <f ca="1">IFERROR(VLOOKUP($A108,[1]!LOOKUP_MDAPs,B$2,FALSE)/$G108,"")</f>
        <v>4.4094406981356603E-5</v>
      </c>
      <c r="C108" s="66">
        <f ca="1">IFERROR(VLOOKUP($A108,[1]!LOOKUP_MDAPs,C$2,FALSE)/$G108,"")</f>
        <v>0</v>
      </c>
      <c r="D108" s="66">
        <f ca="1">IFERROR(VLOOKUP($A108,[1]!LOOKUP_MDAPs,D$2,FALSE)/$G108,"")</f>
        <v>0</v>
      </c>
      <c r="E108" s="66">
        <f ca="1">IFERROR(VLOOKUP($A108,[1]!LOOKUP_MDAPs,E$2,FALSE)/$G108,"")</f>
        <v>0</v>
      </c>
      <c r="F108" s="66">
        <f t="shared" ca="1" si="13"/>
        <v>0.99995590559301861</v>
      </c>
      <c r="G108" s="4">
        <f ca="1">IFERROR(VLOOKUP($A108,[1]!LOOKUP_MDAPs,G$2,FALSE),"")</f>
        <v>1260.5</v>
      </c>
      <c r="H108" s="3">
        <f ca="1">VLOOKUP($A108,[1]!LOOKUP_SARS_Unified2,H$2,FALSE)</f>
        <v>-0.183</v>
      </c>
      <c r="J108" s="32">
        <f t="shared" ca="1" si="14"/>
        <v>-3442.8155999999999</v>
      </c>
      <c r="K108" s="26">
        <f ca="1">VLOOKUP($A108,[1]!LOOKUP_SARS_Unified2,K$1,FALSE)</f>
        <v>18813.2</v>
      </c>
    </row>
    <row r="109" spans="1:11" s="1" customFormat="1" ht="12.75" x14ac:dyDescent="0.2"/>
    <row r="110" spans="1:11" s="1" customFormat="1" ht="12.75" x14ac:dyDescent="0.2"/>
    <row r="111" spans="1:11" s="1" customFormat="1" ht="12.75" x14ac:dyDescent="0.2"/>
    <row r="112" spans="1:11" s="1" customFormat="1" ht="12.75" x14ac:dyDescent="0.2">
      <c r="E112" s="102">
        <f ca="1">SUM(Funding_Cost_Other)</f>
        <v>9.5173023679184841</v>
      </c>
    </row>
    <row r="113" spans="1:35" s="1" customFormat="1" ht="12.75" x14ac:dyDescent="0.2"/>
    <row r="114" spans="1:35" s="1" customFormat="1" ht="12.75" x14ac:dyDescent="0.2">
      <c r="D114" s="19">
        <f ca="1">SUM(B5:D89)/COUNT(F5:F89)</f>
        <v>0.27661590364485972</v>
      </c>
      <c r="AI114" s="82"/>
    </row>
    <row r="115" spans="1:35" s="1" customFormat="1" ht="57" x14ac:dyDescent="0.85">
      <c r="A115" s="11"/>
    </row>
    <row r="116" spans="1:35" s="1" customFormat="1" ht="57" x14ac:dyDescent="0.2">
      <c r="A116" s="20"/>
      <c r="B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spans="1:35" x14ac:dyDescent="0.25">
      <c r="C117" s="1"/>
      <c r="D117" s="1"/>
    </row>
    <row r="118" spans="1:35" x14ac:dyDescent="0.25">
      <c r="C118" s="1" t="s">
        <v>162</v>
      </c>
      <c r="D118" s="1"/>
    </row>
    <row r="119" spans="1:35" x14ac:dyDescent="0.25">
      <c r="C119" s="1"/>
      <c r="D119" s="1"/>
    </row>
    <row r="120" spans="1:35" x14ac:dyDescent="0.25">
      <c r="C120" s="1" t="s">
        <v>161</v>
      </c>
      <c r="D120" s="1"/>
    </row>
    <row r="121" spans="1:35" x14ac:dyDescent="0.25">
      <c r="C121" s="1"/>
      <c r="D121" s="1"/>
    </row>
    <row r="122" spans="1:35" x14ac:dyDescent="0.25">
      <c r="C122" s="1" t="s">
        <v>160</v>
      </c>
      <c r="D122" s="1"/>
    </row>
    <row r="123" spans="1:35" x14ac:dyDescent="0.25">
      <c r="C123" s="1"/>
      <c r="D123" s="1"/>
    </row>
    <row r="124" spans="1:35" x14ac:dyDescent="0.25">
      <c r="C124" s="1" t="s">
        <v>159</v>
      </c>
      <c r="D124" s="1"/>
    </row>
    <row r="125" spans="1:35" x14ac:dyDescent="0.25">
      <c r="C125" s="1"/>
      <c r="D125" s="1"/>
    </row>
    <row r="126" spans="1:35" x14ac:dyDescent="0.25">
      <c r="C126" s="1" t="s">
        <v>158</v>
      </c>
      <c r="D126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V195"/>
  <sheetViews>
    <sheetView zoomScaleNormal="100" workbookViewId="0">
      <selection activeCell="A13" sqref="A13"/>
    </sheetView>
  </sheetViews>
  <sheetFormatPr defaultRowHeight="15" x14ac:dyDescent="0.25"/>
  <cols>
    <col min="2" max="2" width="10.5703125" customWidth="1"/>
    <col min="3" max="3" width="11.42578125" customWidth="1"/>
    <col min="4" max="6" width="10.5703125" customWidth="1"/>
    <col min="7" max="7" width="11.5703125" customWidth="1"/>
    <col min="20" max="20" width="10.5703125" bestFit="1" customWidth="1"/>
  </cols>
  <sheetData>
    <row r="1" spans="1:100" s="1" customFormat="1" ht="57" x14ac:dyDescent="0.85">
      <c r="A1" s="11" t="s">
        <v>168</v>
      </c>
    </row>
    <row r="2" spans="1:100" s="1" customFormat="1" ht="57" x14ac:dyDescent="0.85">
      <c r="A2" s="11"/>
    </row>
    <row r="3" spans="1:100" s="1" customFormat="1" ht="57" x14ac:dyDescent="0.2">
      <c r="A3" s="20"/>
      <c r="B3" s="95">
        <f>HLOOKUP(B4,[1]!LOOKUP_MDAPs,2,FALSE)</f>
        <v>36</v>
      </c>
      <c r="C3" s="95">
        <f>HLOOKUP(C4,[1]!LOOKUP_MDAPs,2,FALSE)</f>
        <v>38</v>
      </c>
      <c r="D3" s="95">
        <f>HLOOKUP(D4,[1]!LOOKUP_MDAPs,2,FALSE)</f>
        <v>39</v>
      </c>
      <c r="E3" s="95">
        <f>HLOOKUP(E4,[1]!LOOKUP_MDAPs,2,FALSE)</f>
        <v>37</v>
      </c>
      <c r="F3" s="95">
        <f>HLOOKUP(F4,[1]!LOOKUP_MDAPs,2,FALSE)</f>
        <v>40</v>
      </c>
      <c r="G3" s="95">
        <f>HLOOKUP(G4,[1]!LOOKUP_MDAPs,2,FALSE)</f>
        <v>42</v>
      </c>
      <c r="H3" s="99">
        <v>32</v>
      </c>
      <c r="I3" s="99">
        <f t="shared" ref="I3:N3" si="0">H3+2</f>
        <v>34</v>
      </c>
      <c r="J3" s="99">
        <f t="shared" si="0"/>
        <v>36</v>
      </c>
      <c r="K3" s="99">
        <f t="shared" si="0"/>
        <v>38</v>
      </c>
      <c r="L3" s="99">
        <f t="shared" si="0"/>
        <v>40</v>
      </c>
      <c r="M3" s="99">
        <f t="shared" si="0"/>
        <v>42</v>
      </c>
      <c r="N3" s="99">
        <f t="shared" si="0"/>
        <v>44</v>
      </c>
      <c r="O3" s="99">
        <v>46</v>
      </c>
      <c r="P3" s="91">
        <f ca="1">HLOOKUP(P4,[1]!LOOKUP_SARS_Unified2,2,FALSE)</f>
        <v>42</v>
      </c>
      <c r="Q3" s="18"/>
      <c r="R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 spans="1:100" s="1" customFormat="1" ht="76.5" x14ac:dyDescent="0.2">
      <c r="A4" s="144" t="s">
        <v>80</v>
      </c>
      <c r="B4" s="145" t="s">
        <v>162</v>
      </c>
      <c r="C4" s="145" t="s">
        <v>201</v>
      </c>
      <c r="D4" s="145" t="s">
        <v>200</v>
      </c>
      <c r="E4" s="145" t="s">
        <v>202</v>
      </c>
      <c r="F4" s="145" t="s">
        <v>203</v>
      </c>
      <c r="G4" s="145" t="s">
        <v>199</v>
      </c>
      <c r="H4" s="100" t="e">
        <f ca="1">VLOOKUP($A4,[1]!LOOKUP_SARS_2009_Change_Breakdown2,H$3,FALSE)</f>
        <v>#N/A</v>
      </c>
      <c r="I4" s="100" t="e">
        <f ca="1">VLOOKUP($A4,[1]!LOOKUP_SARS_2009_Change_Breakdown2,I$3,FALSE)</f>
        <v>#N/A</v>
      </c>
      <c r="J4" s="100" t="e">
        <f ca="1">VLOOKUP($A4,[1]!LOOKUP_SARS_2009_Change_Breakdown2,J$3,FALSE)</f>
        <v>#N/A</v>
      </c>
      <c r="K4" s="100" t="e">
        <f ca="1">VLOOKUP($A4,[1]!LOOKUP_SARS_2009_Change_Breakdown2,K$3,FALSE)</f>
        <v>#N/A</v>
      </c>
      <c r="L4" s="100" t="e">
        <f ca="1">VLOOKUP($A4,[1]!LOOKUP_SARS_2009_Change_Breakdown2,L$3,FALSE)</f>
        <v>#N/A</v>
      </c>
      <c r="M4" s="100" t="e">
        <f ca="1">VLOOKUP($A4,[1]!LOOKUP_SARS_2009_Change_Breakdown2,M$3,FALSE)</f>
        <v>#N/A</v>
      </c>
      <c r="N4" s="100" t="e">
        <f ca="1">VLOOKUP($A4,[1]!LOOKUP_SARS_2009_Change_Breakdown2,N$3,FALSE)</f>
        <v>#N/A</v>
      </c>
      <c r="O4" s="100" t="e">
        <f ca="1">VLOOKUP($A4,[1]!LOOKUP_SARS_2009_Change_Breakdown2,O$3,FALSE)</f>
        <v>#N/A</v>
      </c>
      <c r="P4" s="101" t="s">
        <v>173</v>
      </c>
      <c r="Q4" s="9" t="s">
        <v>144</v>
      </c>
      <c r="R4" s="9" t="s">
        <v>157</v>
      </c>
      <c r="Y4" s="1" t="e">
        <f ca="1">SUMPRODUCT((N$12:N$96&gt;=0)*N$12:N$96*$D$12:$D$96*$Q$12:$Q$96)</f>
        <v>#REF!</v>
      </c>
      <c r="Z4" s="19">
        <f ca="1">SUM($D$12:$D$96)</f>
        <v>3.6721405706501153</v>
      </c>
      <c r="AA4" s="1" t="e">
        <f ca="1">Y4/Z4</f>
        <v>#REF!</v>
      </c>
    </row>
    <row r="5" spans="1:100" s="1" customFormat="1" ht="51" x14ac:dyDescent="0.2">
      <c r="A5" s="17" t="s">
        <v>82</v>
      </c>
      <c r="B5" s="74" t="e">
        <f ca="1">SUMPRODUCT(B$12:B$96,$O$12:$O$96)</f>
        <v>#REF!</v>
      </c>
      <c r="C5" s="74" t="e">
        <f ca="1">SUMPRODUCT(C$12:C$96,$O$12:$O$96)</f>
        <v>#REF!</v>
      </c>
      <c r="D5" s="74" t="e">
        <f ca="1">SUMPRODUCT(D$12:D$96,$O$12:$O$96)</f>
        <v>#REF!</v>
      </c>
      <c r="E5" s="74" t="e">
        <f ca="1">SUMPRODUCT(E$12:E$96,$O$12:$O$96)</f>
        <v>#REF!</v>
      </c>
      <c r="F5" s="74" t="e">
        <f ca="1">SUMPRODUCT(F$12:F$96,$O$12:$O$96)</f>
        <v>#REF!</v>
      </c>
      <c r="G5" s="9"/>
      <c r="H5" s="13"/>
      <c r="I5" s="13"/>
      <c r="J5" s="13"/>
      <c r="K5" s="13"/>
      <c r="L5" s="13"/>
      <c r="M5" s="13"/>
      <c r="N5" s="13"/>
      <c r="O5" s="13"/>
      <c r="P5" s="32"/>
      <c r="W5" s="43" t="e">
        <f t="shared" ref="W5:AC5" ca="1" si="1">H4</f>
        <v>#N/A</v>
      </c>
      <c r="X5" s="43" t="e">
        <f t="shared" ca="1" si="1"/>
        <v>#N/A</v>
      </c>
      <c r="Y5" s="43" t="e">
        <f t="shared" ca="1" si="1"/>
        <v>#N/A</v>
      </c>
      <c r="Z5" s="43" t="e">
        <f t="shared" ca="1" si="1"/>
        <v>#N/A</v>
      </c>
      <c r="AA5" s="43" t="e">
        <f t="shared" ca="1" si="1"/>
        <v>#N/A</v>
      </c>
      <c r="AB5" s="43" t="e">
        <f t="shared" ca="1" si="1"/>
        <v>#N/A</v>
      </c>
      <c r="AC5" s="43" t="e">
        <f t="shared" ca="1" si="1"/>
        <v>#N/A</v>
      </c>
      <c r="AD5" s="22" t="e">
        <f t="shared" ref="AD5:AJ5" ca="1" si="2">"Negative "&amp;W5</f>
        <v>#N/A</v>
      </c>
      <c r="AE5" s="22" t="e">
        <f t="shared" ca="1" si="2"/>
        <v>#N/A</v>
      </c>
      <c r="AF5" s="22" t="e">
        <f t="shared" ca="1" si="2"/>
        <v>#N/A</v>
      </c>
      <c r="AG5" s="22" t="e">
        <f t="shared" ca="1" si="2"/>
        <v>#N/A</v>
      </c>
      <c r="AH5" s="22" t="e">
        <f t="shared" ca="1" si="2"/>
        <v>#N/A</v>
      </c>
      <c r="AI5" s="22" t="e">
        <f t="shared" ca="1" si="2"/>
        <v>#N/A</v>
      </c>
      <c r="AJ5" s="22" t="e">
        <f t="shared" ca="1" si="2"/>
        <v>#N/A</v>
      </c>
    </row>
    <row r="6" spans="1:100" s="1" customFormat="1" ht="25.5" x14ac:dyDescent="0.25">
      <c r="A6" s="18" t="s">
        <v>91</v>
      </c>
      <c r="B6" s="74" t="e">
        <f ca="1">SUMPRODUCT(B$12:B$96,$I$12:$I$96)</f>
        <v>#REF!</v>
      </c>
      <c r="C6" s="74" t="e">
        <f ca="1">SUMPRODUCT(C$12:C$96,$I$12:$I$96)</f>
        <v>#REF!</v>
      </c>
      <c r="D6" s="74" t="e">
        <f ca="1">SUMPRODUCT(D$12:D$96,$I$12:$I$96)</f>
        <v>#REF!</v>
      </c>
      <c r="E6" s="74" t="e">
        <f ca="1">SUMPRODUCT(E$12:E$96,$I$12:$I$96)</f>
        <v>#REF!</v>
      </c>
      <c r="F6" s="74" t="e">
        <f ca="1">SUMPRODUCT(F$12:F$96,$I$12:$I$96)</f>
        <v>#REF!</v>
      </c>
      <c r="G6" s="65"/>
      <c r="H6" s="13"/>
      <c r="I6" s="13"/>
      <c r="J6" s="13"/>
      <c r="K6" s="13"/>
      <c r="L6" s="13"/>
      <c r="M6" s="13"/>
      <c r="N6" s="13"/>
      <c r="O6" s="13"/>
      <c r="P6" s="26"/>
      <c r="U6" s="73" t="e">
        <f ca="1">SUMPRODUCT(B$12:B$96,$P$12:$P$96*$R$12:$R$96)</f>
        <v>#VALUE!</v>
      </c>
      <c r="V6" s="8" t="str">
        <f>IF(VLOOKUP($A4,[1]!LOOKUP_MDAPs,B$3,FALSE)&lt;&gt;0,VLOOKUP($A4,[1]!LOOKUP_MDAPs,B$3,FALSE),"")</f>
        <v>Fixed Price</v>
      </c>
      <c r="W6" s="13" t="e">
        <f t="shared" ref="W6:AC6" ca="1" si="3">SUMPRODUCT((H$12:H$96&gt;=0)*H$12:H$96*$B$12:$B$96*$R$12:$R$96)</f>
        <v>#N/A</v>
      </c>
      <c r="X6" s="13" t="e">
        <f t="shared" ca="1" si="3"/>
        <v>#REF!</v>
      </c>
      <c r="Y6" s="13" t="e">
        <f t="shared" ca="1" si="3"/>
        <v>#REF!</v>
      </c>
      <c r="Z6" s="13" t="e">
        <f t="shared" ca="1" si="3"/>
        <v>#REF!</v>
      </c>
      <c r="AA6" s="13" t="e">
        <f t="shared" ca="1" si="3"/>
        <v>#REF!</v>
      </c>
      <c r="AB6" s="13" t="e">
        <f t="shared" ca="1" si="3"/>
        <v>#REF!</v>
      </c>
      <c r="AC6" s="13" t="e">
        <f t="shared" ca="1" si="3"/>
        <v>#REF!</v>
      </c>
      <c r="AD6" s="13" t="e">
        <f t="shared" ref="AD6:AJ6" ca="1" si="4">SUMPRODUCT((H$12:H$96&lt;0)*H$12:H$96*$B$12:$B$96*$R$12:$R$96)</f>
        <v>#N/A</v>
      </c>
      <c r="AE6" s="13" t="e">
        <f t="shared" ca="1" si="4"/>
        <v>#REF!</v>
      </c>
      <c r="AF6" s="13" t="e">
        <f t="shared" ca="1" si="4"/>
        <v>#REF!</v>
      </c>
      <c r="AG6" s="13" t="e">
        <f t="shared" ca="1" si="4"/>
        <v>#REF!</v>
      </c>
      <c r="AH6" s="13" t="e">
        <f t="shared" ca="1" si="4"/>
        <v>#REF!</v>
      </c>
      <c r="AI6" s="13" t="e">
        <f t="shared" ca="1" si="4"/>
        <v>#REF!</v>
      </c>
      <c r="AJ6" s="13" t="e">
        <f t="shared" ca="1" si="4"/>
        <v>#REF!</v>
      </c>
    </row>
    <row r="7" spans="1:100" s="1" customFormat="1" ht="25.5" x14ac:dyDescent="0.25">
      <c r="A7" s="1" t="s">
        <v>88</v>
      </c>
      <c r="B7" s="74" t="e">
        <f ca="1">SUMPRODUCT(B$12:B$96,$J$12:$J$96)</f>
        <v>#REF!</v>
      </c>
      <c r="C7" s="74" t="e">
        <f ca="1">SUMPRODUCT(C$12:C$96,$J$12:$J$96)</f>
        <v>#REF!</v>
      </c>
      <c r="D7" s="74" t="e">
        <f ca="1">SUMPRODUCT(D$12:D$96,$J$12:$J$96)</f>
        <v>#REF!</v>
      </c>
      <c r="E7" s="74" t="e">
        <f ca="1">SUMPRODUCT(E$12:E$96,$J$12:$J$96)</f>
        <v>#REF!</v>
      </c>
      <c r="F7" s="74" t="e">
        <f ca="1">SUMPRODUCT(F$12:F$96,$J$12:$J$96)</f>
        <v>#REF!</v>
      </c>
      <c r="G7" s="65"/>
      <c r="H7" s="13"/>
      <c r="I7" s="13"/>
      <c r="J7" s="13"/>
      <c r="K7" s="13"/>
      <c r="L7" s="13"/>
      <c r="M7" s="13"/>
      <c r="N7" s="13"/>
      <c r="O7" s="13"/>
      <c r="P7" s="26"/>
      <c r="U7" s="73" t="e">
        <f ca="1">SUMPRODUCT(C$12:C$96,$P$12:$P$96*$R$12:$R$96)</f>
        <v>#VALUE!</v>
      </c>
      <c r="V7" s="8" t="str">
        <f>IF(VLOOKUP($A4,[1]!LOOKUP_MDAPs,C$3,FALSE)&lt;&gt;0,VLOOKUP($A4,[1]!LOOKUP_MDAPs,C$3,FALSE),"")</f>
        <v>Combination</v>
      </c>
      <c r="W7" s="13" t="e">
        <f t="shared" ref="W7:AC7" ca="1" si="5">SUMPRODUCT((H$12:H$96&gt;=0)*H$12:H$96*$C$12:$C$96*$R$12:$R$96)</f>
        <v>#N/A</v>
      </c>
      <c r="X7" s="13" t="e">
        <f t="shared" ca="1" si="5"/>
        <v>#REF!</v>
      </c>
      <c r="Y7" s="13" t="e">
        <f t="shared" ca="1" si="5"/>
        <v>#REF!</v>
      </c>
      <c r="Z7" s="13" t="e">
        <f t="shared" ca="1" si="5"/>
        <v>#REF!</v>
      </c>
      <c r="AA7" s="13" t="e">
        <f t="shared" ca="1" si="5"/>
        <v>#REF!</v>
      </c>
      <c r="AB7" s="13" t="e">
        <f t="shared" ca="1" si="5"/>
        <v>#REF!</v>
      </c>
      <c r="AC7" s="13" t="e">
        <f t="shared" ca="1" si="5"/>
        <v>#REF!</v>
      </c>
      <c r="AD7" s="13" t="e">
        <f t="shared" ref="AD7:AJ7" ca="1" si="6">SUMPRODUCT((H$12:H$96&lt;0)*H$12:H$96*$C$12:$C$96*$R$12:$R$96)</f>
        <v>#N/A</v>
      </c>
      <c r="AE7" s="13" t="e">
        <f t="shared" ca="1" si="6"/>
        <v>#REF!</v>
      </c>
      <c r="AF7" s="13" t="e">
        <f t="shared" ca="1" si="6"/>
        <v>#REF!</v>
      </c>
      <c r="AG7" s="13" t="e">
        <f t="shared" ca="1" si="6"/>
        <v>#REF!</v>
      </c>
      <c r="AH7" s="13" t="e">
        <f t="shared" ca="1" si="6"/>
        <v>#REF!</v>
      </c>
      <c r="AI7" s="13" t="e">
        <f t="shared" ca="1" si="6"/>
        <v>#REF!</v>
      </c>
      <c r="AJ7" s="13" t="e">
        <f t="shared" ca="1" si="6"/>
        <v>#REF!</v>
      </c>
      <c r="CU7" s="18">
        <v>17</v>
      </c>
    </row>
    <row r="8" spans="1:100" s="1" customFormat="1" ht="38.25" x14ac:dyDescent="0.25">
      <c r="A8" s="1" t="s">
        <v>87</v>
      </c>
      <c r="B8" s="74" t="e">
        <f ca="1">SUMPRODUCT(B$12:B$96,$K$12:$K$96)</f>
        <v>#REF!</v>
      </c>
      <c r="C8" s="74" t="e">
        <f ca="1">SUMPRODUCT(C$12:C$96,$K$12:$K$96)</f>
        <v>#REF!</v>
      </c>
      <c r="D8" s="74" t="e">
        <f ca="1">SUMPRODUCT(D$12:D$96,$K$12:$K$96)</f>
        <v>#REF!</v>
      </c>
      <c r="E8" s="74" t="e">
        <f ca="1">SUMPRODUCT(E$12:E$96,$K$12:$K$96)</f>
        <v>#REF!</v>
      </c>
      <c r="F8" s="74" t="e">
        <f ca="1">SUMPRODUCT(F$12:F$96,$K$12:$K$96)</f>
        <v>#REF!</v>
      </c>
      <c r="G8" s="65"/>
      <c r="H8" s="13"/>
      <c r="I8" s="13"/>
      <c r="J8" s="13"/>
      <c r="K8" s="13"/>
      <c r="L8" s="13"/>
      <c r="M8" s="13"/>
      <c r="N8" s="13"/>
      <c r="O8" s="13"/>
      <c r="P8" s="26"/>
      <c r="U8" s="73" t="e">
        <f ca="1">SUMPRODUCT(D$12:D$96,$P$12:$P$96*$R$12:$R$96)</f>
        <v>#VALUE!</v>
      </c>
      <c r="V8" s="8" t="str">
        <f>IF(VLOOKUP($A4,[1]!LOOKUP_MDAPs,D$3,FALSE)&lt;&gt;0,VLOOKUP($A4,[1]!LOOKUP_MDAPs,D$3,FALSE),"")</f>
        <v>Cost Plus Award/Incentive</v>
      </c>
      <c r="W8" s="13" t="e">
        <f t="shared" ref="W8:AC8" ca="1" si="7">SUMPRODUCT((H$12:H$96&gt;=0)*H$12:H$96*$D$12:$D$96*$R$12:$R$96)</f>
        <v>#N/A</v>
      </c>
      <c r="X8" s="13" t="e">
        <f t="shared" ca="1" si="7"/>
        <v>#REF!</v>
      </c>
      <c r="Y8" s="13" t="e">
        <f t="shared" ca="1" si="7"/>
        <v>#REF!</v>
      </c>
      <c r="Z8" s="13" t="e">
        <f t="shared" ca="1" si="7"/>
        <v>#REF!</v>
      </c>
      <c r="AA8" s="13" t="e">
        <f t="shared" ca="1" si="7"/>
        <v>#REF!</v>
      </c>
      <c r="AB8" s="13" t="e">
        <f t="shared" ca="1" si="7"/>
        <v>#REF!</v>
      </c>
      <c r="AC8" s="13" t="e">
        <f t="shared" ca="1" si="7"/>
        <v>#REF!</v>
      </c>
      <c r="AD8" s="13" t="e">
        <f t="shared" ref="AD8:AJ8" ca="1" si="8">SUMPRODUCT((H$12:H$96&lt;0)*H$12:H$96*$D$12:$D$96*$R$12:$R$96)</f>
        <v>#N/A</v>
      </c>
      <c r="AE8" s="13" t="e">
        <f t="shared" ca="1" si="8"/>
        <v>#REF!</v>
      </c>
      <c r="AF8" s="13" t="e">
        <f t="shared" ca="1" si="8"/>
        <v>#REF!</v>
      </c>
      <c r="AG8" s="13" t="e">
        <f t="shared" ca="1" si="8"/>
        <v>#REF!</v>
      </c>
      <c r="AH8" s="13" t="e">
        <f t="shared" ca="1" si="8"/>
        <v>#REF!</v>
      </c>
      <c r="AI8" s="13" t="e">
        <f t="shared" ca="1" si="8"/>
        <v>#REF!</v>
      </c>
      <c r="AJ8" s="13" t="e">
        <f t="shared" ca="1" si="8"/>
        <v>#REF!</v>
      </c>
      <c r="CU8" s="18"/>
    </row>
    <row r="9" spans="1:100" s="1" customFormat="1" ht="89.25" x14ac:dyDescent="0.25">
      <c r="A9" s="1" t="s">
        <v>86</v>
      </c>
      <c r="B9" s="74" t="e">
        <f ca="1">SUMPRODUCT(B$12:B$96,$L$12:$L$96)</f>
        <v>#REF!</v>
      </c>
      <c r="C9" s="74" t="e">
        <f ca="1">SUMPRODUCT(C$12:C$96,$L$12:$L$96)</f>
        <v>#REF!</v>
      </c>
      <c r="D9" s="74" t="e">
        <f ca="1">SUMPRODUCT(D$12:D$96,$L$12:$L$96)</f>
        <v>#REF!</v>
      </c>
      <c r="E9" s="74" t="e">
        <f ca="1">SUMPRODUCT(E$12:E$96,$L$12:$L$96)</f>
        <v>#REF!</v>
      </c>
      <c r="F9" s="74" t="e">
        <f ca="1">SUMPRODUCT(F$12:F$96,$L$12:$L$96)</f>
        <v>#REF!</v>
      </c>
      <c r="G9" s="65"/>
      <c r="H9" s="13"/>
      <c r="I9" s="13"/>
      <c r="J9" s="13"/>
      <c r="K9" s="13"/>
      <c r="L9" s="13"/>
      <c r="M9" s="13"/>
      <c r="N9" s="13"/>
      <c r="O9" s="13"/>
      <c r="P9" s="26"/>
      <c r="U9" s="73" t="e">
        <f ca="1">SUMPRODUCT(E$12:E$96,$P$12:$P$96*$R$12:$R$96)</f>
        <v>#VALUE!</v>
      </c>
      <c r="V9" s="8" t="str">
        <f>IF(VLOOKUP($A4,[1]!LOOKUP_MDAPs,E$3,FALSE)&lt;&gt;0,VLOOKUP($A4,[1]!LOOKUP_MDAPs,E$3,FALSE),"")</f>
        <v>Cost (All Other; Including Time and Materials and Labor)</v>
      </c>
      <c r="W9" s="13" t="e">
        <f t="shared" ref="W9:AC9" ca="1" si="9">SUMPRODUCT((H$12:H$96&gt;=0)*H$12:H$96*$E$12:$E$96*$R$12:$R$96)</f>
        <v>#N/A</v>
      </c>
      <c r="X9" s="13" t="e">
        <f t="shared" ca="1" si="9"/>
        <v>#REF!</v>
      </c>
      <c r="Y9" s="13" t="e">
        <f t="shared" ca="1" si="9"/>
        <v>#REF!</v>
      </c>
      <c r="Z9" s="13" t="e">
        <f t="shared" ca="1" si="9"/>
        <v>#REF!</v>
      </c>
      <c r="AA9" s="13" t="e">
        <f t="shared" ca="1" si="9"/>
        <v>#REF!</v>
      </c>
      <c r="AB9" s="13" t="e">
        <f t="shared" ca="1" si="9"/>
        <v>#REF!</v>
      </c>
      <c r="AC9" s="13" t="e">
        <f t="shared" ca="1" si="9"/>
        <v>#REF!</v>
      </c>
      <c r="AD9" s="13" t="e">
        <f t="shared" ref="AD9:AJ9" ca="1" si="10">SUMPRODUCT((H$12:H$96&lt;0)*H$12:H$96*$E$12:$E$96*$R$12:$R$96)</f>
        <v>#N/A</v>
      </c>
      <c r="AE9" s="13" t="e">
        <f t="shared" ca="1" si="10"/>
        <v>#REF!</v>
      </c>
      <c r="AF9" s="13" t="e">
        <f t="shared" ca="1" si="10"/>
        <v>#REF!</v>
      </c>
      <c r="AG9" s="13" t="e">
        <f t="shared" ca="1" si="10"/>
        <v>#REF!</v>
      </c>
      <c r="AH9" s="13" t="e">
        <f t="shared" ca="1" si="10"/>
        <v>#REF!</v>
      </c>
      <c r="AI9" s="13" t="e">
        <f t="shared" ca="1" si="10"/>
        <v>#REF!</v>
      </c>
      <c r="AJ9" s="13" t="e">
        <f t="shared" ca="1" si="10"/>
        <v>#REF!</v>
      </c>
      <c r="CU9" s="18"/>
    </row>
    <row r="10" spans="1:100" s="1" customFormat="1" ht="25.5" x14ac:dyDescent="0.25">
      <c r="A10" s="1" t="s">
        <v>85</v>
      </c>
      <c r="B10" s="74" t="e">
        <f ca="1">SUMPRODUCT(B$12:B$96,$M$12:$M$96)</f>
        <v>#REF!</v>
      </c>
      <c r="C10" s="74" t="e">
        <f ca="1">SUMPRODUCT(C$12:C$96,$M$12:$M$96)</f>
        <v>#REF!</v>
      </c>
      <c r="D10" s="74" t="e">
        <f ca="1">SUMPRODUCT(D$12:D$96,$M$12:$M$96)</f>
        <v>#REF!</v>
      </c>
      <c r="E10" s="74" t="e">
        <f ca="1">SUMPRODUCT(E$12:E$96,$M$12:$M$96)</f>
        <v>#REF!</v>
      </c>
      <c r="F10" s="74" t="e">
        <f ca="1">SUMPRODUCT(F$12:F$96,$M$12:$M$96)</f>
        <v>#REF!</v>
      </c>
      <c r="G10" s="65"/>
      <c r="H10" s="13"/>
      <c r="I10" s="13"/>
      <c r="J10" s="13"/>
      <c r="K10" s="13"/>
      <c r="L10" s="13"/>
      <c r="M10" s="13"/>
      <c r="N10" s="13"/>
      <c r="O10" s="13"/>
      <c r="P10" s="26"/>
      <c r="U10" s="73" t="e">
        <f ca="1">SUMPRODUCT(F$12:F$96,$P$12:$P$96*$R$12:$R$96)</f>
        <v>#VALUE!</v>
      </c>
      <c r="V10" s="8" t="str">
        <f>IF(VLOOKUP($A4,[1]!LOOKUP_MDAPs,F$3,FALSE)&lt;&gt;0,VLOOKUP($A4,[1]!LOOKUP_MDAPs,F$3,FALSE),"")</f>
        <v>Unclear Type</v>
      </c>
      <c r="W10" s="13" t="e">
        <f t="shared" ref="W10:AC10" ca="1" si="11">SUMPRODUCT((H$12:H$96&gt;=0)*H$12:H$96*$F$12:$F$96*$R$12:$R$96)</f>
        <v>#N/A</v>
      </c>
      <c r="X10" s="13" t="e">
        <f t="shared" ca="1" si="11"/>
        <v>#REF!</v>
      </c>
      <c r="Y10" s="13" t="e">
        <f t="shared" ca="1" si="11"/>
        <v>#REF!</v>
      </c>
      <c r="Z10" s="13" t="e">
        <f t="shared" ca="1" si="11"/>
        <v>#REF!</v>
      </c>
      <c r="AA10" s="13" t="e">
        <f t="shared" ca="1" si="11"/>
        <v>#REF!</v>
      </c>
      <c r="AB10" s="13" t="e">
        <f t="shared" ca="1" si="11"/>
        <v>#REF!</v>
      </c>
      <c r="AC10" s="13" t="e">
        <f t="shared" ca="1" si="11"/>
        <v>#REF!</v>
      </c>
      <c r="AD10" s="13" t="e">
        <f t="shared" ref="AD10:AJ10" ca="1" si="12">SUMPRODUCT((H$12:H$96&lt;0)*H$12:H$96*$F$12:$F$96*$R$12:$R$96)</f>
        <v>#N/A</v>
      </c>
      <c r="AE10" s="13" t="e">
        <f t="shared" ca="1" si="12"/>
        <v>#REF!</v>
      </c>
      <c r="AF10" s="13" t="e">
        <f t="shared" ca="1" si="12"/>
        <v>#REF!</v>
      </c>
      <c r="AG10" s="13" t="e">
        <f t="shared" ca="1" si="12"/>
        <v>#REF!</v>
      </c>
      <c r="AH10" s="13" t="e">
        <f t="shared" ca="1" si="12"/>
        <v>#REF!</v>
      </c>
      <c r="AI10" s="13" t="e">
        <f t="shared" ca="1" si="12"/>
        <v>#REF!</v>
      </c>
      <c r="AJ10" s="13" t="e">
        <f t="shared" ca="1" si="12"/>
        <v>#REF!</v>
      </c>
      <c r="CU10" s="2" t="e">
        <f>VLOOKUP($A10,[1]!LOOKUP_SARS_2009,CU7,FALSE)</f>
        <v>#NAME?</v>
      </c>
    </row>
    <row r="11" spans="1:100" s="1" customFormat="1" x14ac:dyDescent="0.2">
      <c r="A11" s="1" t="s">
        <v>84</v>
      </c>
      <c r="B11" s="74" t="e">
        <f ca="1">SUMPRODUCT(B$12:B$96,$N$12:$N$96)</f>
        <v>#REF!</v>
      </c>
      <c r="C11" s="74" t="e">
        <f ca="1">SUMPRODUCT(C$12:C$96,$N$12:$N$96)</f>
        <v>#REF!</v>
      </c>
      <c r="D11" s="74" t="e">
        <f ca="1">SUMPRODUCT(D$12:D$96,$N$12:$N$96)</f>
        <v>#REF!</v>
      </c>
      <c r="E11" s="74" t="e">
        <f ca="1">SUMPRODUCT(E$12:E$96,$N$12:$N$96)</f>
        <v>#REF!</v>
      </c>
      <c r="F11" s="74" t="e">
        <f ca="1">SUMPRODUCT(F$12:F$96,$N$12:$N$96)</f>
        <v>#REF!</v>
      </c>
      <c r="G11" s="65"/>
      <c r="H11" s="13"/>
      <c r="I11" s="13"/>
      <c r="J11" s="13"/>
      <c r="K11" s="13"/>
      <c r="L11" s="13"/>
      <c r="M11" s="13"/>
      <c r="N11" s="13"/>
      <c r="O11" s="13"/>
      <c r="P11" s="26"/>
      <c r="V11" s="1" t="str">
        <f>V6&amp;" Unweighted"</f>
        <v>Fixed Price Unweighted</v>
      </c>
      <c r="W11" s="50" t="e">
        <f t="shared" ref="W11:AC11" ca="1" si="13">SUMPRODUCT((H$12:H$96&gt;=0)*H$12:H$96*$B$12:$B$96*$Q$12:$Q$96*$R$12:$R$96)/SUM($B$12:$B$96)</f>
        <v>#N/A</v>
      </c>
      <c r="X11" s="50" t="e">
        <f t="shared" ca="1" si="13"/>
        <v>#REF!</v>
      </c>
      <c r="Y11" s="50" t="e">
        <f t="shared" ca="1" si="13"/>
        <v>#REF!</v>
      </c>
      <c r="Z11" s="50" t="e">
        <f t="shared" ca="1" si="13"/>
        <v>#REF!</v>
      </c>
      <c r="AA11" s="50" t="e">
        <f t="shared" ca="1" si="13"/>
        <v>#REF!</v>
      </c>
      <c r="AB11" s="50" t="e">
        <f t="shared" ca="1" si="13"/>
        <v>#REF!</v>
      </c>
      <c r="AC11" s="50" t="e">
        <f t="shared" ca="1" si="13"/>
        <v>#REF!</v>
      </c>
      <c r="AD11" s="50" t="e">
        <f t="shared" ref="AD11:AJ11" ca="1" si="14">SUMPRODUCT((H$12:H$96&lt;0)*H$12:H$96*$B$12:$B$96*$Q$12:$Q$96*$R$12:$R$96)/SUM($B$12:$B$96)</f>
        <v>#N/A</v>
      </c>
      <c r="AE11" s="50" t="e">
        <f t="shared" ca="1" si="14"/>
        <v>#REF!</v>
      </c>
      <c r="AF11" s="50" t="e">
        <f t="shared" ca="1" si="14"/>
        <v>#REF!</v>
      </c>
      <c r="AG11" s="50" t="e">
        <f t="shared" ca="1" si="14"/>
        <v>#REF!</v>
      </c>
      <c r="AH11" s="50" t="e">
        <f t="shared" ca="1" si="14"/>
        <v>#REF!</v>
      </c>
      <c r="AI11" s="50" t="e">
        <f t="shared" ca="1" si="14"/>
        <v>#REF!</v>
      </c>
      <c r="AJ11" s="50" t="e">
        <f t="shared" ca="1" si="14"/>
        <v>#REF!</v>
      </c>
      <c r="CU11" s="3"/>
    </row>
    <row r="12" spans="1:100" s="1" customFormat="1" x14ac:dyDescent="0.25">
      <c r="A12" t="s">
        <v>0</v>
      </c>
      <c r="B12" s="66">
        <f ca="1">IFERROR(VLOOKUP($A12,[1]!LOOKUP_MDAPs,B$3,FALSE)/$G12,"")</f>
        <v>0.31722061181125155</v>
      </c>
      <c r="C12" s="66">
        <f ca="1">IFERROR(VLOOKUP($A12,[1]!LOOKUP_MDAPs,C$3,FALSE)/$G12,"")</f>
        <v>0</v>
      </c>
      <c r="D12" s="66">
        <f ca="1">IFERROR(VLOOKUP($A12,[1]!LOOKUP_MDAPs,D$3,FALSE)/$G12,"")</f>
        <v>1.8896178712727971E-3</v>
      </c>
      <c r="E12" s="66">
        <f ca="1">IFERROR(VLOOKUP($A12,[1]!LOOKUP_MDAPs,E$3,FALSE)/$G12,"")</f>
        <v>1.604180826015632E-3</v>
      </c>
      <c r="F12" s="66">
        <f ca="1">IFERROR(VLOOKUP($A12,[1]!LOOKUP_MDAPs,F$3,FALSE)/$G12,"")</f>
        <v>2.9520117919521372E-3</v>
      </c>
      <c r="G12" s="65">
        <f ca="1">IFERROR(VLOOKUP($A12,[1]!LOOKUP_MDAPs,G$3,FALSE),"")</f>
        <v>1036.3000000000002</v>
      </c>
      <c r="H12" s="64">
        <f ca="1">VLOOKUP($A12,[1]!LOOKUP_SARS_2009_Change_Breakdown2,H$3,FALSE)+0</f>
        <v>3592.1</v>
      </c>
      <c r="I12" s="64" t="e">
        <f ca="1">VLOOKUP($A12,[1]!LOOKUP_SARS_2009_Change_Breakdown2,I$3,FALSE)+0</f>
        <v>#REF!</v>
      </c>
      <c r="J12" s="64" t="e">
        <f ca="1">VLOOKUP($A12,[1]!LOOKUP_SARS_2009_Change_Breakdown2,J$3,FALSE)+0</f>
        <v>#REF!</v>
      </c>
      <c r="K12" s="64" t="e">
        <f ca="1">VLOOKUP($A12,[1]!LOOKUP_SARS_2009_Change_Breakdown2,K$3,FALSE)+0</f>
        <v>#REF!</v>
      </c>
      <c r="L12" s="64" t="e">
        <f ca="1">VLOOKUP($A12,[1]!LOOKUP_SARS_2009_Change_Breakdown2,L$3,FALSE)+0</f>
        <v>#REF!</v>
      </c>
      <c r="M12" s="64" t="e">
        <f ca="1">VLOOKUP($A12,[1]!LOOKUP_SARS_2009_Change_Breakdown2,M$3,FALSE)+0</f>
        <v>#REF!</v>
      </c>
      <c r="N12" s="64" t="e">
        <f ca="1">VLOOKUP($A12,[1]!LOOKUP_SARS_2009_Change_Breakdown2,N$3,FALSE)+0</f>
        <v>#REF!</v>
      </c>
      <c r="O12" s="64" t="e">
        <f ca="1">VLOOKUP($A12,[1]!LOOKUP_SARS_2009_Change_Breakdown2,O$3,FALSE)+0</f>
        <v>#REF!</v>
      </c>
      <c r="P12" s="26">
        <f ca="1">VLOOKUP($A12,[1]!LOOKUP_SARS_Unified2,P$3,FALSE)</f>
        <v>8093.9</v>
      </c>
      <c r="Q12" s="1">
        <f ca="1">1/P12</f>
        <v>1.2354983382547352E-4</v>
      </c>
      <c r="R12" s="1">
        <v>1</v>
      </c>
      <c r="S12" s="37" t="e">
        <f t="shared" ref="S12:S43" ca="1" si="15">SUM(O12)*Q12</f>
        <v>#REF!</v>
      </c>
      <c r="T12" s="73">
        <f t="shared" ref="T12:T43" ca="1" si="16">P12*B12</f>
        <v>2567.551909939089</v>
      </c>
      <c r="V12" s="1" t="str">
        <f>V7&amp;" Unweighted"</f>
        <v>Combination Unweighted</v>
      </c>
      <c r="W12" s="50" t="e">
        <f t="shared" ref="W12:AC12" ca="1" si="17">SUMPRODUCT((H$12:H$96&gt;=0)*H$12:H$96*$B$12:$B$96*$Q$12:$Q$96*$R$12:$R$96)/SUM($C$12:$C$96)</f>
        <v>#N/A</v>
      </c>
      <c r="X12" s="50" t="e">
        <f t="shared" ca="1" si="17"/>
        <v>#REF!</v>
      </c>
      <c r="Y12" s="50" t="e">
        <f t="shared" ca="1" si="17"/>
        <v>#REF!</v>
      </c>
      <c r="Z12" s="50" t="e">
        <f t="shared" ca="1" si="17"/>
        <v>#REF!</v>
      </c>
      <c r="AA12" s="50" t="e">
        <f t="shared" ca="1" si="17"/>
        <v>#REF!</v>
      </c>
      <c r="AB12" s="50" t="e">
        <f t="shared" ca="1" si="17"/>
        <v>#REF!</v>
      </c>
      <c r="AC12" s="50" t="e">
        <f t="shared" ca="1" si="17"/>
        <v>#REF!</v>
      </c>
      <c r="AD12" s="50" t="e">
        <f t="shared" ref="AD12:AJ12" ca="1" si="18">SUMPRODUCT((H$12:H$96&lt;0)*H$12:H$96*$B$12:$B$96*$Q$12:$Q$96*$R$12:$R$96)/SUM($C$12:$C$96)</f>
        <v>#N/A</v>
      </c>
      <c r="AE12" s="50" t="e">
        <f t="shared" ca="1" si="18"/>
        <v>#REF!</v>
      </c>
      <c r="AF12" s="50" t="e">
        <f t="shared" ca="1" si="18"/>
        <v>#REF!</v>
      </c>
      <c r="AG12" s="50" t="e">
        <f t="shared" ca="1" si="18"/>
        <v>#REF!</v>
      </c>
      <c r="AH12" s="50" t="e">
        <f t="shared" ca="1" si="18"/>
        <v>#REF!</v>
      </c>
      <c r="AI12" s="50" t="e">
        <f t="shared" ca="1" si="18"/>
        <v>#REF!</v>
      </c>
      <c r="AJ12" s="50" t="e">
        <f t="shared" ca="1" si="18"/>
        <v>#REF!</v>
      </c>
      <c r="AU12" s="71"/>
      <c r="CL12" s="37"/>
      <c r="CM12" s="37"/>
      <c r="CN12" s="37"/>
      <c r="CO12" s="37"/>
      <c r="CP12" s="37"/>
      <c r="CQ12" s="37"/>
      <c r="CR12" s="37"/>
      <c r="CS12" s="37"/>
      <c r="CT12" s="63"/>
      <c r="CU12" s="62"/>
      <c r="CV12" s="19"/>
    </row>
    <row r="13" spans="1:100" s="1" customFormat="1" x14ac:dyDescent="0.25">
      <c r="A13" s="92" t="s">
        <v>212</v>
      </c>
      <c r="B13" s="66">
        <f ca="1">IFERROR(VLOOKUP($A13,[1]!LOOKUP_MDAPs,B$3,FALSE)/$G13,"")</f>
        <v>0.39018318645311384</v>
      </c>
      <c r="C13" s="66">
        <f ca="1">IFERROR(VLOOKUP($A13,[1]!LOOKUP_MDAPs,C$3,FALSE)/$G13,"")</f>
        <v>0</v>
      </c>
      <c r="D13" s="66">
        <f ca="1">IFERROR(VLOOKUP($A13,[1]!LOOKUP_MDAPs,D$3,FALSE)/$G13,"")</f>
        <v>0.60629932702686951</v>
      </c>
      <c r="E13" s="66">
        <f ca="1">IFERROR(VLOOKUP($A13,[1]!LOOKUP_MDAPs,E$3,FALSE)/$G13,"")</f>
        <v>0.65155705462529001</v>
      </c>
      <c r="F13" s="66">
        <f ca="1">IFERROR(VLOOKUP($A13,[1]!LOOKUP_MDAPs,F$3,FALSE)/$G13,"")</f>
        <v>8.2341825543518245E-3</v>
      </c>
      <c r="G13" s="65">
        <f ca="1">IFERROR(VLOOKUP($A13,[1]!LOOKUP_MDAPs,G$3,FALSE),"")</f>
        <v>515.77809599999989</v>
      </c>
      <c r="H13" s="64" t="e">
        <f ca="1">VLOOKUP($A13,[1]!LOOKUP_SARS_2009_Change_Breakdown2,H$3,FALSE)+0</f>
        <v>#N/A</v>
      </c>
      <c r="I13" s="64" t="e">
        <f ca="1">VLOOKUP($A13,[1]!LOOKUP_SARS_2009_Change_Breakdown2,I$3,FALSE)+0</f>
        <v>#N/A</v>
      </c>
      <c r="J13" s="64" t="e">
        <f ca="1">VLOOKUP($A13,[1]!LOOKUP_SARS_2009_Change_Breakdown2,J$3,FALSE)+0</f>
        <v>#N/A</v>
      </c>
      <c r="K13" s="64" t="e">
        <f ca="1">VLOOKUP($A13,[1]!LOOKUP_SARS_2009_Change_Breakdown2,K$3,FALSE)+0</f>
        <v>#N/A</v>
      </c>
      <c r="L13" s="64" t="e">
        <f ca="1">VLOOKUP($A13,[1]!LOOKUP_SARS_2009_Change_Breakdown2,L$3,FALSE)+0</f>
        <v>#N/A</v>
      </c>
      <c r="M13" s="64" t="e">
        <f ca="1">VLOOKUP($A13,[1]!LOOKUP_SARS_2009_Change_Breakdown2,M$3,FALSE)+0</f>
        <v>#N/A</v>
      </c>
      <c r="N13" s="64" t="e">
        <f ca="1">VLOOKUP($A13,[1]!LOOKUP_SARS_2009_Change_Breakdown2,N$3,FALSE)+0</f>
        <v>#N/A</v>
      </c>
      <c r="O13" s="64" t="e">
        <f ca="1">VLOOKUP($A13,[1]!LOOKUP_SARS_2009_Change_Breakdown2,O$3,FALSE)+0</f>
        <v>#N/A</v>
      </c>
      <c r="P13" s="26">
        <f ca="1">VLOOKUP($A13,[1]!LOOKUP_SARS_Unified2,P$3,FALSE)</f>
        <v>4546</v>
      </c>
      <c r="Q13" s="1">
        <f t="shared" ref="Q13:Q76" ca="1" si="19">1/P13</f>
        <v>2.199736031676199E-4</v>
      </c>
      <c r="R13" s="1">
        <v>1</v>
      </c>
      <c r="S13" s="37" t="e">
        <f t="shared" ca="1" si="15"/>
        <v>#N/A</v>
      </c>
      <c r="T13" s="73">
        <f t="shared" ca="1" si="16"/>
        <v>1773.7727656158554</v>
      </c>
      <c r="V13" s="1" t="str">
        <f>V8&amp;" Unweighted"</f>
        <v>Cost Plus Award/Incentive Unweighted</v>
      </c>
      <c r="W13" s="50" t="e">
        <f t="shared" ref="W13:AC13" ca="1" si="20">SUMPRODUCT((H$12:H$96&gt;=0)*H$12:H$96*$D$12:$D$96*$Q$12:$Q$96*$R$12:$R$96)/SUM($D$12:$D$96)</f>
        <v>#N/A</v>
      </c>
      <c r="X13" s="50" t="e">
        <f t="shared" ca="1" si="20"/>
        <v>#REF!</v>
      </c>
      <c r="Y13" s="50" t="e">
        <f t="shared" ca="1" si="20"/>
        <v>#REF!</v>
      </c>
      <c r="Z13" s="50" t="e">
        <f t="shared" ca="1" si="20"/>
        <v>#REF!</v>
      </c>
      <c r="AA13" s="50" t="e">
        <f t="shared" ca="1" si="20"/>
        <v>#REF!</v>
      </c>
      <c r="AB13" s="50" t="e">
        <f t="shared" ca="1" si="20"/>
        <v>#REF!</v>
      </c>
      <c r="AC13" s="50" t="e">
        <f t="shared" ca="1" si="20"/>
        <v>#REF!</v>
      </c>
      <c r="AD13" s="50" t="e">
        <f t="shared" ref="AD13:AJ13" ca="1" si="21">SUMPRODUCT((H$12:H$96&lt;0)*H$12:H$96*$D$12:$D$96*$Q$12:$Q$96*$R$12:$R$96)/SUM($D$12:$D$96)</f>
        <v>#N/A</v>
      </c>
      <c r="AE13" s="50" t="e">
        <f t="shared" ca="1" si="21"/>
        <v>#REF!</v>
      </c>
      <c r="AF13" s="50" t="e">
        <f t="shared" ca="1" si="21"/>
        <v>#REF!</v>
      </c>
      <c r="AG13" s="50" t="e">
        <f t="shared" ca="1" si="21"/>
        <v>#REF!</v>
      </c>
      <c r="AH13" s="50" t="e">
        <f t="shared" ca="1" si="21"/>
        <v>#REF!</v>
      </c>
      <c r="AI13" s="50" t="e">
        <f t="shared" ca="1" si="21"/>
        <v>#REF!</v>
      </c>
      <c r="AJ13" s="50" t="e">
        <f t="shared" ca="1" si="21"/>
        <v>#REF!</v>
      </c>
      <c r="AK13" s="50"/>
      <c r="AL13" s="50"/>
      <c r="AM13" s="50"/>
      <c r="AN13" s="50"/>
      <c r="AU13" s="71"/>
      <c r="CL13" s="37"/>
      <c r="CM13" s="37"/>
      <c r="CN13" s="37"/>
      <c r="CO13" s="37"/>
      <c r="CP13" s="37"/>
      <c r="CQ13" s="37"/>
      <c r="CR13" s="37"/>
      <c r="CS13" s="37"/>
      <c r="CT13" s="63"/>
      <c r="CU13" s="62"/>
      <c r="CV13" s="19"/>
    </row>
    <row r="14" spans="1:100" s="1" customFormat="1" x14ac:dyDescent="0.25">
      <c r="A14" s="92" t="s">
        <v>25</v>
      </c>
      <c r="B14" s="66">
        <f ca="1">IFERROR(VLOOKUP($A14,[1]!LOOKUP_MDAPs,B$3,FALSE)/$G14,"")</f>
        <v>3.2227066464779318E-2</v>
      </c>
      <c r="C14" s="66">
        <f ca="1">IFERROR(VLOOKUP($A14,[1]!LOOKUP_MDAPs,C$3,FALSE)/$G14,"")</f>
        <v>0</v>
      </c>
      <c r="D14" s="66">
        <f ca="1">IFERROR(VLOOKUP($A14,[1]!LOOKUP_MDAPs,D$3,FALSE)/$G14,"")</f>
        <v>5.3230693000413665E-3</v>
      </c>
      <c r="E14" s="66">
        <f ca="1">IFERROR(VLOOKUP($A14,[1]!LOOKUP_MDAPs,E$3,FALSE)/$G14,"")</f>
        <v>1.3242889856486734E-3</v>
      </c>
      <c r="F14" s="66">
        <f ca="1">IFERROR(VLOOKUP($A14,[1]!LOOKUP_MDAPs,F$3,FALSE)/$G14,"")</f>
        <v>0</v>
      </c>
      <c r="G14" s="65">
        <f ca="1">IFERROR(VLOOKUP($A14,[1]!LOOKUP_MDAPs,G$3,FALSE),"")</f>
        <v>9427.7000000000007</v>
      </c>
      <c r="H14" s="64">
        <f ca="1">VLOOKUP($A14,[1]!LOOKUP_SARS_2009_Change_Breakdown2,H$3,FALSE)+0</f>
        <v>6363.2</v>
      </c>
      <c r="I14" s="64" t="e">
        <f ca="1">VLOOKUP($A14,[1]!LOOKUP_SARS_2009_Change_Breakdown2,I$3,FALSE)+0</f>
        <v>#REF!</v>
      </c>
      <c r="J14" s="64" t="e">
        <f ca="1">VLOOKUP($A14,[1]!LOOKUP_SARS_2009_Change_Breakdown2,J$3,FALSE)+0</f>
        <v>#REF!</v>
      </c>
      <c r="K14" s="64" t="e">
        <f ca="1">VLOOKUP($A14,[1]!LOOKUP_SARS_2009_Change_Breakdown2,K$3,FALSE)+0</f>
        <v>#REF!</v>
      </c>
      <c r="L14" s="64" t="e">
        <f ca="1">VLOOKUP($A14,[1]!LOOKUP_SARS_2009_Change_Breakdown2,L$3,FALSE)+0</f>
        <v>#REF!</v>
      </c>
      <c r="M14" s="64" t="e">
        <f ca="1">VLOOKUP($A14,[1]!LOOKUP_SARS_2009_Change_Breakdown2,M$3,FALSE)+0</f>
        <v>#REF!</v>
      </c>
      <c r="N14" s="64" t="e">
        <f ca="1">VLOOKUP($A14,[1]!LOOKUP_SARS_2009_Change_Breakdown2,N$3,FALSE)+0</f>
        <v>#REF!</v>
      </c>
      <c r="O14" s="64" t="e">
        <f ca="1">VLOOKUP($A14,[1]!LOOKUP_SARS_2009_Change_Breakdown2,O$3,FALSE)+0</f>
        <v>#REF!</v>
      </c>
      <c r="P14" s="26">
        <f ca="1">VLOOKUP($A14,[1]!LOOKUP_SARS_Unified2,P$3,FALSE)</f>
        <v>6085.7</v>
      </c>
      <c r="Q14" s="1">
        <f t="shared" ca="1" si="19"/>
        <v>1.6431963455313276E-4</v>
      </c>
      <c r="R14" s="1">
        <v>1</v>
      </c>
      <c r="S14" s="37" t="e">
        <f t="shared" ca="1" si="15"/>
        <v>#REF!</v>
      </c>
      <c r="T14" s="73">
        <f t="shared" ca="1" si="16"/>
        <v>196.1242583847075</v>
      </c>
      <c r="V14" s="1" t="str">
        <f>V9&amp;" Unweighted"</f>
        <v>Cost (All Other; Including Time and Materials and Labor) Unweighted</v>
      </c>
      <c r="W14" s="50" t="e">
        <f t="shared" ref="W14:AC14" ca="1" si="22">SUMPRODUCT((H$12:H$96&gt;=0)*H$12:H$96*$E$12:$E$96*$Q$12:$Q$96*$R$12:$R$96)/SUM($E$12:$E$96)</f>
        <v>#N/A</v>
      </c>
      <c r="X14" s="50" t="e">
        <f t="shared" ca="1" si="22"/>
        <v>#REF!</v>
      </c>
      <c r="Y14" s="50" t="e">
        <f t="shared" ca="1" si="22"/>
        <v>#REF!</v>
      </c>
      <c r="Z14" s="50" t="e">
        <f t="shared" ca="1" si="22"/>
        <v>#REF!</v>
      </c>
      <c r="AA14" s="50" t="e">
        <f t="shared" ca="1" si="22"/>
        <v>#REF!</v>
      </c>
      <c r="AB14" s="50" t="e">
        <f t="shared" ca="1" si="22"/>
        <v>#REF!</v>
      </c>
      <c r="AC14" s="50" t="e">
        <f t="shared" ca="1" si="22"/>
        <v>#REF!</v>
      </c>
      <c r="AD14" s="50" t="e">
        <f t="shared" ref="AD14:AJ14" ca="1" si="23">SUMPRODUCT((H$12:H$96&lt;0)*H$12:H$96*$E$12:$E$96*$Q$12:$Q$96*$R$12:$R$96)/SUM($E$12:$E$96)</f>
        <v>#N/A</v>
      </c>
      <c r="AE14" s="50" t="e">
        <f t="shared" ca="1" si="23"/>
        <v>#REF!</v>
      </c>
      <c r="AF14" s="50" t="e">
        <f t="shared" ca="1" si="23"/>
        <v>#REF!</v>
      </c>
      <c r="AG14" s="50" t="e">
        <f t="shared" ca="1" si="23"/>
        <v>#REF!</v>
      </c>
      <c r="AH14" s="50" t="e">
        <f t="shared" ca="1" si="23"/>
        <v>#REF!</v>
      </c>
      <c r="AI14" s="50" t="e">
        <f t="shared" ca="1" si="23"/>
        <v>#REF!</v>
      </c>
      <c r="AJ14" s="50" t="e">
        <f t="shared" ca="1" si="23"/>
        <v>#REF!</v>
      </c>
      <c r="AK14" s="50"/>
      <c r="AL14" s="50"/>
      <c r="AM14" s="50"/>
      <c r="AN14" s="50"/>
      <c r="CL14" s="37"/>
      <c r="CM14" s="37"/>
      <c r="CN14" s="37"/>
      <c r="CO14" s="37"/>
      <c r="CP14" s="37"/>
      <c r="CQ14" s="37"/>
      <c r="CR14" s="37"/>
      <c r="CS14" s="37"/>
      <c r="CT14" s="63"/>
      <c r="CU14" s="62"/>
      <c r="CV14" s="19"/>
    </row>
    <row r="15" spans="1:100" s="1" customFormat="1" x14ac:dyDescent="0.25">
      <c r="A15" s="92" t="s">
        <v>18</v>
      </c>
      <c r="B15" s="66">
        <f ca="1">IFERROR(VLOOKUP($A15,[1]!LOOKUP_MDAPs,B$3,FALSE)/$G15,"")</f>
        <v>6.5004098133918761E-2</v>
      </c>
      <c r="C15" s="66">
        <f ca="1">IFERROR(VLOOKUP($A15,[1]!LOOKUP_MDAPs,C$3,FALSE)/$G15,"")</f>
        <v>0</v>
      </c>
      <c r="D15" s="66">
        <f ca="1">IFERROR(VLOOKUP($A15,[1]!LOOKUP_MDAPs,D$3,FALSE)/$G15,"")</f>
        <v>0</v>
      </c>
      <c r="E15" s="66">
        <f ca="1">IFERROR(VLOOKUP($A15,[1]!LOOKUP_MDAPs,E$3,FALSE)/$G15,"")</f>
        <v>0</v>
      </c>
      <c r="F15" s="66">
        <f ca="1">IFERROR(VLOOKUP($A15,[1]!LOOKUP_MDAPs,F$3,FALSE)/$G15,"")</f>
        <v>0</v>
      </c>
      <c r="G15" s="65">
        <f ca="1">IFERROR(VLOOKUP($A15,[1]!LOOKUP_MDAPs,G$3,FALSE),"")</f>
        <v>819.9</v>
      </c>
      <c r="H15" s="64">
        <f ca="1">VLOOKUP($A15,[1]!LOOKUP_SARS_2009_Change_Breakdown2,H$3,FALSE)+0</f>
        <v>340.8</v>
      </c>
      <c r="I15" s="64" t="e">
        <f ca="1">VLOOKUP($A15,[1]!LOOKUP_SARS_2009_Change_Breakdown2,I$3,FALSE)+0</f>
        <v>#REF!</v>
      </c>
      <c r="J15" s="64" t="e">
        <f ca="1">VLOOKUP($A15,[1]!LOOKUP_SARS_2009_Change_Breakdown2,J$3,FALSE)+0</f>
        <v>#REF!</v>
      </c>
      <c r="K15" s="64" t="e">
        <f ca="1">VLOOKUP($A15,[1]!LOOKUP_SARS_2009_Change_Breakdown2,K$3,FALSE)+0</f>
        <v>#REF!</v>
      </c>
      <c r="L15" s="64" t="e">
        <f ca="1">VLOOKUP($A15,[1]!LOOKUP_SARS_2009_Change_Breakdown2,L$3,FALSE)+0</f>
        <v>#REF!</v>
      </c>
      <c r="M15" s="64" t="e">
        <f ca="1">VLOOKUP($A15,[1]!LOOKUP_SARS_2009_Change_Breakdown2,M$3,FALSE)+0</f>
        <v>#REF!</v>
      </c>
      <c r="N15" s="64" t="e">
        <f ca="1">VLOOKUP($A15,[1]!LOOKUP_SARS_2009_Change_Breakdown2,N$3,FALSE)+0</f>
        <v>#REF!</v>
      </c>
      <c r="O15" s="64" t="e">
        <f ca="1">VLOOKUP($A15,[1]!LOOKUP_SARS_2009_Change_Breakdown2,O$3,FALSE)+0</f>
        <v>#REF!</v>
      </c>
      <c r="P15" s="26">
        <f ca="1">VLOOKUP($A15,[1]!LOOKUP_SARS_Unified2,P$3,FALSE)</f>
        <v>1861.4</v>
      </c>
      <c r="Q15" s="1">
        <f t="shared" ca="1" si="19"/>
        <v>5.3723004190394329E-4</v>
      </c>
      <c r="R15" s="1">
        <v>1</v>
      </c>
      <c r="S15" s="37" t="e">
        <f t="shared" ca="1" si="15"/>
        <v>#REF!</v>
      </c>
      <c r="T15" s="73">
        <f t="shared" ca="1" si="16"/>
        <v>120.99862826647639</v>
      </c>
      <c r="V15" s="1" t="str">
        <f>V10&amp;" Unweighted"</f>
        <v>Unclear Type Unweighted</v>
      </c>
      <c r="W15" s="50" t="e">
        <f t="shared" ref="W15:AC15" ca="1" si="24">SUMPRODUCT((H$12:H$96&gt;=0)*H$12:H$96*$F$12:$F$96*$Q$12:$Q$96*$R$12:$R$96)/SUM($F$12:$F$96)</f>
        <v>#N/A</v>
      </c>
      <c r="X15" s="50" t="e">
        <f t="shared" ca="1" si="24"/>
        <v>#REF!</v>
      </c>
      <c r="Y15" s="50" t="e">
        <f t="shared" ca="1" si="24"/>
        <v>#REF!</v>
      </c>
      <c r="Z15" s="50" t="e">
        <f t="shared" ca="1" si="24"/>
        <v>#REF!</v>
      </c>
      <c r="AA15" s="50" t="e">
        <f t="shared" ca="1" si="24"/>
        <v>#REF!</v>
      </c>
      <c r="AB15" s="50" t="e">
        <f t="shared" ca="1" si="24"/>
        <v>#REF!</v>
      </c>
      <c r="AC15" s="50" t="e">
        <f t="shared" ca="1" si="24"/>
        <v>#REF!</v>
      </c>
      <c r="AD15" s="50" t="e">
        <f t="shared" ref="AD15:AJ15" ca="1" si="25">SUMPRODUCT((H$12:H$96&lt;0)*H$12:H$96*$F$12:$F$96*$Q$12:$Q$96*$R$12:$R$96)/SUM($F$12:$F$96)</f>
        <v>#N/A</v>
      </c>
      <c r="AE15" s="50" t="e">
        <f t="shared" ca="1" si="25"/>
        <v>#REF!</v>
      </c>
      <c r="AF15" s="50" t="e">
        <f t="shared" ca="1" si="25"/>
        <v>#REF!</v>
      </c>
      <c r="AG15" s="50" t="e">
        <f t="shared" ca="1" si="25"/>
        <v>#REF!</v>
      </c>
      <c r="AH15" s="50" t="e">
        <f t="shared" ca="1" si="25"/>
        <v>#REF!</v>
      </c>
      <c r="AI15" s="50" t="e">
        <f t="shared" ca="1" si="25"/>
        <v>#REF!</v>
      </c>
      <c r="AJ15" s="50" t="e">
        <f t="shared" ca="1" si="25"/>
        <v>#REF!</v>
      </c>
      <c r="AK15" s="50"/>
      <c r="AL15" s="50"/>
      <c r="AM15" s="50"/>
      <c r="AN15" s="50"/>
      <c r="CL15" s="37"/>
      <c r="CM15" s="37"/>
      <c r="CN15" s="37"/>
      <c r="CO15" s="37"/>
      <c r="CP15" s="37"/>
      <c r="CQ15" s="37"/>
      <c r="CR15" s="37"/>
      <c r="CS15" s="37"/>
      <c r="CT15" s="63"/>
      <c r="CU15" s="62"/>
      <c r="CV15" s="19"/>
    </row>
    <row r="16" spans="1:100" s="1" customFormat="1" x14ac:dyDescent="0.25">
      <c r="A16" s="92" t="s">
        <v>12</v>
      </c>
      <c r="B16" s="66">
        <f ca="1">IFERROR(VLOOKUP($A16,[1]!LOOKUP_MDAPs,B$3,FALSE)/$G16,"")</f>
        <v>0.52204100726981872</v>
      </c>
      <c r="C16" s="66">
        <f ca="1">IFERROR(VLOOKUP($A16,[1]!LOOKUP_MDAPs,C$3,FALSE)/$G16,"")</f>
        <v>0</v>
      </c>
      <c r="D16" s="66">
        <f ca="1">IFERROR(VLOOKUP($A16,[1]!LOOKUP_MDAPs,D$3,FALSE)/$G16,"")</f>
        <v>3.9948453608247423E-4</v>
      </c>
      <c r="E16" s="66">
        <f ca="1">IFERROR(VLOOKUP($A16,[1]!LOOKUP_MDAPs,E$3,FALSE)/$G16,"")</f>
        <v>7.0767819913496857E-2</v>
      </c>
      <c r="F16" s="66">
        <f ca="1">IFERROR(VLOOKUP($A16,[1]!LOOKUP_MDAPs,F$3,FALSE)/$G16,"")</f>
        <v>-1.7672828534186515E-4</v>
      </c>
      <c r="G16" s="65">
        <f ca="1">IFERROR(VLOOKUP($A16,[1]!LOOKUP_MDAPs,G$3,FALSE),"")</f>
        <v>1687.8</v>
      </c>
      <c r="H16" s="64">
        <f ca="1">VLOOKUP($A16,[1]!LOOKUP_SARS_2009_Change_Breakdown2,H$3,FALSE)+0</f>
        <v>433.9</v>
      </c>
      <c r="I16" s="64" t="e">
        <f ca="1">VLOOKUP($A16,[1]!LOOKUP_SARS_2009_Change_Breakdown2,I$3,FALSE)+0</f>
        <v>#REF!</v>
      </c>
      <c r="J16" s="64" t="e">
        <f ca="1">VLOOKUP($A16,[1]!LOOKUP_SARS_2009_Change_Breakdown2,J$3,FALSE)+0</f>
        <v>#REF!</v>
      </c>
      <c r="K16" s="64" t="e">
        <f ca="1">VLOOKUP($A16,[1]!LOOKUP_SARS_2009_Change_Breakdown2,K$3,FALSE)+0</f>
        <v>#REF!</v>
      </c>
      <c r="L16" s="64" t="e">
        <f ca="1">VLOOKUP($A16,[1]!LOOKUP_SARS_2009_Change_Breakdown2,L$3,FALSE)+0</f>
        <v>#REF!</v>
      </c>
      <c r="M16" s="64" t="e">
        <f ca="1">VLOOKUP($A16,[1]!LOOKUP_SARS_2009_Change_Breakdown2,M$3,FALSE)+0</f>
        <v>#REF!</v>
      </c>
      <c r="N16" s="64" t="e">
        <f ca="1">VLOOKUP($A16,[1]!LOOKUP_SARS_2009_Change_Breakdown2,N$3,FALSE)+0</f>
        <v>#REF!</v>
      </c>
      <c r="O16" s="64" t="e">
        <f ca="1">VLOOKUP($A16,[1]!LOOKUP_SARS_2009_Change_Breakdown2,O$3,FALSE)+0</f>
        <v>#REF!</v>
      </c>
      <c r="P16" s="26">
        <f ca="1">VLOOKUP($A16,[1]!LOOKUP_SARS_Unified2,P$3,FALSE)</f>
        <v>3232.9</v>
      </c>
      <c r="Q16" s="1">
        <f t="shared" ca="1" si="19"/>
        <v>3.0931980574716198E-4</v>
      </c>
      <c r="R16" s="1">
        <v>1</v>
      </c>
      <c r="S16" s="37" t="e">
        <f t="shared" ca="1" si="15"/>
        <v>#REF!</v>
      </c>
      <c r="T16" s="73">
        <f t="shared" ca="1" si="16"/>
        <v>1687.706372402597</v>
      </c>
      <c r="AK16" s="50"/>
      <c r="AL16" s="50"/>
      <c r="AM16" s="50"/>
      <c r="AN16" s="50"/>
      <c r="CL16" s="37"/>
      <c r="CM16" s="37"/>
      <c r="CN16" s="37"/>
      <c r="CO16" s="37"/>
      <c r="CP16" s="37"/>
      <c r="CQ16" s="37"/>
      <c r="CR16" s="37"/>
      <c r="CS16" s="37"/>
      <c r="CT16" s="63"/>
      <c r="CU16" s="62"/>
      <c r="CV16" s="19"/>
    </row>
    <row r="17" spans="1:100" s="1" customFormat="1" x14ac:dyDescent="0.25">
      <c r="A17" s="92" t="s">
        <v>174</v>
      </c>
      <c r="B17" s="66">
        <f ca="1">IFERROR(VLOOKUP($A17,[1]!LOOKUP_MDAPs,B$3,FALSE)/$G17,"")</f>
        <v>0.19697102829606783</v>
      </c>
      <c r="C17" s="66">
        <f ca="1">IFERROR(VLOOKUP($A17,[1]!LOOKUP_MDAPs,C$3,FALSE)/$G17,"")</f>
        <v>0</v>
      </c>
      <c r="D17" s="66">
        <f ca="1">IFERROR(VLOOKUP($A17,[1]!LOOKUP_MDAPs,D$3,FALSE)/$G17,"")</f>
        <v>1.7886112567463378E-2</v>
      </c>
      <c r="E17" s="66">
        <f ca="1">IFERROR(VLOOKUP($A17,[1]!LOOKUP_MDAPs,E$3,FALSE)/$G17,"")</f>
        <v>2.0148448242097147E-2</v>
      </c>
      <c r="F17" s="66">
        <f ca="1">IFERROR(VLOOKUP($A17,[1]!LOOKUP_MDAPs,F$3,FALSE)/$G17,"")</f>
        <v>4.6108326908249808E-4</v>
      </c>
      <c r="G17" s="65">
        <f ca="1">IFERROR(VLOOKUP($A17,[1]!LOOKUP_MDAPs,G$3,FALSE),"")</f>
        <v>1297</v>
      </c>
      <c r="H17" s="64" t="e">
        <f ca="1">VLOOKUP($A17,[1]!LOOKUP_SARS_2009_Change_Breakdown2,H$3,FALSE)+0</f>
        <v>#N/A</v>
      </c>
      <c r="I17" s="64" t="e">
        <f ca="1">VLOOKUP($A17,[1]!LOOKUP_SARS_2009_Change_Breakdown2,I$3,FALSE)+0</f>
        <v>#N/A</v>
      </c>
      <c r="J17" s="64" t="e">
        <f ca="1">VLOOKUP($A17,[1]!LOOKUP_SARS_2009_Change_Breakdown2,J$3,FALSE)+0</f>
        <v>#N/A</v>
      </c>
      <c r="K17" s="64" t="e">
        <f ca="1">VLOOKUP($A17,[1]!LOOKUP_SARS_2009_Change_Breakdown2,K$3,FALSE)+0</f>
        <v>#N/A</v>
      </c>
      <c r="L17" s="64" t="e">
        <f ca="1">VLOOKUP($A17,[1]!LOOKUP_SARS_2009_Change_Breakdown2,L$3,FALSE)+0</f>
        <v>#N/A</v>
      </c>
      <c r="M17" s="64" t="e">
        <f ca="1">VLOOKUP($A17,[1]!LOOKUP_SARS_2009_Change_Breakdown2,M$3,FALSE)+0</f>
        <v>#N/A</v>
      </c>
      <c r="N17" s="64" t="e">
        <f ca="1">VLOOKUP($A17,[1]!LOOKUP_SARS_2009_Change_Breakdown2,N$3,FALSE)+0</f>
        <v>#N/A</v>
      </c>
      <c r="O17" s="64" t="e">
        <f ca="1">VLOOKUP($A17,[1]!LOOKUP_SARS_2009_Change_Breakdown2,O$3,FALSE)+0</f>
        <v>#N/A</v>
      </c>
      <c r="P17" s="26">
        <f ca="1">VLOOKUP($A17,[1]!LOOKUP_SARS_Unified2,P$3,FALSE)</f>
        <v>9034.2999999999993</v>
      </c>
      <c r="Q17" s="1">
        <f t="shared" ca="1" si="19"/>
        <v>1.1068926203469002E-4</v>
      </c>
      <c r="R17" s="1">
        <v>1</v>
      </c>
      <c r="S17" s="37" t="e">
        <f t="shared" ca="1" si="15"/>
        <v>#N/A</v>
      </c>
      <c r="T17" s="73">
        <f t="shared" ca="1" si="16"/>
        <v>1779.4953609351655</v>
      </c>
      <c r="AK17" s="50"/>
      <c r="AL17" s="50"/>
      <c r="AM17" s="50"/>
      <c r="AN17" s="50"/>
      <c r="CL17" s="37"/>
      <c r="CM17" s="37"/>
      <c r="CN17" s="37"/>
      <c r="CO17" s="37"/>
      <c r="CP17" s="37"/>
      <c r="CQ17" s="37"/>
      <c r="CR17" s="37"/>
      <c r="CS17" s="37"/>
      <c r="CT17" s="63"/>
      <c r="CU17" s="62"/>
      <c r="CV17" s="19"/>
    </row>
    <row r="18" spans="1:100" s="1" customFormat="1" x14ac:dyDescent="0.25">
      <c r="A18" s="92" t="s">
        <v>9</v>
      </c>
      <c r="B18" s="66">
        <f ca="1">IFERROR(VLOOKUP($A18,[1]!LOOKUP_MDAPs,B$3,FALSE)/$G18,"")</f>
        <v>0.16697388933134261</v>
      </c>
      <c r="C18" s="66">
        <f ca="1">IFERROR(VLOOKUP($A18,[1]!LOOKUP_MDAPs,C$3,FALSE)/$G18,"")</f>
        <v>5.3903188041873805E-6</v>
      </c>
      <c r="D18" s="66">
        <f ca="1">IFERROR(VLOOKUP($A18,[1]!LOOKUP_MDAPs,D$3,FALSE)/$G18,"")</f>
        <v>7.6889128616026746E-3</v>
      </c>
      <c r="E18" s="66">
        <f ca="1">IFERROR(VLOOKUP($A18,[1]!LOOKUP_MDAPs,E$3,FALSE)/$G18,"")</f>
        <v>8.176443946283446E-3</v>
      </c>
      <c r="F18" s="66">
        <f ca="1">IFERROR(VLOOKUP($A18,[1]!LOOKUP_MDAPs,F$3,FALSE)/$G18,"")</f>
        <v>3.9452315105448009E-5</v>
      </c>
      <c r="G18" s="65">
        <f ca="1">IFERROR(VLOOKUP($A18,[1]!LOOKUP_MDAPs,G$3,FALSE),"")</f>
        <v>11787.8</v>
      </c>
      <c r="H18" s="64">
        <f ca="1">VLOOKUP($A18,[1]!LOOKUP_SARS_2009_Change_Breakdown2,H$3,FALSE)+0</f>
        <v>8170.9</v>
      </c>
      <c r="I18" s="64" t="e">
        <f ca="1">VLOOKUP($A18,[1]!LOOKUP_SARS_2009_Change_Breakdown2,I$3,FALSE)+0</f>
        <v>#REF!</v>
      </c>
      <c r="J18" s="64" t="e">
        <f ca="1">VLOOKUP($A18,[1]!LOOKUP_SARS_2009_Change_Breakdown2,J$3,FALSE)+0</f>
        <v>#REF!</v>
      </c>
      <c r="K18" s="64" t="e">
        <f ca="1">VLOOKUP($A18,[1]!LOOKUP_SARS_2009_Change_Breakdown2,K$3,FALSE)+0</f>
        <v>#REF!</v>
      </c>
      <c r="L18" s="64" t="e">
        <f ca="1">VLOOKUP($A18,[1]!LOOKUP_SARS_2009_Change_Breakdown2,L$3,FALSE)+0</f>
        <v>#REF!</v>
      </c>
      <c r="M18" s="64" t="e">
        <f ca="1">VLOOKUP($A18,[1]!LOOKUP_SARS_2009_Change_Breakdown2,M$3,FALSE)+0</f>
        <v>#REF!</v>
      </c>
      <c r="N18" s="64" t="e">
        <f ca="1">VLOOKUP($A18,[1]!LOOKUP_SARS_2009_Change_Breakdown2,N$3,FALSE)+0</f>
        <v>#REF!</v>
      </c>
      <c r="O18" s="64" t="e">
        <f ca="1">VLOOKUP($A18,[1]!LOOKUP_SARS_2009_Change_Breakdown2,O$3,FALSE)+0</f>
        <v>#REF!</v>
      </c>
      <c r="P18" s="26">
        <f ca="1">VLOOKUP($A18,[1]!LOOKUP_SARS_Unified2,P$3,FALSE)</f>
        <v>13112.4</v>
      </c>
      <c r="Q18" s="1">
        <f t="shared" ca="1" si="19"/>
        <v>7.6263689332235144E-5</v>
      </c>
      <c r="R18" s="1">
        <v>1</v>
      </c>
      <c r="S18" s="37" t="e">
        <f t="shared" ca="1" si="15"/>
        <v>#REF!</v>
      </c>
      <c r="T18" s="73">
        <f t="shared" ca="1" si="16"/>
        <v>2189.4284264682969</v>
      </c>
      <c r="AK18" s="50"/>
      <c r="AL18" s="50"/>
      <c r="AM18" s="50"/>
      <c r="AN18" s="50"/>
      <c r="CL18" s="37"/>
      <c r="CM18" s="37"/>
      <c r="CN18" s="37"/>
      <c r="CO18" s="37"/>
      <c r="CP18" s="37"/>
      <c r="CQ18" s="37"/>
      <c r="CR18" s="37"/>
      <c r="CS18" s="37"/>
      <c r="CT18" s="63"/>
      <c r="CU18" s="62"/>
      <c r="CV18" s="19"/>
    </row>
    <row r="19" spans="1:100" s="1" customFormat="1" x14ac:dyDescent="0.25">
      <c r="A19" s="92" t="s">
        <v>213</v>
      </c>
      <c r="B19" s="66">
        <f ca="1">IFERROR(VLOOKUP($A19,[1]!LOOKUP_MDAPs,B$3,FALSE)/$G19,"")</f>
        <v>0.27027843318608502</v>
      </c>
      <c r="C19" s="66">
        <f ca="1">IFERROR(VLOOKUP($A19,[1]!LOOKUP_MDAPs,C$3,FALSE)/$G19,"")</f>
        <v>0</v>
      </c>
      <c r="D19" s="66">
        <f ca="1">IFERROR(VLOOKUP($A19,[1]!LOOKUP_MDAPs,D$3,FALSE)/$G19,"")</f>
        <v>8.8799558255107675E-3</v>
      </c>
      <c r="E19" s="66">
        <f ca="1">IFERROR(VLOOKUP($A19,[1]!LOOKUP_MDAPs,E$3,FALSE)/$G19,"")</f>
        <v>0.28259924307012702</v>
      </c>
      <c r="F19" s="66">
        <f ca="1">IFERROR(VLOOKUP($A19,[1]!LOOKUP_MDAPs,F$3,FALSE)/$G19,"")</f>
        <v>0</v>
      </c>
      <c r="G19" s="65">
        <f ca="1">IFERROR(VLOOKUP($A19,[1]!LOOKUP_MDAPs,G$3,FALSE),"")</f>
        <v>181.1</v>
      </c>
      <c r="H19" s="64" t="e">
        <f ca="1">VLOOKUP($A19,[1]!LOOKUP_SARS_2009_Change_Breakdown2,H$3,FALSE)+0</f>
        <v>#N/A</v>
      </c>
      <c r="I19" s="64" t="e">
        <f ca="1">VLOOKUP($A19,[1]!LOOKUP_SARS_2009_Change_Breakdown2,I$3,FALSE)+0</f>
        <v>#N/A</v>
      </c>
      <c r="J19" s="64" t="e">
        <f ca="1">VLOOKUP($A19,[1]!LOOKUP_SARS_2009_Change_Breakdown2,J$3,FALSE)+0</f>
        <v>#N/A</v>
      </c>
      <c r="K19" s="64" t="e">
        <f ca="1">VLOOKUP($A19,[1]!LOOKUP_SARS_2009_Change_Breakdown2,K$3,FALSE)+0</f>
        <v>#N/A</v>
      </c>
      <c r="L19" s="64" t="e">
        <f ca="1">VLOOKUP($A19,[1]!LOOKUP_SARS_2009_Change_Breakdown2,L$3,FALSE)+0</f>
        <v>#N/A</v>
      </c>
      <c r="M19" s="64" t="e">
        <f ca="1">VLOOKUP($A19,[1]!LOOKUP_SARS_2009_Change_Breakdown2,M$3,FALSE)+0</f>
        <v>#N/A</v>
      </c>
      <c r="N19" s="64" t="e">
        <f ca="1">VLOOKUP($A19,[1]!LOOKUP_SARS_2009_Change_Breakdown2,N$3,FALSE)+0</f>
        <v>#N/A</v>
      </c>
      <c r="O19" s="64" t="e">
        <f ca="1">VLOOKUP($A19,[1]!LOOKUP_SARS_2009_Change_Breakdown2,O$3,FALSE)+0</f>
        <v>#N/A</v>
      </c>
      <c r="P19" s="26">
        <f ca="1">VLOOKUP($A19,[1]!LOOKUP_SARS_Unified2,P$3,FALSE)</f>
        <v>3568.7</v>
      </c>
      <c r="Q19" s="1">
        <f t="shared" ca="1" si="19"/>
        <v>2.8021408355983975E-4</v>
      </c>
      <c r="R19" s="1">
        <v>1</v>
      </c>
      <c r="S19" s="37" t="e">
        <f t="shared" ca="1" si="15"/>
        <v>#N/A</v>
      </c>
      <c r="T19" s="73">
        <f t="shared" ca="1" si="16"/>
        <v>964.54264451118161</v>
      </c>
      <c r="AK19" s="50"/>
      <c r="AL19" s="50"/>
      <c r="AM19" s="50"/>
      <c r="AN19" s="50"/>
      <c r="CL19" s="37"/>
      <c r="CM19" s="37"/>
      <c r="CN19" s="37"/>
      <c r="CO19" s="37"/>
      <c r="CP19" s="37"/>
      <c r="CQ19" s="37"/>
      <c r="CR19" s="37"/>
      <c r="CS19" s="37"/>
      <c r="CT19" s="63"/>
      <c r="CU19" s="62"/>
      <c r="CV19" s="19"/>
    </row>
    <row r="20" spans="1:100" s="1" customFormat="1" x14ac:dyDescent="0.25">
      <c r="A20" s="92" t="s">
        <v>214</v>
      </c>
      <c r="B20" s="66">
        <f ca="1">IFERROR(VLOOKUP($A20,[1]!LOOKUP_MDAPs,B$3,FALSE)/$G20,"")</f>
        <v>0</v>
      </c>
      <c r="C20" s="66">
        <f ca="1">IFERROR(VLOOKUP($A20,[1]!LOOKUP_MDAPs,C$3,FALSE)/$G20,"")</f>
        <v>0</v>
      </c>
      <c r="D20" s="66">
        <f ca="1">IFERROR(VLOOKUP($A20,[1]!LOOKUP_MDAPs,D$3,FALSE)/$G20,"")</f>
        <v>0</v>
      </c>
      <c r="E20" s="66">
        <f ca="1">IFERROR(VLOOKUP($A20,[1]!LOOKUP_MDAPs,E$3,FALSE)/$G20,"")</f>
        <v>0</v>
      </c>
      <c r="F20" s="66">
        <f ca="1">IFERROR(VLOOKUP($A20,[1]!LOOKUP_MDAPs,F$3,FALSE)/$G20,"")</f>
        <v>0</v>
      </c>
      <c r="G20" s="65">
        <f ca="1">IFERROR(VLOOKUP($A20,[1]!LOOKUP_MDAPs,G$3,FALSE),"")</f>
        <v>101</v>
      </c>
      <c r="H20" s="64" t="e">
        <f ca="1">VLOOKUP($A20,[1]!LOOKUP_SARS_2009_Change_Breakdown2,H$3,FALSE)+0</f>
        <v>#N/A</v>
      </c>
      <c r="I20" s="64" t="e">
        <f ca="1">VLOOKUP($A20,[1]!LOOKUP_SARS_2009_Change_Breakdown2,I$3,FALSE)+0</f>
        <v>#N/A</v>
      </c>
      <c r="J20" s="64" t="e">
        <f ca="1">VLOOKUP($A20,[1]!LOOKUP_SARS_2009_Change_Breakdown2,J$3,FALSE)+0</f>
        <v>#N/A</v>
      </c>
      <c r="K20" s="64" t="e">
        <f ca="1">VLOOKUP($A20,[1]!LOOKUP_SARS_2009_Change_Breakdown2,K$3,FALSE)+0</f>
        <v>#N/A</v>
      </c>
      <c r="L20" s="64" t="e">
        <f ca="1">VLOOKUP($A20,[1]!LOOKUP_SARS_2009_Change_Breakdown2,L$3,FALSE)+0</f>
        <v>#N/A</v>
      </c>
      <c r="M20" s="64" t="e">
        <f ca="1">VLOOKUP($A20,[1]!LOOKUP_SARS_2009_Change_Breakdown2,M$3,FALSE)+0</f>
        <v>#N/A</v>
      </c>
      <c r="N20" s="64" t="e">
        <f ca="1">VLOOKUP($A20,[1]!LOOKUP_SARS_2009_Change_Breakdown2,N$3,FALSE)+0</f>
        <v>#N/A</v>
      </c>
      <c r="O20" s="64" t="e">
        <f ca="1">VLOOKUP($A20,[1]!LOOKUP_SARS_2009_Change_Breakdown2,O$3,FALSE)+0</f>
        <v>#N/A</v>
      </c>
      <c r="P20" s="26">
        <f ca="1">VLOOKUP($A20,[1]!LOOKUP_SARS_Unified2,P$3,FALSE)</f>
        <v>1969.3</v>
      </c>
      <c r="Q20" s="1">
        <f t="shared" ca="1" si="19"/>
        <v>5.0779464784441169E-4</v>
      </c>
      <c r="R20" s="1">
        <v>1</v>
      </c>
      <c r="S20" s="37" t="e">
        <f t="shared" ca="1" si="15"/>
        <v>#N/A</v>
      </c>
      <c r="T20" s="73">
        <f t="shared" ca="1" si="16"/>
        <v>0</v>
      </c>
      <c r="CL20" s="37"/>
      <c r="CM20" s="37"/>
      <c r="CN20" s="37"/>
      <c r="CO20" s="37"/>
      <c r="CP20" s="37"/>
      <c r="CQ20" s="37"/>
      <c r="CR20" s="37"/>
      <c r="CS20" s="37"/>
      <c r="CT20" s="63"/>
      <c r="CU20" s="62"/>
      <c r="CV20" s="19"/>
    </row>
    <row r="21" spans="1:100" s="1" customFormat="1" x14ac:dyDescent="0.25">
      <c r="A21" s="92" t="s">
        <v>175</v>
      </c>
      <c r="B21" s="66">
        <f ca="1">IFERROR(VLOOKUP($A21,[1]!LOOKUP_MDAPs,B$3,FALSE)/$G21,"")</f>
        <v>0</v>
      </c>
      <c r="C21" s="66">
        <f ca="1">IFERROR(VLOOKUP($A21,[1]!LOOKUP_MDAPs,C$3,FALSE)/$G21,"")</f>
        <v>0</v>
      </c>
      <c r="D21" s="66">
        <f ca="1">IFERROR(VLOOKUP($A21,[1]!LOOKUP_MDAPs,D$3,FALSE)/$G21,"")</f>
        <v>0</v>
      </c>
      <c r="E21" s="66">
        <f ca="1">IFERROR(VLOOKUP($A21,[1]!LOOKUP_MDAPs,E$3,FALSE)/$G21,"")</f>
        <v>0</v>
      </c>
      <c r="F21" s="66">
        <f ca="1">IFERROR(VLOOKUP($A21,[1]!LOOKUP_MDAPs,F$3,FALSE)/$G21,"")</f>
        <v>0</v>
      </c>
      <c r="G21" s="65">
        <f ca="1">IFERROR(VLOOKUP($A21,[1]!LOOKUP_MDAPs,G$3,FALSE),"")</f>
        <v>508</v>
      </c>
      <c r="H21" s="64" t="e">
        <f ca="1">VLOOKUP($A21,[1]!LOOKUP_SARS_2009_Change_Breakdown2,H$3,FALSE)+0</f>
        <v>#N/A</v>
      </c>
      <c r="I21" s="64" t="e">
        <f ca="1">VLOOKUP($A21,[1]!LOOKUP_SARS_2009_Change_Breakdown2,I$3,FALSE)+0</f>
        <v>#N/A</v>
      </c>
      <c r="J21" s="64" t="e">
        <f ca="1">VLOOKUP($A21,[1]!LOOKUP_SARS_2009_Change_Breakdown2,J$3,FALSE)+0</f>
        <v>#N/A</v>
      </c>
      <c r="K21" s="64" t="e">
        <f ca="1">VLOOKUP($A21,[1]!LOOKUP_SARS_2009_Change_Breakdown2,K$3,FALSE)+0</f>
        <v>#N/A</v>
      </c>
      <c r="L21" s="64" t="e">
        <f ca="1">VLOOKUP($A21,[1]!LOOKUP_SARS_2009_Change_Breakdown2,L$3,FALSE)+0</f>
        <v>#N/A</v>
      </c>
      <c r="M21" s="64" t="e">
        <f ca="1">VLOOKUP($A21,[1]!LOOKUP_SARS_2009_Change_Breakdown2,M$3,FALSE)+0</f>
        <v>#N/A</v>
      </c>
      <c r="N21" s="64" t="e">
        <f ca="1">VLOOKUP($A21,[1]!LOOKUP_SARS_2009_Change_Breakdown2,N$3,FALSE)+0</f>
        <v>#N/A</v>
      </c>
      <c r="O21" s="64" t="e">
        <f ca="1">VLOOKUP($A21,[1]!LOOKUP_SARS_2009_Change_Breakdown2,O$3,FALSE)+0</f>
        <v>#N/A</v>
      </c>
      <c r="P21" s="26">
        <f ca="1">VLOOKUP($A21,[1]!LOOKUP_SARS_Unified2,P$3,FALSE)</f>
        <v>508</v>
      </c>
      <c r="Q21" s="1">
        <f t="shared" ca="1" si="19"/>
        <v>1.968503937007874E-3</v>
      </c>
      <c r="R21" s="1">
        <v>1</v>
      </c>
      <c r="S21" s="37" t="e">
        <f t="shared" ca="1" si="15"/>
        <v>#N/A</v>
      </c>
      <c r="T21" s="73">
        <f t="shared" ca="1" si="16"/>
        <v>0</v>
      </c>
      <c r="V21" s="19">
        <v>10</v>
      </c>
      <c r="W21" s="19" t="s">
        <v>143</v>
      </c>
      <c r="X21" s="19" t="s">
        <v>142</v>
      </c>
      <c r="Y21" s="19" t="s">
        <v>128</v>
      </c>
      <c r="Z21" s="19" t="s">
        <v>141</v>
      </c>
      <c r="AA21" s="1" t="s">
        <v>130</v>
      </c>
      <c r="AB21" s="1" t="s">
        <v>91</v>
      </c>
      <c r="AC21" s="1" t="s">
        <v>139</v>
      </c>
      <c r="AD21" s="19" t="s">
        <v>140</v>
      </c>
      <c r="AE21" s="19" t="s">
        <v>88</v>
      </c>
      <c r="AF21" s="1" t="s">
        <v>139</v>
      </c>
      <c r="AG21" s="1" t="s">
        <v>138</v>
      </c>
      <c r="AH21" s="1" t="s">
        <v>87</v>
      </c>
      <c r="AI21" s="1" t="s">
        <v>137</v>
      </c>
      <c r="AJ21" s="1" t="s">
        <v>136</v>
      </c>
      <c r="AK21" s="1" t="s">
        <v>86</v>
      </c>
      <c r="AL21" s="1" t="s">
        <v>135</v>
      </c>
      <c r="AM21" s="1" t="s">
        <v>134</v>
      </c>
      <c r="AN21" s="1" t="s">
        <v>84</v>
      </c>
      <c r="AO21" s="1" t="s">
        <v>133</v>
      </c>
      <c r="AP21" s="1" t="s">
        <v>132</v>
      </c>
      <c r="AQ21" s="1" t="s">
        <v>85</v>
      </c>
      <c r="AR21" s="1" t="s">
        <v>129</v>
      </c>
      <c r="CL21" s="37"/>
      <c r="CM21" s="37"/>
      <c r="CN21" s="37"/>
      <c r="CO21" s="37"/>
      <c r="CP21" s="37"/>
      <c r="CQ21" s="37"/>
      <c r="CR21" s="37"/>
      <c r="CS21" s="37"/>
      <c r="CT21" s="63"/>
      <c r="CU21" s="62"/>
      <c r="CV21" s="19"/>
    </row>
    <row r="22" spans="1:100" s="1" customFormat="1" x14ac:dyDescent="0.25">
      <c r="A22" s="92" t="s">
        <v>13</v>
      </c>
      <c r="B22" s="66">
        <f ca="1">IFERROR(VLOOKUP($A22,[1]!LOOKUP_MDAPs,B$3,FALSE)/$G22,"")</f>
        <v>0.70060907737995748</v>
      </c>
      <c r="C22" s="66">
        <f ca="1">IFERROR(VLOOKUP($A22,[1]!LOOKUP_MDAPs,C$3,FALSE)/$G22,"")</f>
        <v>0</v>
      </c>
      <c r="D22" s="66">
        <f ca="1">IFERROR(VLOOKUP($A22,[1]!LOOKUP_MDAPs,D$3,FALSE)/$G22,"")</f>
        <v>0.39359684486262936</v>
      </c>
      <c r="E22" s="66">
        <f ca="1">IFERROR(VLOOKUP($A22,[1]!LOOKUP_MDAPs,E$3,FALSE)/$G22,"")</f>
        <v>9.7275026065985704E-2</v>
      </c>
      <c r="F22" s="66">
        <f ca="1">IFERROR(VLOOKUP($A22,[1]!LOOKUP_MDAPs,F$3,FALSE)/$G22,"")</f>
        <v>9.4054542473087576E-6</v>
      </c>
      <c r="G22" s="65">
        <f ca="1">IFERROR(VLOOKUP($A22,[1]!LOOKUP_MDAPs,G$3,FALSE),"")</f>
        <v>2043.1113154899997</v>
      </c>
      <c r="H22" s="64" t="e">
        <f ca="1">VLOOKUP($A22,[1]!LOOKUP_SARS_2009_Change_Breakdown2,H$3,FALSE)+0</f>
        <v>#N/A</v>
      </c>
      <c r="I22" s="64" t="e">
        <f ca="1">VLOOKUP($A22,[1]!LOOKUP_SARS_2009_Change_Breakdown2,I$3,FALSE)+0</f>
        <v>#N/A</v>
      </c>
      <c r="J22" s="64" t="e">
        <f ca="1">VLOOKUP($A22,[1]!LOOKUP_SARS_2009_Change_Breakdown2,J$3,FALSE)+0</f>
        <v>#N/A</v>
      </c>
      <c r="K22" s="64" t="e">
        <f ca="1">VLOOKUP($A22,[1]!LOOKUP_SARS_2009_Change_Breakdown2,K$3,FALSE)+0</f>
        <v>#N/A</v>
      </c>
      <c r="L22" s="64" t="e">
        <f ca="1">VLOOKUP($A22,[1]!LOOKUP_SARS_2009_Change_Breakdown2,L$3,FALSE)+0</f>
        <v>#N/A</v>
      </c>
      <c r="M22" s="64" t="e">
        <f ca="1">VLOOKUP($A22,[1]!LOOKUP_SARS_2009_Change_Breakdown2,M$3,FALSE)+0</f>
        <v>#N/A</v>
      </c>
      <c r="N22" s="64" t="e">
        <f ca="1">VLOOKUP($A22,[1]!LOOKUP_SARS_2009_Change_Breakdown2,N$3,FALSE)+0</f>
        <v>#N/A</v>
      </c>
      <c r="O22" s="64" t="e">
        <f ca="1">VLOOKUP($A22,[1]!LOOKUP_SARS_2009_Change_Breakdown2,O$3,FALSE)+0</f>
        <v>#N/A</v>
      </c>
      <c r="P22" s="26">
        <f ca="1">VLOOKUP($A22,[1]!LOOKUP_SARS_Unified2,P$3,FALSE)</f>
        <v>3240.6</v>
      </c>
      <c r="Q22" s="1">
        <f t="shared" ca="1" si="19"/>
        <v>3.085848299697587E-4</v>
      </c>
      <c r="R22" s="1">
        <v>1</v>
      </c>
      <c r="S22" s="37" t="e">
        <f t="shared" ca="1" si="15"/>
        <v>#N/A</v>
      </c>
      <c r="T22" s="73">
        <f t="shared" ca="1" si="16"/>
        <v>2270.3937761574903</v>
      </c>
      <c r="CL22" s="37"/>
      <c r="CM22" s="37"/>
      <c r="CN22" s="37"/>
      <c r="CO22" s="37"/>
      <c r="CP22" s="37"/>
      <c r="CQ22" s="37"/>
      <c r="CR22" s="37"/>
      <c r="CS22" s="37"/>
      <c r="CT22" s="63"/>
      <c r="CU22" s="62"/>
      <c r="CV22" s="19"/>
    </row>
    <row r="23" spans="1:100" s="1" customFormat="1" x14ac:dyDescent="0.25">
      <c r="A23" s="92" t="s">
        <v>17</v>
      </c>
      <c r="B23" s="66">
        <f ca="1">IFERROR(VLOOKUP($A23,[1]!LOOKUP_MDAPs,B$3,FALSE)/$G23,"")</f>
        <v>0.17656569931089319</v>
      </c>
      <c r="C23" s="66">
        <f ca="1">IFERROR(VLOOKUP($A23,[1]!LOOKUP_MDAPs,C$3,FALSE)/$G23,"")</f>
        <v>0</v>
      </c>
      <c r="D23" s="66">
        <f ca="1">IFERROR(VLOOKUP($A23,[1]!LOOKUP_MDAPs,D$3,FALSE)/$G23,"")</f>
        <v>4.493426981182083E-4</v>
      </c>
      <c r="E23" s="66">
        <f ca="1">IFERROR(VLOOKUP($A23,[1]!LOOKUP_MDAPs,E$3,FALSE)/$G23,"")</f>
        <v>1.2179067055393586E-2</v>
      </c>
      <c r="F23" s="66">
        <f ca="1">IFERROR(VLOOKUP($A23,[1]!LOOKUP_MDAPs,F$3,FALSE)/$G23,"")</f>
        <v>0</v>
      </c>
      <c r="G23" s="65">
        <f ca="1">IFERROR(VLOOKUP($A23,[1]!LOOKUP_MDAPs,G$3,FALSE),"")</f>
        <v>377.3</v>
      </c>
      <c r="H23" s="64">
        <f ca="1">VLOOKUP($A23,[1]!LOOKUP_SARS_2009_Change_Breakdown2,H$3,FALSE)+0</f>
        <v>-87.5</v>
      </c>
      <c r="I23" s="64" t="e">
        <f ca="1">VLOOKUP($A23,[1]!LOOKUP_SARS_2009_Change_Breakdown2,I$3,FALSE)+0</f>
        <v>#REF!</v>
      </c>
      <c r="J23" s="64" t="e">
        <f ca="1">VLOOKUP($A23,[1]!LOOKUP_SARS_2009_Change_Breakdown2,J$3,FALSE)+0</f>
        <v>#REF!</v>
      </c>
      <c r="K23" s="64" t="e">
        <f ca="1">VLOOKUP($A23,[1]!LOOKUP_SARS_2009_Change_Breakdown2,K$3,FALSE)+0</f>
        <v>#REF!</v>
      </c>
      <c r="L23" s="64" t="e">
        <f ca="1">VLOOKUP($A23,[1]!LOOKUP_SARS_2009_Change_Breakdown2,L$3,FALSE)+0</f>
        <v>#REF!</v>
      </c>
      <c r="M23" s="64" t="e">
        <f ca="1">VLOOKUP($A23,[1]!LOOKUP_SARS_2009_Change_Breakdown2,M$3,FALSE)+0</f>
        <v>#REF!</v>
      </c>
      <c r="N23" s="64" t="e">
        <f ca="1">VLOOKUP($A23,[1]!LOOKUP_SARS_2009_Change_Breakdown2,N$3,FALSE)+0</f>
        <v>#REF!</v>
      </c>
      <c r="O23" s="64" t="e">
        <f ca="1">VLOOKUP($A23,[1]!LOOKUP_SARS_2009_Change_Breakdown2,O$3,FALSE)+0</f>
        <v>#REF!</v>
      </c>
      <c r="P23" s="26">
        <f ca="1">VLOOKUP($A23,[1]!LOOKUP_SARS_Unified2,P$3,FALSE)</f>
        <v>706.1</v>
      </c>
      <c r="Q23" s="1">
        <f t="shared" ca="1" si="19"/>
        <v>1.4162299957513099E-3</v>
      </c>
      <c r="R23" s="1">
        <v>1</v>
      </c>
      <c r="S23" s="37" t="e">
        <f t="shared" ca="1" si="15"/>
        <v>#REF!</v>
      </c>
      <c r="T23" s="73">
        <f t="shared" ca="1" si="16"/>
        <v>124.67304028342168</v>
      </c>
      <c r="U23" s="1" t="str">
        <f>V11</f>
        <v>Fixed Price Unweighted</v>
      </c>
      <c r="V23" s="1" t="s">
        <v>116</v>
      </c>
      <c r="W23" s="37" t="e">
        <f ca="1">CEILING(MAX(X$43:X$47)*$V$42,1)/$V$42-X23</f>
        <v>#N/A</v>
      </c>
      <c r="X23" s="19" t="e">
        <f ca="1">AD11*-1</f>
        <v>#N/A</v>
      </c>
      <c r="Y23" s="19" t="e">
        <f ca="1">W11</f>
        <v>#N/A</v>
      </c>
      <c r="Z23" s="71" t="e">
        <f ca="1">CEILING(MAX(Y$43:Y$47)*$V$42,1)/$V$42+MAX(CEILING(MAX(AA$43:AA$47)*$V$42,1)/$V$42,1/$V$42)-Y23-AA23+1/$V$42</f>
        <v>#N/A</v>
      </c>
      <c r="AA23" s="19" t="e">
        <f ca="1">AE11*-1</f>
        <v>#REF!</v>
      </c>
      <c r="AB23" s="19" t="e">
        <f ca="1">X11</f>
        <v>#REF!</v>
      </c>
      <c r="AC23" s="71" t="e">
        <f ca="1">CEILING(MAX(AB$43:AB$47)*$V$42,1)/$V$42+MAX(CEILING(MAX(AD$43:AD$47)*$V$42,1)/$V$42,1/$V$42)-AB23-AD23+1/$V$42</f>
        <v>#REF!</v>
      </c>
      <c r="AD23" s="19" t="e">
        <f ca="1">AF11*-1</f>
        <v>#REF!</v>
      </c>
      <c r="AE23" s="19" t="e">
        <f ca="1">Y11</f>
        <v>#REF!</v>
      </c>
      <c r="AF23" s="71" t="e">
        <f ca="1">CEILING(MAX(AE$43:AE$47)*$V$42,1)/$V$42+MAX(CEILING(MAX(AG$43:AG$47)*$V$42,1)/$V$42,1/$V$42)-AE23-AG23+1/$V$42</f>
        <v>#REF!</v>
      </c>
      <c r="AG23" s="19" t="e">
        <f ca="1">AG11*-1</f>
        <v>#REF!</v>
      </c>
      <c r="AH23" s="19" t="e">
        <f ca="1">Z11</f>
        <v>#REF!</v>
      </c>
      <c r="AI23" s="71" t="e">
        <f ca="1">CEILING(MAX(AH$43:AH$47)*$V$42,1)/$V$42+MAX(CEILING(MAX(AJ$43:AJ$47)*$V$42,1)/$V$42,1/$V$42)-AH23-AJ23+1/$V$42</f>
        <v>#REF!</v>
      </c>
      <c r="AJ23" s="19" t="e">
        <f ca="1">AH11*-1</f>
        <v>#REF!</v>
      </c>
      <c r="AK23" s="19" t="e">
        <f ca="1">AA11</f>
        <v>#REF!</v>
      </c>
      <c r="AL23" s="71" t="e">
        <f ca="1">CEILING(MAX(AK$43:AK$47)*$V$42,1)/$V$42+MAX(CEILING(MAX(AM$43:AM$47)*$V$42,1)/$V$42,1/$V$42)-AK23-AM23+1/$V$42</f>
        <v>#REF!</v>
      </c>
      <c r="AM23" s="19" t="e">
        <f ca="1">AJ11*-1</f>
        <v>#REF!</v>
      </c>
      <c r="AN23" s="19" t="e">
        <f ca="1">AC11</f>
        <v>#REF!</v>
      </c>
      <c r="AO23" s="71" t="e">
        <f ca="1">CEILING(MAX(AN$43:AN$47)*$V$42,1)/$V$42+MAX(CEILING(MAX(AP$43:AP$47)*$V$42,1)/$V$42,1/$V$42)-AN23-AP23+1/$V$42</f>
        <v>#REF!</v>
      </c>
      <c r="AP23" s="19" t="e">
        <f ca="1">AI11</f>
        <v>#REF!</v>
      </c>
      <c r="AQ23" s="19" t="e">
        <f ca="1">AB11</f>
        <v>#REF!</v>
      </c>
      <c r="AR23" s="37" t="e">
        <f ca="1">CEILING(MAX(AQ$43:AQ$47)*$V$42,1)/$V$42-AQ23</f>
        <v>#REF!</v>
      </c>
      <c r="AS23" s="19" t="e">
        <f ca="1">SUM(W23:AR23)</f>
        <v>#N/A</v>
      </c>
      <c r="CL23" s="37"/>
      <c r="CM23" s="37"/>
      <c r="CN23" s="37"/>
      <c r="CO23" s="37"/>
      <c r="CP23" s="37"/>
      <c r="CQ23" s="37"/>
      <c r="CR23" s="37"/>
      <c r="CS23" s="37"/>
      <c r="CT23" s="63"/>
      <c r="CU23" s="62"/>
      <c r="CV23" s="19"/>
    </row>
    <row r="24" spans="1:100" s="1" customFormat="1" x14ac:dyDescent="0.25">
      <c r="A24" s="92" t="s">
        <v>30</v>
      </c>
      <c r="B24" s="66">
        <f ca="1">IFERROR(VLOOKUP($A24,[1]!LOOKUP_MDAPs,B$3,FALSE)/$G24,"")</f>
        <v>0.71695172764603821</v>
      </c>
      <c r="C24" s="66">
        <f ca="1">IFERROR(VLOOKUP($A24,[1]!LOOKUP_MDAPs,C$3,FALSE)/$G24,"")</f>
        <v>0</v>
      </c>
      <c r="D24" s="66">
        <f ca="1">IFERROR(VLOOKUP($A24,[1]!LOOKUP_MDAPs,D$3,FALSE)/$G24,"")</f>
        <v>3.25358456581013E-3</v>
      </c>
      <c r="E24" s="66">
        <f ca="1">IFERROR(VLOOKUP($A24,[1]!LOOKUP_MDAPs,E$3,FALSE)/$G24,"")</f>
        <v>4.2858625307774928E-2</v>
      </c>
      <c r="F24" s="66">
        <f ca="1">IFERROR(VLOOKUP($A24,[1]!LOOKUP_MDAPs,F$3,FALSE)/$G24,"")</f>
        <v>0</v>
      </c>
      <c r="G24" s="65">
        <f ca="1">IFERROR(VLOOKUP($A24,[1]!LOOKUP_MDAPs,G$3,FALSE),"")</f>
        <v>1210.3</v>
      </c>
      <c r="H24" s="64">
        <f ca="1">VLOOKUP($A24,[1]!LOOKUP_SARS_2009_Change_Breakdown2,H$3,FALSE)+0</f>
        <v>45.8</v>
      </c>
      <c r="I24" s="64" t="e">
        <f ca="1">VLOOKUP($A24,[1]!LOOKUP_SARS_2009_Change_Breakdown2,I$3,FALSE)+0</f>
        <v>#REF!</v>
      </c>
      <c r="J24" s="64" t="e">
        <f ca="1">VLOOKUP($A24,[1]!LOOKUP_SARS_2009_Change_Breakdown2,J$3,FALSE)+0</f>
        <v>#REF!</v>
      </c>
      <c r="K24" s="64" t="e">
        <f ca="1">VLOOKUP($A24,[1]!LOOKUP_SARS_2009_Change_Breakdown2,K$3,FALSE)+0</f>
        <v>#REF!</v>
      </c>
      <c r="L24" s="64" t="e">
        <f ca="1">VLOOKUP($A24,[1]!LOOKUP_SARS_2009_Change_Breakdown2,L$3,FALSE)+0</f>
        <v>#REF!</v>
      </c>
      <c r="M24" s="64" t="e">
        <f ca="1">VLOOKUP($A24,[1]!LOOKUP_SARS_2009_Change_Breakdown2,M$3,FALSE)+0</f>
        <v>#REF!</v>
      </c>
      <c r="N24" s="64" t="e">
        <f ca="1">VLOOKUP($A24,[1]!LOOKUP_SARS_2009_Change_Breakdown2,N$3,FALSE)+0</f>
        <v>#REF!</v>
      </c>
      <c r="O24" s="64" t="e">
        <f ca="1">VLOOKUP($A24,[1]!LOOKUP_SARS_2009_Change_Breakdown2,O$3,FALSE)+0</f>
        <v>#REF!</v>
      </c>
      <c r="P24" s="26">
        <f ca="1">VLOOKUP($A24,[1]!LOOKUP_SARS_Unified2,P$3,FALSE)</f>
        <v>1348.4</v>
      </c>
      <c r="Q24" s="1">
        <f t="shared" ca="1" si="19"/>
        <v>7.4161969741916344E-4</v>
      </c>
      <c r="R24" s="1">
        <v>1</v>
      </c>
      <c r="S24" s="37" t="e">
        <f t="shared" ca="1" si="15"/>
        <v>#REF!</v>
      </c>
      <c r="T24" s="73">
        <f t="shared" ca="1" si="16"/>
        <v>966.73770955791804</v>
      </c>
      <c r="U24" s="1" t="str">
        <f>V12</f>
        <v>Combination Unweighted</v>
      </c>
      <c r="V24" s="1" t="s">
        <v>116</v>
      </c>
      <c r="W24" s="37" t="e">
        <f ca="1">CEILING(MAX(X$43:X$47)*$V$42,1)/$V$42-X24</f>
        <v>#N/A</v>
      </c>
      <c r="X24" s="19" t="e">
        <f ca="1">AD12*-1</f>
        <v>#N/A</v>
      </c>
      <c r="Y24" s="19" t="e">
        <f ca="1">W12</f>
        <v>#N/A</v>
      </c>
      <c r="Z24" s="71" t="e">
        <f ca="1">CEILING(MAX(Y$43:Y$47)*$V$42,1)/$V$42+MAX(CEILING(MAX(AA$43:AA$47)*$V$42,1)/$V$42,1/$V$42)-Y24-AA24+1/$V$42</f>
        <v>#N/A</v>
      </c>
      <c r="AA24" s="19" t="e">
        <f ca="1">AE12*-1</f>
        <v>#REF!</v>
      </c>
      <c r="AB24" s="19" t="e">
        <f ca="1">X12</f>
        <v>#REF!</v>
      </c>
      <c r="AC24" s="71" t="e">
        <f ca="1">CEILING(MAX(AB$43:AB$47)*$V$42,1)/$V$42+MAX(CEILING(MAX(AD$43:AD$47)*$V$42,1)/$V$42,1/$V$42)-AB24-AD24+1/$V$42</f>
        <v>#REF!</v>
      </c>
      <c r="AD24" s="19" t="e">
        <f ca="1">AF12*-1</f>
        <v>#REF!</v>
      </c>
      <c r="AE24" s="19" t="e">
        <f ca="1">Y12</f>
        <v>#REF!</v>
      </c>
      <c r="AF24" s="71" t="e">
        <f ca="1">CEILING(MAX(AE$43:AE$47)*$V$42,1)/$V$42+MAX(CEILING(MAX(AG$43:AG$47)*$V$42,1)/$V$42,1/$V$42)-AE24-AG24+1/$V$42</f>
        <v>#REF!</v>
      </c>
      <c r="AG24" s="19" t="e">
        <f ca="1">AG12*-1</f>
        <v>#REF!</v>
      </c>
      <c r="AH24" s="19" t="e">
        <f ca="1">Z12</f>
        <v>#REF!</v>
      </c>
      <c r="AI24" s="71" t="e">
        <f ca="1">CEILING(MAX(AH$43:AH$47)*$V$42,1)/$V$42+MAX(CEILING(MAX(AJ$43:AJ$47)*$V$42,1)/$V$42,1/$V$42)-AH24-AJ24+1/$V$42</f>
        <v>#REF!</v>
      </c>
      <c r="AJ24" s="19" t="e">
        <f ca="1">AH12*-1</f>
        <v>#REF!</v>
      </c>
      <c r="AK24" s="19" t="e">
        <f ca="1">AA12</f>
        <v>#REF!</v>
      </c>
      <c r="AL24" s="71" t="e">
        <f ca="1">CEILING(MAX(AK$43:AK$47)*$V$42,1)/$V$42+MAX(CEILING(MAX(AM$43:AM$47)*$V$42,1)/$V$42,1/$V$42)-AK24-AM24+1/$V$42</f>
        <v>#REF!</v>
      </c>
      <c r="AM24" s="19" t="e">
        <f ca="1">AJ12*-1</f>
        <v>#REF!</v>
      </c>
      <c r="AN24" s="19" t="e">
        <f ca="1">AC12</f>
        <v>#REF!</v>
      </c>
      <c r="AO24" s="71" t="e">
        <f ca="1">CEILING(MAX(AN$43:AN$47)*$V$42,1)/$V$42+MAX(CEILING(MAX(AP$43:AP$47)*$V$42,1)/$V$42,1/$V$42)-AN24-AP24+1/$V$42</f>
        <v>#REF!</v>
      </c>
      <c r="AP24" s="19" t="e">
        <f ca="1">AI12</f>
        <v>#REF!</v>
      </c>
      <c r="AQ24" s="19" t="e">
        <f ca="1">AB12</f>
        <v>#REF!</v>
      </c>
      <c r="AR24" s="37" t="e">
        <f ca="1">CEILING(MAX(AQ$43:AQ$47)*$V$42,1)/$V$42-AQ24</f>
        <v>#REF!</v>
      </c>
      <c r="AS24" s="19" t="e">
        <f ca="1">SUM(W24:AR24)</f>
        <v>#N/A</v>
      </c>
      <c r="CL24" s="37"/>
      <c r="CM24" s="37"/>
      <c r="CN24" s="37"/>
      <c r="CO24" s="37"/>
      <c r="CP24" s="37"/>
      <c r="CQ24" s="37"/>
      <c r="CR24" s="37"/>
      <c r="CS24" s="37"/>
      <c r="CT24" s="63"/>
      <c r="CU24" s="62"/>
      <c r="CV24" s="19"/>
    </row>
    <row r="25" spans="1:100" s="1" customFormat="1" x14ac:dyDescent="0.25">
      <c r="A25" s="92" t="s">
        <v>176</v>
      </c>
      <c r="B25" s="66">
        <f ca="1">IFERROR(VLOOKUP($A25,[1]!LOOKUP_MDAPs,B$3,FALSE)/$G25,"")</f>
        <v>0.24483316425958629</v>
      </c>
      <c r="C25" s="66">
        <f ca="1">IFERROR(VLOOKUP($A25,[1]!LOOKUP_MDAPs,C$3,FALSE)/$G25,"")</f>
        <v>0</v>
      </c>
      <c r="D25" s="66">
        <f ca="1">IFERROR(VLOOKUP($A25,[1]!LOOKUP_MDAPs,D$3,FALSE)/$G25,"")</f>
        <v>0.27811153763244201</v>
      </c>
      <c r="E25" s="66">
        <f ca="1">IFERROR(VLOOKUP($A25,[1]!LOOKUP_MDAPs,E$3,FALSE)/$G25,"")</f>
        <v>1.1492544147325933E-2</v>
      </c>
      <c r="F25" s="66">
        <f ca="1">IFERROR(VLOOKUP($A25,[1]!LOOKUP_MDAPs,F$3,FALSE)/$G25,"")</f>
        <v>-1.3347821014127146E-4</v>
      </c>
      <c r="G25" s="65">
        <f ca="1">IFERROR(VLOOKUP($A25,[1]!LOOKUP_MDAPs,G$3,FALSE),"")</f>
        <v>1585.6</v>
      </c>
      <c r="H25" s="64" t="e">
        <f ca="1">VLOOKUP($A25,[1]!LOOKUP_SARS_2009_Change_Breakdown2,H$3,FALSE)+0</f>
        <v>#N/A</v>
      </c>
      <c r="I25" s="64" t="e">
        <f ca="1">VLOOKUP($A25,[1]!LOOKUP_SARS_2009_Change_Breakdown2,I$3,FALSE)+0</f>
        <v>#N/A</v>
      </c>
      <c r="J25" s="64" t="e">
        <f ca="1">VLOOKUP($A25,[1]!LOOKUP_SARS_2009_Change_Breakdown2,J$3,FALSE)+0</f>
        <v>#N/A</v>
      </c>
      <c r="K25" s="64" t="e">
        <f ca="1">VLOOKUP($A25,[1]!LOOKUP_SARS_2009_Change_Breakdown2,K$3,FALSE)+0</f>
        <v>#N/A</v>
      </c>
      <c r="L25" s="64" t="e">
        <f ca="1">VLOOKUP($A25,[1]!LOOKUP_SARS_2009_Change_Breakdown2,L$3,FALSE)+0</f>
        <v>#N/A</v>
      </c>
      <c r="M25" s="64" t="e">
        <f ca="1">VLOOKUP($A25,[1]!LOOKUP_SARS_2009_Change_Breakdown2,M$3,FALSE)+0</f>
        <v>#N/A</v>
      </c>
      <c r="N25" s="64" t="e">
        <f ca="1">VLOOKUP($A25,[1]!LOOKUP_SARS_2009_Change_Breakdown2,N$3,FALSE)+0</f>
        <v>#N/A</v>
      </c>
      <c r="O25" s="64" t="e">
        <f ca="1">VLOOKUP($A25,[1]!LOOKUP_SARS_2009_Change_Breakdown2,O$3,FALSE)+0</f>
        <v>#N/A</v>
      </c>
      <c r="P25" s="26">
        <f ca="1">VLOOKUP($A25,[1]!LOOKUP_SARS_Unified2,P$3,FALSE)</f>
        <v>15172.3</v>
      </c>
      <c r="Q25" s="1">
        <f t="shared" ca="1" si="19"/>
        <v>6.5909585230980141E-5</v>
      </c>
      <c r="R25" s="1">
        <v>1</v>
      </c>
      <c r="S25" s="37" t="e">
        <f t="shared" ca="1" si="15"/>
        <v>#N/A</v>
      </c>
      <c r="T25" s="73">
        <f t="shared" ca="1" si="16"/>
        <v>3714.6822180957211</v>
      </c>
      <c r="U25" s="1" t="str">
        <f>V13</f>
        <v>Cost Plus Award/Incentive Unweighted</v>
      </c>
      <c r="V25" s="1" t="s">
        <v>116</v>
      </c>
      <c r="W25" s="37" t="e">
        <f ca="1">CEILING(MAX(X$43:X$47)*$V$42,1)/$V$42-X25</f>
        <v>#N/A</v>
      </c>
      <c r="X25" s="19" t="e">
        <f ca="1">AD13*-1</f>
        <v>#N/A</v>
      </c>
      <c r="Y25" s="19" t="e">
        <f ca="1">W13</f>
        <v>#N/A</v>
      </c>
      <c r="Z25" s="71" t="e">
        <f ca="1">CEILING(MAX(Y$43:Y$47)*$V$42,1)/$V$42+MAX(CEILING(MAX(AA$43:AA$47)*$V$42,1)/$V$42,1/$V$42)-Y25-AA25+1/$V$42</f>
        <v>#N/A</v>
      </c>
      <c r="AA25" s="19" t="e">
        <f ca="1">AE13*-1</f>
        <v>#REF!</v>
      </c>
      <c r="AB25" s="19" t="e">
        <f ca="1">X13</f>
        <v>#REF!</v>
      </c>
      <c r="AC25" s="71" t="e">
        <f ca="1">CEILING(MAX(AB$43:AB$47)*$V$42,1)/$V$42+MAX(CEILING(MAX(AD$43:AD$47)*$V$42,1)/$V$42,1/$V$42)-AB25-AD25+1/$V$42</f>
        <v>#REF!</v>
      </c>
      <c r="AD25" s="19" t="e">
        <f ca="1">AF13*-1</f>
        <v>#REF!</v>
      </c>
      <c r="AE25" s="19" t="e">
        <f ca="1">Y13</f>
        <v>#REF!</v>
      </c>
      <c r="AF25" s="71" t="e">
        <f ca="1">CEILING(MAX(AE$43:AE$47)*$V$42,1)/$V$42+MAX(CEILING(MAX(AG$43:AG$47)*$V$42,1)/$V$42,1/$V$42)-AE25-AG25+1/$V$42</f>
        <v>#REF!</v>
      </c>
      <c r="AG25" s="19" t="e">
        <f ca="1">AG13*-1</f>
        <v>#REF!</v>
      </c>
      <c r="AH25" s="19" t="e">
        <f ca="1">Z13</f>
        <v>#REF!</v>
      </c>
      <c r="AI25" s="71" t="e">
        <f ca="1">CEILING(MAX(AH$43:AH$47)*$V$42,1)/$V$42+MAX(CEILING(MAX(AJ$43:AJ$47)*$V$42,1)/$V$42,1/$V$42)-AH25-AJ25+1/$V$42</f>
        <v>#REF!</v>
      </c>
      <c r="AJ25" s="19" t="e">
        <f ca="1">AH13*-1</f>
        <v>#REF!</v>
      </c>
      <c r="AK25" s="19" t="e">
        <f ca="1">AA13</f>
        <v>#REF!</v>
      </c>
      <c r="AL25" s="71" t="e">
        <f ca="1">CEILING(MAX(AK$43:AK$47)*$V$42,1)/$V$42+MAX(CEILING(MAX(AM$43:AM$47)*$V$42,1)/$V$42,1/$V$42)-AK25-AM25+1/$V$42</f>
        <v>#REF!</v>
      </c>
      <c r="AM25" s="19" t="e">
        <f ca="1">AJ13*-1</f>
        <v>#REF!</v>
      </c>
      <c r="AN25" s="19" t="e">
        <f ca="1">AC13</f>
        <v>#REF!</v>
      </c>
      <c r="AO25" s="71" t="e">
        <f ca="1">CEILING(MAX(AN$43:AN$47)*$V$42,1)/$V$42+MAX(CEILING(MAX(AP$43:AP$47)*$V$42,1)/$V$42,1/$V$42)-AN25-AP25+1/$V$42</f>
        <v>#REF!</v>
      </c>
      <c r="AP25" s="19" t="e">
        <f ca="1">AI13</f>
        <v>#REF!</v>
      </c>
      <c r="AQ25" s="19" t="e">
        <f ca="1">AB13</f>
        <v>#REF!</v>
      </c>
      <c r="AR25" s="37" t="e">
        <f ca="1">CEILING(MAX(AQ$43:AQ$47)*$V$42,1)/$V$42-AQ25</f>
        <v>#REF!</v>
      </c>
      <c r="AS25" s="19" t="e">
        <f ca="1">SUM(W25:AR25)</f>
        <v>#N/A</v>
      </c>
      <c r="CL25" s="37"/>
      <c r="CM25" s="37"/>
      <c r="CN25" s="37"/>
      <c r="CO25" s="37"/>
      <c r="CP25" s="37"/>
      <c r="CQ25" s="37"/>
      <c r="CR25" s="37"/>
      <c r="CS25" s="37"/>
      <c r="CT25" s="63"/>
      <c r="CU25" s="62"/>
      <c r="CV25" s="19"/>
    </row>
    <row r="26" spans="1:100" s="1" customFormat="1" x14ac:dyDescent="0.25">
      <c r="A26" s="92" t="s">
        <v>28</v>
      </c>
      <c r="B26" s="66">
        <f ca="1">IFERROR(VLOOKUP($A26,[1]!LOOKUP_MDAPs,B$3,FALSE)/$G26,"")</f>
        <v>0.19159994437279596</v>
      </c>
      <c r="C26" s="66">
        <f ca="1">IFERROR(VLOOKUP($A26,[1]!LOOKUP_MDAPs,C$3,FALSE)/$G26,"")</f>
        <v>0</v>
      </c>
      <c r="D26" s="66">
        <f ca="1">IFERROR(VLOOKUP($A26,[1]!LOOKUP_MDAPs,D$3,FALSE)/$G26,"")</f>
        <v>2.840822216624685E-3</v>
      </c>
      <c r="E26" s="66">
        <f ca="1">IFERROR(VLOOKUP($A26,[1]!LOOKUP_MDAPs,E$3,FALSE)/$G26,"")</f>
        <v>5.6990063274559204E-3</v>
      </c>
      <c r="F26" s="66">
        <f ca="1">IFERROR(VLOOKUP($A26,[1]!LOOKUP_MDAPs,F$3,FALSE)/$G26,"")</f>
        <v>5.7347909319899236E-4</v>
      </c>
      <c r="G26" s="65">
        <f ca="1">IFERROR(VLOOKUP($A26,[1]!LOOKUP_MDAPs,G$3,FALSE),"")</f>
        <v>1985</v>
      </c>
      <c r="H26" s="64">
        <f ca="1">VLOOKUP($A26,[1]!LOOKUP_SARS_2009_Change_Breakdown2,H$3,FALSE)+0</f>
        <v>2387.5</v>
      </c>
      <c r="I26" s="64" t="e">
        <f ca="1">VLOOKUP($A26,[1]!LOOKUP_SARS_2009_Change_Breakdown2,I$3,FALSE)+0</f>
        <v>#REF!</v>
      </c>
      <c r="J26" s="64" t="e">
        <f ca="1">VLOOKUP($A26,[1]!LOOKUP_SARS_2009_Change_Breakdown2,J$3,FALSE)+0</f>
        <v>#REF!</v>
      </c>
      <c r="K26" s="64" t="e">
        <f ca="1">VLOOKUP($A26,[1]!LOOKUP_SARS_2009_Change_Breakdown2,K$3,FALSE)+0</f>
        <v>#REF!</v>
      </c>
      <c r="L26" s="64" t="e">
        <f ca="1">VLOOKUP($A26,[1]!LOOKUP_SARS_2009_Change_Breakdown2,L$3,FALSE)+0</f>
        <v>#REF!</v>
      </c>
      <c r="M26" s="64" t="e">
        <f ca="1">VLOOKUP($A26,[1]!LOOKUP_SARS_2009_Change_Breakdown2,M$3,FALSE)+0</f>
        <v>#REF!</v>
      </c>
      <c r="N26" s="64" t="e">
        <f ca="1">VLOOKUP($A26,[1]!LOOKUP_SARS_2009_Change_Breakdown2,N$3,FALSE)+0</f>
        <v>#REF!</v>
      </c>
      <c r="O26" s="64" t="e">
        <f ca="1">VLOOKUP($A26,[1]!LOOKUP_SARS_2009_Change_Breakdown2,O$3,FALSE)+0</f>
        <v>#REF!</v>
      </c>
      <c r="P26" s="26">
        <f ca="1">VLOOKUP($A26,[1]!LOOKUP_SARS_Unified2,P$3,FALSE)</f>
        <v>6300.3</v>
      </c>
      <c r="Q26" s="1">
        <f t="shared" ca="1" si="19"/>
        <v>1.5872260051108677E-4</v>
      </c>
      <c r="R26" s="1">
        <v>1</v>
      </c>
      <c r="S26" s="37" t="e">
        <f t="shared" ca="1" si="15"/>
        <v>#REF!</v>
      </c>
      <c r="T26" s="73">
        <f t="shared" ca="1" si="16"/>
        <v>1207.1371295319263</v>
      </c>
      <c r="U26" s="1" t="str">
        <f>V14</f>
        <v>Cost (All Other; Including Time and Materials and Labor) Unweighted</v>
      </c>
      <c r="V26" s="1" t="s">
        <v>116</v>
      </c>
      <c r="W26" s="37" t="e">
        <f ca="1">CEILING(MAX(X$43:X$47)*$V$42,1)/$V$42-X26</f>
        <v>#N/A</v>
      </c>
      <c r="X26" s="19" t="e">
        <f ca="1">AD14*-1</f>
        <v>#N/A</v>
      </c>
      <c r="Y26" s="19" t="e">
        <f ca="1">W14</f>
        <v>#N/A</v>
      </c>
      <c r="Z26" s="71" t="e">
        <f ca="1">CEILING(MAX(Y$43:Y$47)*$V$42,1)/$V$42+MAX(CEILING(MAX(AA$43:AA$47)*$V$42,1)/$V$42,1/$V$42)-Y26-AA26+1/$V$42</f>
        <v>#N/A</v>
      </c>
      <c r="AA26" s="19" t="e">
        <f ca="1">AE14*-1</f>
        <v>#REF!</v>
      </c>
      <c r="AB26" s="19" t="e">
        <f ca="1">X14</f>
        <v>#REF!</v>
      </c>
      <c r="AC26" s="71" t="e">
        <f ca="1">CEILING(MAX(AB$43:AB$47)*$V$42,1)/$V$42+MAX(CEILING(MAX(AD$43:AD$47)*$V$42,1)/$V$42,1/$V$42)-AB26-AD26+1/$V$42</f>
        <v>#REF!</v>
      </c>
      <c r="AD26" s="19" t="e">
        <f ca="1">AF14*-1</f>
        <v>#REF!</v>
      </c>
      <c r="AE26" s="19" t="e">
        <f ca="1">Y14</f>
        <v>#REF!</v>
      </c>
      <c r="AF26" s="71" t="e">
        <f ca="1">CEILING(MAX(AE$43:AE$47)*$V$42,1)/$V$42+MAX(CEILING(MAX(AG$43:AG$47)*$V$42,1)/$V$42,1/$V$42)-AE26-AG26+1/$V$42</f>
        <v>#REF!</v>
      </c>
      <c r="AG26" s="19" t="e">
        <f ca="1">AG14*-1</f>
        <v>#REF!</v>
      </c>
      <c r="AH26" s="19" t="e">
        <f ca="1">Z14</f>
        <v>#REF!</v>
      </c>
      <c r="AI26" s="71" t="e">
        <f ca="1">CEILING(MAX(AH$43:AH$47)*$V$42,1)/$V$42+MAX(CEILING(MAX(AJ$43:AJ$47)*$V$42,1)/$V$42,1/$V$42)-AH26-AJ26+1/$V$42</f>
        <v>#REF!</v>
      </c>
      <c r="AJ26" s="19" t="e">
        <f ca="1">AH14*-1</f>
        <v>#REF!</v>
      </c>
      <c r="AK26" s="19" t="e">
        <f ca="1">AA14</f>
        <v>#REF!</v>
      </c>
      <c r="AL26" s="71" t="e">
        <f ca="1">CEILING(MAX(AK$43:AK$47)*$V$42,1)/$V$42+MAX(CEILING(MAX(AM$43:AM$47)*$V$42,1)/$V$42,1/$V$42)-AK26-AM26+1/$V$42</f>
        <v>#REF!</v>
      </c>
      <c r="AM26" s="19" t="e">
        <f ca="1">AJ14*-1</f>
        <v>#REF!</v>
      </c>
      <c r="AN26" s="19" t="e">
        <f ca="1">AC14</f>
        <v>#REF!</v>
      </c>
      <c r="AO26" s="71" t="e">
        <f ca="1">CEILING(MAX(AN$43:AN$47)*$V$42,1)/$V$42+MAX(CEILING(MAX(AP$43:AP$47)*$V$42,1)/$V$42,1/$V$42)-AN26-AP26+1/$V$42</f>
        <v>#REF!</v>
      </c>
      <c r="AP26" s="19" t="e">
        <f ca="1">AI14</f>
        <v>#REF!</v>
      </c>
      <c r="AQ26" s="19" t="e">
        <f ca="1">AB14</f>
        <v>#REF!</v>
      </c>
      <c r="AR26" s="37" t="e">
        <f ca="1">CEILING(MAX(AQ$43:AQ$47)*$V$42,1)/$V$42-AQ26</f>
        <v>#REF!</v>
      </c>
      <c r="AS26" s="19" t="e">
        <f ca="1">SUM(W26:AR26)</f>
        <v>#N/A</v>
      </c>
      <c r="CL26" s="37"/>
      <c r="CM26" s="37"/>
      <c r="CN26" s="37"/>
      <c r="CO26" s="37"/>
      <c r="CP26" s="37"/>
      <c r="CQ26" s="37"/>
      <c r="CR26" s="37"/>
      <c r="CS26" s="37"/>
      <c r="CT26" s="63"/>
      <c r="CU26" s="62"/>
      <c r="CV26" s="19"/>
    </row>
    <row r="27" spans="1:100" s="1" customFormat="1" x14ac:dyDescent="0.25">
      <c r="A27" s="92" t="s">
        <v>19</v>
      </c>
      <c r="B27" s="66">
        <f ca="1">IFERROR(VLOOKUP($A27,[1]!LOOKUP_MDAPs,B$3,FALSE)/$G27,"")</f>
        <v>0.82341390594067587</v>
      </c>
      <c r="C27" s="66">
        <f ca="1">IFERROR(VLOOKUP($A27,[1]!LOOKUP_MDAPs,C$3,FALSE)/$G27,"")</f>
        <v>0</v>
      </c>
      <c r="D27" s="66">
        <f ca="1">IFERROR(VLOOKUP($A27,[1]!LOOKUP_MDAPs,D$3,FALSE)/$G27,"")</f>
        <v>2.7797585611972424E-2</v>
      </c>
      <c r="E27" s="66">
        <f ca="1">IFERROR(VLOOKUP($A27,[1]!LOOKUP_MDAPs,E$3,FALSE)/$G27,"")</f>
        <v>4.1136436231914049E-2</v>
      </c>
      <c r="F27" s="66">
        <f ca="1">IFERROR(VLOOKUP($A27,[1]!LOOKUP_MDAPs,F$3,FALSE)/$G27,"")</f>
        <v>-1.0673050650990457E-3</v>
      </c>
      <c r="G27" s="65">
        <f ca="1">IFERROR(VLOOKUP($A27,[1]!LOOKUP_MDAPs,G$3,FALSE),"")</f>
        <v>9662.2000000000007</v>
      </c>
      <c r="H27" s="64">
        <f ca="1">VLOOKUP($A27,[1]!LOOKUP_SARS_2009_Change_Breakdown2,H$3,FALSE)+0</f>
        <v>14338.4</v>
      </c>
      <c r="I27" s="64" t="e">
        <f ca="1">VLOOKUP($A27,[1]!LOOKUP_SARS_2009_Change_Breakdown2,I$3,FALSE)+0</f>
        <v>#REF!</v>
      </c>
      <c r="J27" s="64" t="e">
        <f ca="1">VLOOKUP($A27,[1]!LOOKUP_SARS_2009_Change_Breakdown2,J$3,FALSE)+0</f>
        <v>#REF!</v>
      </c>
      <c r="K27" s="64" t="e">
        <f ca="1">VLOOKUP($A27,[1]!LOOKUP_SARS_2009_Change_Breakdown2,K$3,FALSE)+0</f>
        <v>#REF!</v>
      </c>
      <c r="L27" s="64" t="e">
        <f ca="1">VLOOKUP($A27,[1]!LOOKUP_SARS_2009_Change_Breakdown2,L$3,FALSE)+0</f>
        <v>#REF!</v>
      </c>
      <c r="M27" s="64" t="e">
        <f ca="1">VLOOKUP($A27,[1]!LOOKUP_SARS_2009_Change_Breakdown2,M$3,FALSE)+0</f>
        <v>#REF!</v>
      </c>
      <c r="N27" s="64" t="e">
        <f ca="1">VLOOKUP($A27,[1]!LOOKUP_SARS_2009_Change_Breakdown2,N$3,FALSE)+0</f>
        <v>#REF!</v>
      </c>
      <c r="O27" s="64" t="e">
        <f ca="1">VLOOKUP($A27,[1]!LOOKUP_SARS_2009_Change_Breakdown2,O$3,FALSE)+0</f>
        <v>#REF!</v>
      </c>
      <c r="P27" s="26">
        <f ca="1">VLOOKUP($A27,[1]!LOOKUP_SARS_Unified2,P$3,FALSE)</f>
        <v>839.7</v>
      </c>
      <c r="Q27" s="1">
        <f t="shared" ca="1" si="19"/>
        <v>1.1909015124449208E-3</v>
      </c>
      <c r="R27" s="1">
        <v>1</v>
      </c>
      <c r="S27" s="37" t="e">
        <f t="shared" ca="1" si="15"/>
        <v>#REF!</v>
      </c>
      <c r="T27" s="73">
        <f t="shared" ca="1" si="16"/>
        <v>691.42065681838562</v>
      </c>
      <c r="U27" s="1" t="str">
        <f>V15</f>
        <v>Unclear Type Unweighted</v>
      </c>
      <c r="V27" s="1" t="s">
        <v>116</v>
      </c>
      <c r="W27" s="37" t="e">
        <f ca="1">CEILING(MAX(X$43:X$47)*$V$42,1)/$V$42-X27</f>
        <v>#N/A</v>
      </c>
      <c r="X27" s="19" t="e">
        <f ca="1">AD15*-1</f>
        <v>#N/A</v>
      </c>
      <c r="Y27" s="19" t="e">
        <f ca="1">W15</f>
        <v>#N/A</v>
      </c>
      <c r="Z27" s="71" t="e">
        <f ca="1">CEILING(MAX(Y$43:Y$47)*$V$42,1)/$V$42+MAX(CEILING(MAX(AA$43:AA$47)*$V$42,1)/$V$42,1/$V$42)-Y27-AA27+1/$V$42</f>
        <v>#N/A</v>
      </c>
      <c r="AA27" s="19" t="e">
        <f ca="1">AE15*-1</f>
        <v>#REF!</v>
      </c>
      <c r="AB27" s="19" t="e">
        <f ca="1">X15</f>
        <v>#REF!</v>
      </c>
      <c r="AC27" s="71" t="e">
        <f ca="1">CEILING(MAX(AB$43:AB$47)*$V$42,1)/$V$42+MAX(CEILING(MAX(AD$43:AD$47)*$V$42,1)/$V$42,1/$V$42)-AB27-AD27+1/$V$42</f>
        <v>#REF!</v>
      </c>
      <c r="AD27" s="19" t="e">
        <f ca="1">AF15*-1</f>
        <v>#REF!</v>
      </c>
      <c r="AE27" s="19" t="e">
        <f ca="1">Y15</f>
        <v>#REF!</v>
      </c>
      <c r="AF27" s="71" t="e">
        <f ca="1">CEILING(MAX(AE$43:AE$47)*$V$42,1)/$V$42+MAX(CEILING(MAX(AG$43:AG$47)*$V$42,1)/$V$42,1/$V$42)-AE27-AG27+1/$V$42</f>
        <v>#REF!</v>
      </c>
      <c r="AG27" s="19" t="e">
        <f ca="1">AG15*-1</f>
        <v>#REF!</v>
      </c>
      <c r="AH27" s="19" t="e">
        <f ca="1">Z15</f>
        <v>#REF!</v>
      </c>
      <c r="AI27" s="71" t="e">
        <f ca="1">CEILING(MAX(AH$43:AH$47)*$V$42,1)/$V$42+MAX(CEILING(MAX(AJ$43:AJ$47)*$V$42,1)/$V$42,1/$V$42)-AH27-AJ27+1/$V$42</f>
        <v>#REF!</v>
      </c>
      <c r="AJ27" s="19" t="e">
        <f ca="1">AH15*-1</f>
        <v>#REF!</v>
      </c>
      <c r="AK27" s="19" t="e">
        <f ca="1">AA15</f>
        <v>#REF!</v>
      </c>
      <c r="AL27" s="71" t="e">
        <f ca="1">CEILING(MAX(AK$43:AK$47)*$V$42,1)/$V$42+MAX(CEILING(MAX(AM$43:AM$47)*$V$42,1)/$V$42,1/$V$42)-AK27-AM27+1/$V$42</f>
        <v>#REF!</v>
      </c>
      <c r="AM27" s="19" t="e">
        <f ca="1">AJ15*-1</f>
        <v>#REF!</v>
      </c>
      <c r="AN27" s="19" t="e">
        <f ca="1">AC15</f>
        <v>#REF!</v>
      </c>
      <c r="AO27" s="71" t="e">
        <f ca="1">CEILING(MAX(AN$43:AN$47)*$V$42,1)/$V$42+MAX(CEILING(MAX(AP$43:AP$47)*$V$42,1)/$V$42,1/$V$42)-AN27-AP27+1/$V$42</f>
        <v>#REF!</v>
      </c>
      <c r="AP27" s="19" t="e">
        <f ca="1">AI15</f>
        <v>#REF!</v>
      </c>
      <c r="AQ27" s="19" t="e">
        <f ca="1">AB15</f>
        <v>#REF!</v>
      </c>
      <c r="AR27" s="37" t="e">
        <f ca="1">CEILING(MAX(AQ$43:AQ$47)*$V$42,1)/$V$42-AQ27</f>
        <v>#REF!</v>
      </c>
      <c r="AS27" s="19" t="e">
        <f ca="1">SUM(W27:AR27)</f>
        <v>#N/A</v>
      </c>
      <c r="CL27" s="37"/>
      <c r="CM27" s="37"/>
      <c r="CN27" s="37"/>
      <c r="CO27" s="37"/>
      <c r="CP27" s="37"/>
      <c r="CQ27" s="37"/>
      <c r="CR27" s="37"/>
      <c r="CS27" s="37"/>
      <c r="CT27" s="63"/>
      <c r="CU27" s="62"/>
      <c r="CV27" s="19"/>
    </row>
    <row r="28" spans="1:100" s="1" customFormat="1" x14ac:dyDescent="0.25">
      <c r="A28" s="92" t="s">
        <v>24</v>
      </c>
      <c r="B28" s="66">
        <f ca="1">IFERROR(VLOOKUP($A28,[1]!LOOKUP_MDAPs,B$3,FALSE)/$G28,"")</f>
        <v>0.3083859833650725</v>
      </c>
      <c r="C28" s="66">
        <f ca="1">IFERROR(VLOOKUP($A28,[1]!LOOKUP_MDAPs,C$3,FALSE)/$G28,"")</f>
        <v>0</v>
      </c>
      <c r="D28" s="66">
        <f ca="1">IFERROR(VLOOKUP($A28,[1]!LOOKUP_MDAPs,D$3,FALSE)/$G28,"")</f>
        <v>2.3648448165291143E-3</v>
      </c>
      <c r="E28" s="66">
        <f ca="1">IFERROR(VLOOKUP($A28,[1]!LOOKUP_MDAPs,E$3,FALSE)/$G28,"")</f>
        <v>1.1122002997268435E-2</v>
      </c>
      <c r="F28" s="66">
        <f ca="1">IFERROR(VLOOKUP($A28,[1]!LOOKUP_MDAPs,F$3,FALSE)/$G28,"")</f>
        <v>1.2774556540776909E-3</v>
      </c>
      <c r="G28" s="65">
        <f ca="1">IFERROR(VLOOKUP($A28,[1]!LOOKUP_MDAPs,G$3,FALSE),"")</f>
        <v>68422.3</v>
      </c>
      <c r="H28" s="64">
        <f ca="1">VLOOKUP($A28,[1]!LOOKUP_SARS_2009_Change_Breakdown2,H$3,FALSE)+0</f>
        <v>27758.9</v>
      </c>
      <c r="I28" s="64" t="e">
        <f ca="1">VLOOKUP($A28,[1]!LOOKUP_SARS_2009_Change_Breakdown2,I$3,FALSE)+0</f>
        <v>#REF!</v>
      </c>
      <c r="J28" s="64" t="e">
        <f ca="1">VLOOKUP($A28,[1]!LOOKUP_SARS_2009_Change_Breakdown2,J$3,FALSE)+0</f>
        <v>#REF!</v>
      </c>
      <c r="K28" s="64" t="e">
        <f ca="1">VLOOKUP($A28,[1]!LOOKUP_SARS_2009_Change_Breakdown2,K$3,FALSE)+0</f>
        <v>#REF!</v>
      </c>
      <c r="L28" s="64" t="e">
        <f ca="1">VLOOKUP($A28,[1]!LOOKUP_SARS_2009_Change_Breakdown2,L$3,FALSE)+0</f>
        <v>#REF!</v>
      </c>
      <c r="M28" s="64" t="e">
        <f ca="1">VLOOKUP($A28,[1]!LOOKUP_SARS_2009_Change_Breakdown2,M$3,FALSE)+0</f>
        <v>#REF!</v>
      </c>
      <c r="N28" s="64" t="e">
        <f ca="1">VLOOKUP($A28,[1]!LOOKUP_SARS_2009_Change_Breakdown2,N$3,FALSE)+0</f>
        <v>#REF!</v>
      </c>
      <c r="O28" s="64" t="e">
        <f ca="1">VLOOKUP($A28,[1]!LOOKUP_SARS_2009_Change_Breakdown2,O$3,FALSE)+0</f>
        <v>#REF!</v>
      </c>
      <c r="P28" s="26">
        <f ca="1">VLOOKUP($A28,[1]!LOOKUP_SARS_Unified2,P$3,FALSE)</f>
        <v>41811.9</v>
      </c>
      <c r="Q28" s="1">
        <f t="shared" ca="1" si="19"/>
        <v>2.3916636172955545E-5</v>
      </c>
      <c r="R28" s="1">
        <v>1</v>
      </c>
      <c r="S28" s="37" t="e">
        <f t="shared" ca="1" si="15"/>
        <v>#REF!</v>
      </c>
      <c r="T28" s="73">
        <f t="shared" ca="1" si="16"/>
        <v>12894.203897862075</v>
      </c>
      <c r="CL28" s="37"/>
      <c r="CM28" s="37"/>
      <c r="CN28" s="37"/>
      <c r="CO28" s="37"/>
      <c r="CP28" s="37"/>
      <c r="CQ28" s="37"/>
      <c r="CR28" s="37"/>
      <c r="CS28" s="37"/>
      <c r="CT28" s="63"/>
      <c r="CU28" s="62"/>
      <c r="CV28" s="19"/>
    </row>
    <row r="29" spans="1:100" s="1" customFormat="1" x14ac:dyDescent="0.25">
      <c r="A29" s="92" t="s">
        <v>27</v>
      </c>
      <c r="B29" s="66">
        <f ca="1">IFERROR(VLOOKUP($A29,[1]!LOOKUP_MDAPs,B$3,FALSE)/$G29,"")</f>
        <v>0.36096936631637477</v>
      </c>
      <c r="C29" s="66">
        <f ca="1">IFERROR(VLOOKUP($A29,[1]!LOOKUP_MDAPs,C$3,FALSE)/$G29,"")</f>
        <v>0</v>
      </c>
      <c r="D29" s="66">
        <f ca="1">IFERROR(VLOOKUP($A29,[1]!LOOKUP_MDAPs,D$3,FALSE)/$G29,"")</f>
        <v>2.3310957436752855E-3</v>
      </c>
      <c r="E29" s="66">
        <f ca="1">IFERROR(VLOOKUP($A29,[1]!LOOKUP_MDAPs,E$3,FALSE)/$G29,"")</f>
        <v>2.7991406839032525E-3</v>
      </c>
      <c r="F29" s="66">
        <f ca="1">IFERROR(VLOOKUP($A29,[1]!LOOKUP_MDAPs,F$3,FALSE)/$G29,"")</f>
        <v>3.2274951348345841E-5</v>
      </c>
      <c r="G29" s="65">
        <f ca="1">IFERROR(VLOOKUP($A29,[1]!LOOKUP_MDAPs,G$3,FALSE),"")</f>
        <v>3597</v>
      </c>
      <c r="H29" s="64">
        <f ca="1">VLOOKUP($A29,[1]!LOOKUP_SARS_2009_Change_Breakdown2,H$3,FALSE)+0</f>
        <v>-222.2</v>
      </c>
      <c r="I29" s="64" t="e">
        <f ca="1">VLOOKUP($A29,[1]!LOOKUP_SARS_2009_Change_Breakdown2,I$3,FALSE)+0</f>
        <v>#REF!</v>
      </c>
      <c r="J29" s="64" t="e">
        <f ca="1">VLOOKUP($A29,[1]!LOOKUP_SARS_2009_Change_Breakdown2,J$3,FALSE)+0</f>
        <v>#REF!</v>
      </c>
      <c r="K29" s="64" t="e">
        <f ca="1">VLOOKUP($A29,[1]!LOOKUP_SARS_2009_Change_Breakdown2,K$3,FALSE)+0</f>
        <v>#REF!</v>
      </c>
      <c r="L29" s="64" t="e">
        <f ca="1">VLOOKUP($A29,[1]!LOOKUP_SARS_2009_Change_Breakdown2,L$3,FALSE)+0</f>
        <v>#REF!</v>
      </c>
      <c r="M29" s="64" t="e">
        <f ca="1">VLOOKUP($A29,[1]!LOOKUP_SARS_2009_Change_Breakdown2,M$3,FALSE)+0</f>
        <v>#REF!</v>
      </c>
      <c r="N29" s="64" t="e">
        <f ca="1">VLOOKUP($A29,[1]!LOOKUP_SARS_2009_Change_Breakdown2,N$3,FALSE)+0</f>
        <v>#REF!</v>
      </c>
      <c r="O29" s="64" t="e">
        <f ca="1">VLOOKUP($A29,[1]!LOOKUP_SARS_2009_Change_Breakdown2,O$3,FALSE)+0</f>
        <v>#REF!</v>
      </c>
      <c r="P29" s="26">
        <f ca="1">VLOOKUP($A29,[1]!LOOKUP_SARS_Unified2,P$3,FALSE)</f>
        <v>7694.1</v>
      </c>
      <c r="Q29" s="1">
        <f t="shared" ca="1" si="19"/>
        <v>1.2996971705592596E-4</v>
      </c>
      <c r="R29" s="1">
        <v>1</v>
      </c>
      <c r="S29" s="37" t="e">
        <f t="shared" ca="1" si="15"/>
        <v>#REF!</v>
      </c>
      <c r="T29" s="73">
        <f t="shared" ca="1" si="16"/>
        <v>2777.3344013748192</v>
      </c>
      <c r="CL29" s="37"/>
      <c r="CM29" s="37"/>
      <c r="CN29" s="37"/>
      <c r="CO29" s="37"/>
      <c r="CP29" s="37"/>
      <c r="CQ29" s="37"/>
      <c r="CR29" s="37"/>
      <c r="CS29" s="37"/>
      <c r="CT29" s="63"/>
      <c r="CU29" s="62"/>
      <c r="CV29" s="19"/>
    </row>
    <row r="30" spans="1:100" s="1" customFormat="1" x14ac:dyDescent="0.25">
      <c r="A30" s="92" t="s">
        <v>250</v>
      </c>
      <c r="B30" s="66">
        <f ca="1">IFERROR(VLOOKUP($A30,[1]!LOOKUP_MDAPs,B$3,FALSE)/$G30,"")</f>
        <v>-2.1141562853907133E-4</v>
      </c>
      <c r="C30" s="66">
        <f ca="1">IFERROR(VLOOKUP($A30,[1]!LOOKUP_MDAPs,C$3,FALSE)/$G30,"")</f>
        <v>0</v>
      </c>
      <c r="D30" s="66">
        <f ca="1">IFERROR(VLOOKUP($A30,[1]!LOOKUP_MDAPs,D$3,FALSE)/$G30,"")</f>
        <v>0</v>
      </c>
      <c r="E30" s="66">
        <f ca="1">IFERROR(VLOOKUP($A30,[1]!LOOKUP_MDAPs,E$3,FALSE)/$G30,"")</f>
        <v>0</v>
      </c>
      <c r="F30" s="66">
        <f ca="1">IFERROR(VLOOKUP($A30,[1]!LOOKUP_MDAPs,F$3,FALSE)/$G30,"")</f>
        <v>0</v>
      </c>
      <c r="G30" s="65">
        <f ca="1">IFERROR(VLOOKUP($A30,[1]!LOOKUP_MDAPs,G$3,FALSE),"")</f>
        <v>1147.9000000000001</v>
      </c>
      <c r="H30" s="64">
        <f ca="1">VLOOKUP($A30,[1]!LOOKUP_SARS_2009_Change_Breakdown2,H$3,FALSE)+0</f>
        <v>348.8</v>
      </c>
      <c r="I30" s="64" t="e">
        <f ca="1">VLOOKUP($A30,[1]!LOOKUP_SARS_2009_Change_Breakdown2,I$3,FALSE)+0</f>
        <v>#REF!</v>
      </c>
      <c r="J30" s="64" t="e">
        <f ca="1">VLOOKUP($A30,[1]!LOOKUP_SARS_2009_Change_Breakdown2,J$3,FALSE)+0</f>
        <v>#REF!</v>
      </c>
      <c r="K30" s="64" t="e">
        <f ca="1">VLOOKUP($A30,[1]!LOOKUP_SARS_2009_Change_Breakdown2,K$3,FALSE)+0</f>
        <v>#REF!</v>
      </c>
      <c r="L30" s="64" t="e">
        <f ca="1">VLOOKUP($A30,[1]!LOOKUP_SARS_2009_Change_Breakdown2,L$3,FALSE)+0</f>
        <v>#REF!</v>
      </c>
      <c r="M30" s="64" t="e">
        <f ca="1">VLOOKUP($A30,[1]!LOOKUP_SARS_2009_Change_Breakdown2,M$3,FALSE)+0</f>
        <v>#REF!</v>
      </c>
      <c r="N30" s="64" t="e">
        <f ca="1">VLOOKUP($A30,[1]!LOOKUP_SARS_2009_Change_Breakdown2,N$3,FALSE)+0</f>
        <v>#REF!</v>
      </c>
      <c r="O30" s="64" t="e">
        <f ca="1">VLOOKUP($A30,[1]!LOOKUP_SARS_2009_Change_Breakdown2,O$3,FALSE)+0</f>
        <v>#REF!</v>
      </c>
      <c r="P30" s="26">
        <f ca="1">VLOOKUP($A30,[1]!LOOKUP_SARS_Unified2,P$3,FALSE)</f>
        <v>856.3</v>
      </c>
      <c r="Q30" s="1">
        <f t="shared" ca="1" si="19"/>
        <v>1.1678150181011328E-3</v>
      </c>
      <c r="R30" s="1">
        <v>1</v>
      </c>
      <c r="S30" s="37" t="e">
        <f t="shared" ca="1" si="15"/>
        <v>#REF!</v>
      </c>
      <c r="T30" s="73">
        <f t="shared" ca="1" si="16"/>
        <v>-0.18103520271800677</v>
      </c>
      <c r="CL30" s="37"/>
      <c r="CM30" s="37"/>
      <c r="CN30" s="37"/>
      <c r="CO30" s="37"/>
      <c r="CP30" s="37"/>
      <c r="CQ30" s="37"/>
      <c r="CR30" s="37"/>
      <c r="CS30" s="37"/>
      <c r="CT30" s="63"/>
      <c r="CU30" s="62"/>
      <c r="CV30" s="19"/>
    </row>
    <row r="31" spans="1:100" s="1" customFormat="1" x14ac:dyDescent="0.25">
      <c r="A31" s="92" t="s">
        <v>16</v>
      </c>
      <c r="B31" s="66">
        <f ca="1">IFERROR(VLOOKUP($A31,[1]!LOOKUP_MDAPs,B$3,FALSE)/$G31,"")</f>
        <v>0.13438655156485724</v>
      </c>
      <c r="C31" s="66">
        <f ca="1">IFERROR(VLOOKUP($A31,[1]!LOOKUP_MDAPs,C$3,FALSE)/$G31,"")</f>
        <v>0</v>
      </c>
      <c r="D31" s="66">
        <f ca="1">IFERROR(VLOOKUP($A31,[1]!LOOKUP_MDAPs,D$3,FALSE)/$G31,"")</f>
        <v>1.0034753270976768E-3</v>
      </c>
      <c r="E31" s="66">
        <f ca="1">IFERROR(VLOOKUP($A31,[1]!LOOKUP_MDAPs,E$3,FALSE)/$G31,"")</f>
        <v>1.2907116625065147E-2</v>
      </c>
      <c r="F31" s="66">
        <f ca="1">IFERROR(VLOOKUP($A31,[1]!LOOKUP_MDAPs,F$3,FALSE)/$G31,"")</f>
        <v>1.2764399155169104E-3</v>
      </c>
      <c r="G31" s="65">
        <f ca="1">IFERROR(VLOOKUP($A31,[1]!LOOKUP_MDAPs,G$3,FALSE),"")</f>
        <v>3645.7</v>
      </c>
      <c r="H31" s="64">
        <f ca="1">VLOOKUP($A31,[1]!LOOKUP_SARS_2009_Change_Breakdown2,H$3,FALSE)+0</f>
        <v>234.4</v>
      </c>
      <c r="I31" s="64" t="e">
        <f ca="1">VLOOKUP($A31,[1]!LOOKUP_SARS_2009_Change_Breakdown2,I$3,FALSE)+0</f>
        <v>#REF!</v>
      </c>
      <c r="J31" s="64" t="e">
        <f ca="1">VLOOKUP($A31,[1]!LOOKUP_SARS_2009_Change_Breakdown2,J$3,FALSE)+0</f>
        <v>#REF!</v>
      </c>
      <c r="K31" s="64" t="e">
        <f ca="1">VLOOKUP($A31,[1]!LOOKUP_SARS_2009_Change_Breakdown2,K$3,FALSE)+0</f>
        <v>#REF!</v>
      </c>
      <c r="L31" s="64" t="e">
        <f ca="1">VLOOKUP($A31,[1]!LOOKUP_SARS_2009_Change_Breakdown2,L$3,FALSE)+0</f>
        <v>#REF!</v>
      </c>
      <c r="M31" s="64" t="e">
        <f ca="1">VLOOKUP($A31,[1]!LOOKUP_SARS_2009_Change_Breakdown2,M$3,FALSE)+0</f>
        <v>#REF!</v>
      </c>
      <c r="N31" s="64" t="e">
        <f ca="1">VLOOKUP($A31,[1]!LOOKUP_SARS_2009_Change_Breakdown2,N$3,FALSE)+0</f>
        <v>#REF!</v>
      </c>
      <c r="O31" s="64" t="e">
        <f ca="1">VLOOKUP($A31,[1]!LOOKUP_SARS_2009_Change_Breakdown2,O$3,FALSE)+0</f>
        <v>#REF!</v>
      </c>
      <c r="P31" s="26">
        <f ca="1">VLOOKUP($A31,[1]!LOOKUP_SARS_Unified2,P$3,FALSE)</f>
        <v>4310.7</v>
      </c>
      <c r="Q31" s="1">
        <f t="shared" ca="1" si="19"/>
        <v>2.3198088477509454E-4</v>
      </c>
      <c r="R31" s="1">
        <v>1</v>
      </c>
      <c r="S31" s="37" t="e">
        <f t="shared" ca="1" si="15"/>
        <v>#REF!</v>
      </c>
      <c r="T31" s="73">
        <f t="shared" ca="1" si="16"/>
        <v>579.30010783063005</v>
      </c>
      <c r="CL31" s="37"/>
      <c r="CM31" s="37"/>
      <c r="CN31" s="37"/>
      <c r="CO31" s="37"/>
      <c r="CP31" s="37"/>
      <c r="CQ31" s="37"/>
      <c r="CR31" s="37"/>
      <c r="CS31" s="37"/>
      <c r="CT31" s="63"/>
      <c r="CU31" s="62"/>
      <c r="CV31" s="19"/>
    </row>
    <row r="32" spans="1:100" s="1" customFormat="1" x14ac:dyDescent="0.25">
      <c r="A32" s="92" t="s">
        <v>22</v>
      </c>
      <c r="B32" s="66">
        <f ca="1">IFERROR(VLOOKUP($A32,[1]!LOOKUP_MDAPs,B$3,FALSE)/$G32,"")</f>
        <v>0.80199259174411086</v>
      </c>
      <c r="C32" s="66">
        <f ca="1">IFERROR(VLOOKUP($A32,[1]!LOOKUP_MDAPs,C$3,FALSE)/$G32,"")</f>
        <v>0</v>
      </c>
      <c r="D32" s="66">
        <f ca="1">IFERROR(VLOOKUP($A32,[1]!LOOKUP_MDAPs,D$3,FALSE)/$G32,"")</f>
        <v>-1.1152699851916646E-4</v>
      </c>
      <c r="E32" s="66">
        <f ca="1">IFERROR(VLOOKUP($A32,[1]!LOOKUP_MDAPs,E$3,FALSE)/$G32,"")</f>
        <v>0.24937374401071291</v>
      </c>
      <c r="F32" s="66">
        <f ca="1">IFERROR(VLOOKUP($A32,[1]!LOOKUP_MDAPs,F$3,FALSE)/$G32,"")</f>
        <v>1.324673019315927E-4</v>
      </c>
      <c r="G32" s="65">
        <f ca="1">IFERROR(VLOOKUP($A32,[1]!LOOKUP_MDAPs,G$3,FALSE),"")</f>
        <v>9921.8934849199995</v>
      </c>
      <c r="H32" s="64">
        <f ca="1">VLOOKUP($A32,[1]!LOOKUP_SARS_2009_Change_Breakdown2,H$3,FALSE)+0</f>
        <v>1488.8</v>
      </c>
      <c r="I32" s="64" t="e">
        <f ca="1">VLOOKUP($A32,[1]!LOOKUP_SARS_2009_Change_Breakdown2,I$3,FALSE)+0</f>
        <v>#REF!</v>
      </c>
      <c r="J32" s="64" t="e">
        <f ca="1">VLOOKUP($A32,[1]!LOOKUP_SARS_2009_Change_Breakdown2,J$3,FALSE)+0</f>
        <v>#REF!</v>
      </c>
      <c r="K32" s="64" t="e">
        <f ca="1">VLOOKUP($A32,[1]!LOOKUP_SARS_2009_Change_Breakdown2,K$3,FALSE)+0</f>
        <v>#REF!</v>
      </c>
      <c r="L32" s="64" t="e">
        <f ca="1">VLOOKUP($A32,[1]!LOOKUP_SARS_2009_Change_Breakdown2,L$3,FALSE)+0</f>
        <v>#REF!</v>
      </c>
      <c r="M32" s="64" t="e">
        <f ca="1">VLOOKUP($A32,[1]!LOOKUP_SARS_2009_Change_Breakdown2,M$3,FALSE)+0</f>
        <v>#REF!</v>
      </c>
      <c r="N32" s="64" t="e">
        <f ca="1">VLOOKUP($A32,[1]!LOOKUP_SARS_2009_Change_Breakdown2,N$3,FALSE)+0</f>
        <v>#REF!</v>
      </c>
      <c r="O32" s="64" t="e">
        <f ca="1">VLOOKUP($A32,[1]!LOOKUP_SARS_2009_Change_Breakdown2,O$3,FALSE)+0</f>
        <v>#REF!</v>
      </c>
      <c r="P32" s="26">
        <f ca="1">VLOOKUP($A32,[1]!LOOKUP_SARS_Unified2,P$3,FALSE)</f>
        <v>12147.4</v>
      </c>
      <c r="Q32" s="1">
        <f t="shared" ca="1" si="19"/>
        <v>8.2322143010026837E-5</v>
      </c>
      <c r="R32" s="1">
        <v>1</v>
      </c>
      <c r="S32" s="37" t="e">
        <f t="shared" ca="1" si="15"/>
        <v>#REF!</v>
      </c>
      <c r="T32" s="73">
        <f t="shared" ca="1" si="16"/>
        <v>9742.1248089524124</v>
      </c>
      <c r="CL32" s="37"/>
      <c r="CM32" s="37"/>
      <c r="CN32" s="37"/>
      <c r="CO32" s="37"/>
      <c r="CP32" s="37"/>
      <c r="CQ32" s="37"/>
      <c r="CR32" s="37"/>
      <c r="CS32" s="37"/>
      <c r="CT32" s="63"/>
      <c r="CU32" s="62"/>
      <c r="CV32" s="19"/>
    </row>
    <row r="33" spans="1:100" s="1" customFormat="1" x14ac:dyDescent="0.25">
      <c r="A33" s="92" t="s">
        <v>23</v>
      </c>
      <c r="B33" s="66">
        <f ca="1">IFERROR(VLOOKUP($A33,[1]!LOOKUP_MDAPs,B$3,FALSE)/$G33,"")</f>
        <v>1.0500928988146111E-3</v>
      </c>
      <c r="C33" s="66">
        <f ca="1">IFERROR(VLOOKUP($A33,[1]!LOOKUP_MDAPs,C$3,FALSE)/$G33,"")</f>
        <v>0</v>
      </c>
      <c r="D33" s="66">
        <f ca="1">IFERROR(VLOOKUP($A33,[1]!LOOKUP_MDAPs,D$3,FALSE)/$G33,"")</f>
        <v>0</v>
      </c>
      <c r="E33" s="66">
        <f ca="1">IFERROR(VLOOKUP($A33,[1]!LOOKUP_MDAPs,E$3,FALSE)/$G33,"")</f>
        <v>1.6026940656237228E-4</v>
      </c>
      <c r="F33" s="66">
        <f ca="1">IFERROR(VLOOKUP($A33,[1]!LOOKUP_MDAPs,F$3,FALSE)/$G33,"")</f>
        <v>0</v>
      </c>
      <c r="G33" s="65">
        <f ca="1">IFERROR(VLOOKUP($A33,[1]!LOOKUP_MDAPs,G$3,FALSE),"")</f>
        <v>2691.1</v>
      </c>
      <c r="H33" s="64">
        <f ca="1">VLOOKUP($A33,[1]!LOOKUP_SARS_2009_Change_Breakdown2,H$3,FALSE)+0</f>
        <v>6759.8</v>
      </c>
      <c r="I33" s="64" t="e">
        <f ca="1">VLOOKUP($A33,[1]!LOOKUP_SARS_2009_Change_Breakdown2,I$3,FALSE)+0</f>
        <v>#REF!</v>
      </c>
      <c r="J33" s="64" t="e">
        <f ca="1">VLOOKUP($A33,[1]!LOOKUP_SARS_2009_Change_Breakdown2,J$3,FALSE)+0</f>
        <v>#REF!</v>
      </c>
      <c r="K33" s="64" t="e">
        <f ca="1">VLOOKUP($A33,[1]!LOOKUP_SARS_2009_Change_Breakdown2,K$3,FALSE)+0</f>
        <v>#REF!</v>
      </c>
      <c r="L33" s="64" t="e">
        <f ca="1">VLOOKUP($A33,[1]!LOOKUP_SARS_2009_Change_Breakdown2,L$3,FALSE)+0</f>
        <v>#REF!</v>
      </c>
      <c r="M33" s="64" t="e">
        <f ca="1">VLOOKUP($A33,[1]!LOOKUP_SARS_2009_Change_Breakdown2,M$3,FALSE)+0</f>
        <v>#REF!</v>
      </c>
      <c r="N33" s="64" t="e">
        <f ca="1">VLOOKUP($A33,[1]!LOOKUP_SARS_2009_Change_Breakdown2,N$3,FALSE)+0</f>
        <v>#REF!</v>
      </c>
      <c r="O33" s="64" t="e">
        <f ca="1">VLOOKUP($A33,[1]!LOOKUP_SARS_2009_Change_Breakdown2,O$3,FALSE)+0</f>
        <v>#REF!</v>
      </c>
      <c r="P33" s="26">
        <f ca="1">VLOOKUP($A33,[1]!LOOKUP_SARS_Unified2,P$3,FALSE)</f>
        <v>18766.3</v>
      </c>
      <c r="Q33" s="1">
        <f t="shared" ca="1" si="19"/>
        <v>5.3287009160036878E-5</v>
      </c>
      <c r="R33" s="1">
        <v>1</v>
      </c>
      <c r="S33" s="37" t="e">
        <f t="shared" ca="1" si="15"/>
        <v>#REF!</v>
      </c>
      <c r="T33" s="73">
        <f t="shared" ca="1" si="16"/>
        <v>19.706358367024638</v>
      </c>
      <c r="CL33" s="37"/>
      <c r="CM33" s="37"/>
      <c r="CN33" s="37"/>
      <c r="CO33" s="37"/>
      <c r="CP33" s="37"/>
      <c r="CQ33" s="37"/>
      <c r="CR33" s="37"/>
      <c r="CS33" s="37"/>
      <c r="CT33" s="63"/>
      <c r="CU33" s="62"/>
      <c r="CV33" s="19"/>
    </row>
    <row r="34" spans="1:100" s="1" customFormat="1" x14ac:dyDescent="0.25">
      <c r="A34" s="92" t="s">
        <v>47</v>
      </c>
      <c r="B34" s="66">
        <f ca="1">IFERROR(VLOOKUP($A34,[1]!LOOKUP_MDAPs,B$3,FALSE)/$G34,"")</f>
        <v>0</v>
      </c>
      <c r="C34" s="66">
        <f ca="1">IFERROR(VLOOKUP($A34,[1]!LOOKUP_MDAPs,C$3,FALSE)/$G34,"")</f>
        <v>2.266154252736792E-2</v>
      </c>
      <c r="D34" s="66">
        <f ca="1">IFERROR(VLOOKUP($A34,[1]!LOOKUP_MDAPs,D$3,FALSE)/$G34,"")</f>
        <v>0.34864493478998093</v>
      </c>
      <c r="E34" s="66">
        <f ca="1">IFERROR(VLOOKUP($A34,[1]!LOOKUP_MDAPs,E$3,FALSE)/$G34,"")</f>
        <v>0.80012161558781536</v>
      </c>
      <c r="F34" s="66">
        <f ca="1">IFERROR(VLOOKUP($A34,[1]!LOOKUP_MDAPs,F$3,FALSE)/$G34,"")</f>
        <v>1.3465909090909093E-2</v>
      </c>
      <c r="G34" s="65">
        <f ca="1">IFERROR(VLOOKUP($A34,[1]!LOOKUP_MDAPs,G$3,FALSE),"")</f>
        <v>3361.6</v>
      </c>
      <c r="H34" s="64">
        <f ca="1">VLOOKUP($A34,[1]!LOOKUP_SARS_2009_Change_Breakdown2,H$3,FALSE)+0</f>
        <v>5921.9</v>
      </c>
      <c r="I34" s="64" t="e">
        <f ca="1">VLOOKUP($A34,[1]!LOOKUP_SARS_2009_Change_Breakdown2,I$3,FALSE)+0</f>
        <v>#REF!</v>
      </c>
      <c r="J34" s="64" t="e">
        <f ca="1">VLOOKUP($A34,[1]!LOOKUP_SARS_2009_Change_Breakdown2,J$3,FALSE)+0</f>
        <v>#REF!</v>
      </c>
      <c r="K34" s="64" t="e">
        <f ca="1">VLOOKUP($A34,[1]!LOOKUP_SARS_2009_Change_Breakdown2,K$3,FALSE)+0</f>
        <v>#REF!</v>
      </c>
      <c r="L34" s="64" t="e">
        <f ca="1">VLOOKUP($A34,[1]!LOOKUP_SARS_2009_Change_Breakdown2,L$3,FALSE)+0</f>
        <v>#REF!</v>
      </c>
      <c r="M34" s="64" t="e">
        <f ca="1">VLOOKUP($A34,[1]!LOOKUP_SARS_2009_Change_Breakdown2,M$3,FALSE)+0</f>
        <v>#REF!</v>
      </c>
      <c r="N34" s="64" t="e">
        <f ca="1">VLOOKUP($A34,[1]!LOOKUP_SARS_2009_Change_Breakdown2,N$3,FALSE)+0</f>
        <v>#REF!</v>
      </c>
      <c r="O34" s="64" t="e">
        <f ca="1">VLOOKUP($A34,[1]!LOOKUP_SARS_2009_Change_Breakdown2,O$3,FALSE)+0</f>
        <v>#REF!</v>
      </c>
      <c r="P34" s="26">
        <f ca="1">VLOOKUP($A34,[1]!LOOKUP_SARS_Unified2,P$3,FALSE)</f>
        <v>2430.4</v>
      </c>
      <c r="Q34" s="1">
        <f t="shared" ca="1" si="19"/>
        <v>4.1145490454246215E-4</v>
      </c>
      <c r="R34" s="1">
        <v>1</v>
      </c>
      <c r="S34" s="37" t="e">
        <f t="shared" ca="1" si="15"/>
        <v>#REF!</v>
      </c>
      <c r="T34" s="73">
        <f t="shared" ca="1" si="16"/>
        <v>0</v>
      </c>
      <c r="CL34" s="37"/>
      <c r="CM34" s="37"/>
      <c r="CN34" s="37"/>
      <c r="CO34" s="37"/>
      <c r="CP34" s="37"/>
      <c r="CQ34" s="37"/>
      <c r="CR34" s="37"/>
      <c r="CS34" s="37"/>
      <c r="CT34" s="63"/>
      <c r="CU34" s="62"/>
      <c r="CV34" s="19"/>
    </row>
    <row r="35" spans="1:100" s="1" customFormat="1" x14ac:dyDescent="0.25">
      <c r="A35" s="92" t="s">
        <v>55</v>
      </c>
      <c r="B35" s="66">
        <f ca="1">IFERROR(VLOOKUP($A35,[1]!LOOKUP_MDAPs,B$3,FALSE)/$G35,"")</f>
        <v>1.5661270424312944E-3</v>
      </c>
      <c r="C35" s="66">
        <f ca="1">IFERROR(VLOOKUP($A35,[1]!LOOKUP_MDAPs,C$3,FALSE)/$G35,"")</f>
        <v>0</v>
      </c>
      <c r="D35" s="66">
        <f ca="1">IFERROR(VLOOKUP($A35,[1]!LOOKUP_MDAPs,D$3,FALSE)/$G35,"")</f>
        <v>0</v>
      </c>
      <c r="E35" s="66">
        <f ca="1">IFERROR(VLOOKUP($A35,[1]!LOOKUP_MDAPs,E$3,FALSE)/$G35,"")</f>
        <v>2.8820518760785317E-2</v>
      </c>
      <c r="F35" s="66">
        <f ca="1">IFERROR(VLOOKUP($A35,[1]!LOOKUP_MDAPs,F$3,FALSE)/$G35,"")</f>
        <v>3.1798818668586245E-6</v>
      </c>
      <c r="G35" s="65">
        <f ca="1">IFERROR(VLOOKUP($A35,[1]!LOOKUP_MDAPs,G$3,FALSE),"")</f>
        <v>20282.2</v>
      </c>
      <c r="H35" s="64">
        <f ca="1">VLOOKUP($A35,[1]!LOOKUP_SARS_2009_Change_Breakdown2,H$3,FALSE)+0</f>
        <v>12874.5</v>
      </c>
      <c r="I35" s="64" t="e">
        <f ca="1">VLOOKUP($A35,[1]!LOOKUP_SARS_2009_Change_Breakdown2,I$3,FALSE)+0</f>
        <v>#REF!</v>
      </c>
      <c r="J35" s="64" t="e">
        <f ca="1">VLOOKUP($A35,[1]!LOOKUP_SARS_2009_Change_Breakdown2,J$3,FALSE)+0</f>
        <v>#REF!</v>
      </c>
      <c r="K35" s="64" t="e">
        <f ca="1">VLOOKUP($A35,[1]!LOOKUP_SARS_2009_Change_Breakdown2,K$3,FALSE)+0</f>
        <v>#REF!</v>
      </c>
      <c r="L35" s="64" t="e">
        <f ca="1">VLOOKUP($A35,[1]!LOOKUP_SARS_2009_Change_Breakdown2,L$3,FALSE)+0</f>
        <v>#REF!</v>
      </c>
      <c r="M35" s="64" t="e">
        <f ca="1">VLOOKUP($A35,[1]!LOOKUP_SARS_2009_Change_Breakdown2,M$3,FALSE)+0</f>
        <v>#REF!</v>
      </c>
      <c r="N35" s="64" t="e">
        <f ca="1">VLOOKUP($A35,[1]!LOOKUP_SARS_2009_Change_Breakdown2,N$3,FALSE)+0</f>
        <v>#REF!</v>
      </c>
      <c r="O35" s="64" t="e">
        <f ca="1">VLOOKUP($A35,[1]!LOOKUP_SARS_2009_Change_Breakdown2,O$3,FALSE)+0</f>
        <v>#REF!</v>
      </c>
      <c r="P35" s="26">
        <f ca="1">VLOOKUP($A35,[1]!LOOKUP_SARS_Unified2,P$3,FALSE)</f>
        <v>12879.9</v>
      </c>
      <c r="Q35" s="1">
        <f t="shared" ca="1" si="19"/>
        <v>7.7640354350577264E-5</v>
      </c>
      <c r="R35" s="1">
        <v>1</v>
      </c>
      <c r="S35" s="37" t="e">
        <f t="shared" ca="1" si="15"/>
        <v>#REF!</v>
      </c>
      <c r="T35" s="73">
        <f t="shared" ca="1" si="16"/>
        <v>20.171559693810828</v>
      </c>
      <c r="CL35" s="37"/>
      <c r="CM35" s="37"/>
      <c r="CN35" s="37"/>
      <c r="CO35" s="37"/>
      <c r="CP35" s="37"/>
      <c r="CQ35" s="37"/>
      <c r="CR35" s="37"/>
      <c r="CS35" s="37"/>
      <c r="CT35" s="63"/>
      <c r="CU35" s="62"/>
      <c r="CV35" s="19"/>
    </row>
    <row r="36" spans="1:100" s="1" customFormat="1" x14ac:dyDescent="0.25">
      <c r="A36" s="92" t="s">
        <v>20</v>
      </c>
      <c r="B36" s="66">
        <f ca="1">IFERROR(VLOOKUP($A36,[1]!LOOKUP_MDAPs,B$3,FALSE)/$G36,"")</f>
        <v>0.57166669995625552</v>
      </c>
      <c r="C36" s="66">
        <f ca="1">IFERROR(VLOOKUP($A36,[1]!LOOKUP_MDAPs,C$3,FALSE)/$G36,"")</f>
        <v>0</v>
      </c>
      <c r="D36" s="66">
        <f ca="1">IFERROR(VLOOKUP($A36,[1]!LOOKUP_MDAPs,D$3,FALSE)/$G36,"")</f>
        <v>3.6872710229971246E-2</v>
      </c>
      <c r="E36" s="66">
        <f ca="1">IFERROR(VLOOKUP($A36,[1]!LOOKUP_MDAPs,E$3,FALSE)/$G36,"")</f>
        <v>7.5408308961379816E-2</v>
      </c>
      <c r="F36" s="66">
        <f ca="1">IFERROR(VLOOKUP($A36,[1]!LOOKUP_MDAPs,F$3,FALSE)/$G36,"")</f>
        <v>-1.3020747406574176E-4</v>
      </c>
      <c r="G36" s="65">
        <f ca="1">IFERROR(VLOOKUP($A36,[1]!LOOKUP_MDAPs,G$3,FALSE),"")</f>
        <v>1600.2</v>
      </c>
      <c r="H36" s="64">
        <f ca="1">VLOOKUP($A36,[1]!LOOKUP_SARS_2009_Change_Breakdown2,H$3,FALSE)+0</f>
        <v>248.7</v>
      </c>
      <c r="I36" s="64" t="e">
        <f ca="1">VLOOKUP($A36,[1]!LOOKUP_SARS_2009_Change_Breakdown2,I$3,FALSE)+0</f>
        <v>#REF!</v>
      </c>
      <c r="J36" s="64" t="e">
        <f ca="1">VLOOKUP($A36,[1]!LOOKUP_SARS_2009_Change_Breakdown2,J$3,FALSE)+0</f>
        <v>#REF!</v>
      </c>
      <c r="K36" s="64" t="e">
        <f ca="1">VLOOKUP($A36,[1]!LOOKUP_SARS_2009_Change_Breakdown2,K$3,FALSE)+0</f>
        <v>#REF!</v>
      </c>
      <c r="L36" s="64" t="e">
        <f ca="1">VLOOKUP($A36,[1]!LOOKUP_SARS_2009_Change_Breakdown2,L$3,FALSE)+0</f>
        <v>#REF!</v>
      </c>
      <c r="M36" s="64" t="e">
        <f ca="1">VLOOKUP($A36,[1]!LOOKUP_SARS_2009_Change_Breakdown2,M$3,FALSE)+0</f>
        <v>#REF!</v>
      </c>
      <c r="N36" s="64" t="e">
        <f ca="1">VLOOKUP($A36,[1]!LOOKUP_SARS_2009_Change_Breakdown2,N$3,FALSE)+0</f>
        <v>#REF!</v>
      </c>
      <c r="O36" s="64" t="e">
        <f ca="1">VLOOKUP($A36,[1]!LOOKUP_SARS_2009_Change_Breakdown2,O$3,FALSE)+0</f>
        <v>#REF!</v>
      </c>
      <c r="P36" s="26">
        <f ca="1">VLOOKUP($A36,[1]!LOOKUP_SARS_Unified2,P$3,FALSE)</f>
        <v>1464</v>
      </c>
      <c r="Q36" s="1">
        <f t="shared" ca="1" si="19"/>
        <v>6.8306010928961749E-4</v>
      </c>
      <c r="R36" s="1">
        <v>1</v>
      </c>
      <c r="S36" s="37" t="e">
        <f t="shared" ca="1" si="15"/>
        <v>#REF!</v>
      </c>
      <c r="T36" s="73">
        <f t="shared" ca="1" si="16"/>
        <v>836.92004873595806</v>
      </c>
      <c r="CL36" s="37"/>
      <c r="CM36" s="37"/>
      <c r="CN36" s="37"/>
      <c r="CO36" s="37"/>
      <c r="CP36" s="37"/>
      <c r="CQ36" s="37"/>
      <c r="CR36" s="37"/>
      <c r="CS36" s="37"/>
      <c r="CT36" s="63"/>
      <c r="CU36" s="62"/>
      <c r="CV36" s="19"/>
    </row>
    <row r="37" spans="1:100" s="1" customFormat="1" x14ac:dyDescent="0.25">
      <c r="A37" s="92" t="s">
        <v>215</v>
      </c>
      <c r="B37" s="66">
        <f ca="1">IFERROR(VLOOKUP($A37,[1]!LOOKUP_MDAPs,B$3,FALSE)/$G37,"")</f>
        <v>0</v>
      </c>
      <c r="C37" s="66">
        <f ca="1">IFERROR(VLOOKUP($A37,[1]!LOOKUP_MDAPs,C$3,FALSE)/$G37,"")</f>
        <v>0</v>
      </c>
      <c r="D37" s="66">
        <f ca="1">IFERROR(VLOOKUP($A37,[1]!LOOKUP_MDAPs,D$3,FALSE)/$G37,"")</f>
        <v>0</v>
      </c>
      <c r="E37" s="66">
        <f ca="1">IFERROR(VLOOKUP($A37,[1]!LOOKUP_MDAPs,E$3,FALSE)/$G37,"")</f>
        <v>0</v>
      </c>
      <c r="F37" s="66">
        <f ca="1">IFERROR(VLOOKUP($A37,[1]!LOOKUP_MDAPs,F$3,FALSE)/$G37,"")</f>
        <v>0</v>
      </c>
      <c r="G37" s="65">
        <f ca="1">IFERROR(VLOOKUP($A37,[1]!LOOKUP_MDAPs,G$3,FALSE),"")</f>
        <v>2309.6999999999998</v>
      </c>
      <c r="H37" s="64" t="e">
        <f ca="1">VLOOKUP($A37,[1]!LOOKUP_SARS_2009_Change_Breakdown2,H$3,FALSE)+0</f>
        <v>#N/A</v>
      </c>
      <c r="I37" s="64" t="e">
        <f ca="1">VLOOKUP($A37,[1]!LOOKUP_SARS_2009_Change_Breakdown2,I$3,FALSE)+0</f>
        <v>#N/A</v>
      </c>
      <c r="J37" s="64" t="e">
        <f ca="1">VLOOKUP($A37,[1]!LOOKUP_SARS_2009_Change_Breakdown2,J$3,FALSE)+0</f>
        <v>#N/A</v>
      </c>
      <c r="K37" s="64" t="e">
        <f ca="1">VLOOKUP($A37,[1]!LOOKUP_SARS_2009_Change_Breakdown2,K$3,FALSE)+0</f>
        <v>#N/A</v>
      </c>
      <c r="L37" s="64" t="e">
        <f ca="1">VLOOKUP($A37,[1]!LOOKUP_SARS_2009_Change_Breakdown2,L$3,FALSE)+0</f>
        <v>#N/A</v>
      </c>
      <c r="M37" s="64" t="e">
        <f ca="1">VLOOKUP($A37,[1]!LOOKUP_SARS_2009_Change_Breakdown2,M$3,FALSE)+0</f>
        <v>#N/A</v>
      </c>
      <c r="N37" s="64" t="e">
        <f ca="1">VLOOKUP($A37,[1]!LOOKUP_SARS_2009_Change_Breakdown2,N$3,FALSE)+0</f>
        <v>#N/A</v>
      </c>
      <c r="O37" s="64" t="e">
        <f ca="1">VLOOKUP($A37,[1]!LOOKUP_SARS_2009_Change_Breakdown2,O$3,FALSE)+0</f>
        <v>#N/A</v>
      </c>
      <c r="P37" s="26">
        <f ca="1">VLOOKUP($A37,[1]!LOOKUP_SARS_Unified2,P$3,FALSE)</f>
        <v>48134.3</v>
      </c>
      <c r="Q37" s="1">
        <f t="shared" ca="1" si="19"/>
        <v>2.0775206038105881E-5</v>
      </c>
      <c r="R37" s="1">
        <v>1</v>
      </c>
      <c r="S37" s="37" t="e">
        <f t="shared" ca="1" si="15"/>
        <v>#N/A</v>
      </c>
      <c r="T37" s="73">
        <f t="shared" ca="1" si="16"/>
        <v>0</v>
      </c>
      <c r="CL37" s="37"/>
      <c r="CM37" s="37"/>
      <c r="CN37" s="37"/>
      <c r="CO37" s="37"/>
      <c r="CP37" s="37"/>
      <c r="CQ37" s="37"/>
      <c r="CR37" s="37"/>
      <c r="CS37" s="37"/>
      <c r="CT37" s="63"/>
      <c r="CU37" s="62"/>
      <c r="CV37" s="19"/>
    </row>
    <row r="38" spans="1:100" s="1" customFormat="1" x14ac:dyDescent="0.25">
      <c r="A38" s="92" t="s">
        <v>11</v>
      </c>
      <c r="B38" s="66">
        <f ca="1">IFERROR(VLOOKUP($A38,[1]!LOOKUP_MDAPs,B$3,FALSE)/$G38,"")</f>
        <v>0.24043450659608334</v>
      </c>
      <c r="C38" s="66">
        <f ca="1">IFERROR(VLOOKUP($A38,[1]!LOOKUP_MDAPs,C$3,FALSE)/$G38,"")</f>
        <v>4.531007916407169E-2</v>
      </c>
      <c r="D38" s="66">
        <f ca="1">IFERROR(VLOOKUP($A38,[1]!LOOKUP_MDAPs,D$3,FALSE)/$G38,"")</f>
        <v>6.6545877501902967E-2</v>
      </c>
      <c r="E38" s="66">
        <f ca="1">IFERROR(VLOOKUP($A38,[1]!LOOKUP_MDAPs,E$3,FALSE)/$G38,"")</f>
        <v>9.5697578408414641E-2</v>
      </c>
      <c r="F38" s="66">
        <f ca="1">IFERROR(VLOOKUP($A38,[1]!LOOKUP_MDAPs,F$3,FALSE)/$G38,"")</f>
        <v>1.7934562729222892E-2</v>
      </c>
      <c r="G38" s="65">
        <f ca="1">IFERROR(VLOOKUP($A38,[1]!LOOKUP_MDAPs,G$3,FALSE),"")</f>
        <v>7225.5</v>
      </c>
      <c r="H38" s="64" t="e">
        <f ca="1">VLOOKUP($A38,[1]!LOOKUP_SARS_2009_Change_Breakdown2,H$3,FALSE)+0</f>
        <v>#N/A</v>
      </c>
      <c r="I38" s="64" t="e">
        <f ca="1">VLOOKUP($A38,[1]!LOOKUP_SARS_2009_Change_Breakdown2,I$3,FALSE)+0</f>
        <v>#N/A</v>
      </c>
      <c r="J38" s="64" t="e">
        <f ca="1">VLOOKUP($A38,[1]!LOOKUP_SARS_2009_Change_Breakdown2,J$3,FALSE)+0</f>
        <v>#N/A</v>
      </c>
      <c r="K38" s="64" t="e">
        <f ca="1">VLOOKUP($A38,[1]!LOOKUP_SARS_2009_Change_Breakdown2,K$3,FALSE)+0</f>
        <v>#N/A</v>
      </c>
      <c r="L38" s="64" t="e">
        <f ca="1">VLOOKUP($A38,[1]!LOOKUP_SARS_2009_Change_Breakdown2,L$3,FALSE)+0</f>
        <v>#N/A</v>
      </c>
      <c r="M38" s="64" t="e">
        <f ca="1">VLOOKUP($A38,[1]!LOOKUP_SARS_2009_Change_Breakdown2,M$3,FALSE)+0</f>
        <v>#N/A</v>
      </c>
      <c r="N38" s="64" t="e">
        <f ca="1">VLOOKUP($A38,[1]!LOOKUP_SARS_2009_Change_Breakdown2,N$3,FALSE)+0</f>
        <v>#N/A</v>
      </c>
      <c r="O38" s="64" t="e">
        <f ca="1">VLOOKUP($A38,[1]!LOOKUP_SARS_2009_Change_Breakdown2,O$3,FALSE)+0</f>
        <v>#N/A</v>
      </c>
      <c r="P38" s="26">
        <f ca="1">VLOOKUP($A38,[1]!LOOKUP_SARS_Unified2,P$3,FALSE)</f>
        <v>36082.1</v>
      </c>
      <c r="Q38" s="1">
        <f t="shared" ca="1" si="19"/>
        <v>2.7714573154001571E-5</v>
      </c>
      <c r="R38" s="1">
        <v>1</v>
      </c>
      <c r="S38" s="37" t="e">
        <f t="shared" ca="1" si="15"/>
        <v>#N/A</v>
      </c>
      <c r="T38" s="73">
        <f t="shared" ca="1" si="16"/>
        <v>8675.3819104505383</v>
      </c>
      <c r="CL38" s="37"/>
      <c r="CM38" s="37"/>
      <c r="CN38" s="37"/>
      <c r="CO38" s="37"/>
      <c r="CP38" s="37"/>
      <c r="CQ38" s="37"/>
      <c r="CR38" s="37"/>
      <c r="CS38" s="37"/>
      <c r="CT38" s="63"/>
      <c r="CU38" s="62"/>
      <c r="CV38" s="19"/>
    </row>
    <row r="39" spans="1:100" s="1" customFormat="1" x14ac:dyDescent="0.25">
      <c r="A39" s="92" t="s">
        <v>32</v>
      </c>
      <c r="B39" s="66">
        <f ca="1">IFERROR(VLOOKUP($A39,[1]!LOOKUP_MDAPs,B$3,FALSE)/$G39,"")</f>
        <v>0.21443690504040949</v>
      </c>
      <c r="C39" s="66">
        <f ca="1">IFERROR(VLOOKUP($A39,[1]!LOOKUP_MDAPs,C$3,FALSE)/$G39,"")</f>
        <v>0.10196910087452599</v>
      </c>
      <c r="D39" s="66">
        <f ca="1">IFERROR(VLOOKUP($A39,[1]!LOOKUP_MDAPs,D$3,FALSE)/$G39,"")</f>
        <v>2.8730433763778485E-2</v>
      </c>
      <c r="E39" s="66">
        <f ca="1">IFERROR(VLOOKUP($A39,[1]!LOOKUP_MDAPs,E$3,FALSE)/$G39,"")</f>
        <v>1.2857198441110461E-2</v>
      </c>
      <c r="F39" s="66">
        <f ca="1">IFERROR(VLOOKUP($A39,[1]!LOOKUP_MDAPs,F$3,FALSE)/$G39,"")</f>
        <v>6.3290017923912936E-2</v>
      </c>
      <c r="G39" s="65">
        <f ca="1">IFERROR(VLOOKUP($A39,[1]!LOOKUP_MDAPs,G$3,FALSE),"")</f>
        <v>18089.8</v>
      </c>
      <c r="H39" s="64">
        <f ca="1">VLOOKUP($A39,[1]!LOOKUP_SARS_2009_Change_Breakdown2,H$3,FALSE)+0</f>
        <v>-16524.900000000001</v>
      </c>
      <c r="I39" s="64" t="e">
        <f ca="1">VLOOKUP($A39,[1]!LOOKUP_SARS_2009_Change_Breakdown2,I$3,FALSE)+0</f>
        <v>#REF!</v>
      </c>
      <c r="J39" s="64" t="e">
        <f ca="1">VLOOKUP($A39,[1]!LOOKUP_SARS_2009_Change_Breakdown2,J$3,FALSE)+0</f>
        <v>#REF!</v>
      </c>
      <c r="K39" s="64" t="e">
        <f ca="1">VLOOKUP($A39,[1]!LOOKUP_SARS_2009_Change_Breakdown2,K$3,FALSE)+0</f>
        <v>#REF!</v>
      </c>
      <c r="L39" s="64" t="e">
        <f ca="1">VLOOKUP($A39,[1]!LOOKUP_SARS_2009_Change_Breakdown2,L$3,FALSE)+0</f>
        <v>#REF!</v>
      </c>
      <c r="M39" s="64" t="e">
        <f ca="1">VLOOKUP($A39,[1]!LOOKUP_SARS_2009_Change_Breakdown2,M$3,FALSE)+0</f>
        <v>#REF!</v>
      </c>
      <c r="N39" s="64" t="e">
        <f ca="1">VLOOKUP($A39,[1]!LOOKUP_SARS_2009_Change_Breakdown2,N$3,FALSE)+0</f>
        <v>#REF!</v>
      </c>
      <c r="O39" s="64" t="e">
        <f ca="1">VLOOKUP($A39,[1]!LOOKUP_SARS_2009_Change_Breakdown2,O$3,FALSE)+0</f>
        <v>#REF!</v>
      </c>
      <c r="P39" s="26">
        <f ca="1">VLOOKUP($A39,[1]!LOOKUP_SARS_Unified2,P$3,FALSE)</f>
        <v>36296.300000000003</v>
      </c>
      <c r="Q39" s="1">
        <f t="shared" ca="1" si="19"/>
        <v>2.7551017596834937E-5</v>
      </c>
      <c r="R39" s="1">
        <v>1</v>
      </c>
      <c r="S39" s="37" t="e">
        <f t="shared" ca="1" si="15"/>
        <v>#REF!</v>
      </c>
      <c r="T39" s="73">
        <f t="shared" ca="1" si="16"/>
        <v>7783.2662364182161</v>
      </c>
      <c r="CL39" s="37"/>
      <c r="CM39" s="37"/>
      <c r="CN39" s="37"/>
      <c r="CO39" s="37"/>
      <c r="CP39" s="37"/>
      <c r="CQ39" s="37"/>
      <c r="CR39" s="37"/>
      <c r="CS39" s="37"/>
      <c r="CT39" s="63"/>
      <c r="CU39" s="62"/>
      <c r="CV39" s="19"/>
    </row>
    <row r="40" spans="1:100" s="1" customFormat="1" x14ac:dyDescent="0.25">
      <c r="A40" s="92" t="s">
        <v>51</v>
      </c>
      <c r="B40" s="66">
        <f ca="1">IFERROR(VLOOKUP($A40,[1]!LOOKUP_MDAPs,B$3,FALSE)/$G40,"")</f>
        <v>6.9235439472437779E-2</v>
      </c>
      <c r="C40" s="66">
        <f ca="1">IFERROR(VLOOKUP($A40,[1]!LOOKUP_MDAPs,C$3,FALSE)/$G40,"")</f>
        <v>2.1926426951503641E-5</v>
      </c>
      <c r="D40" s="66">
        <f ca="1">IFERROR(VLOOKUP($A40,[1]!LOOKUP_MDAPs,D$3,FALSE)/$G40,"")</f>
        <v>8.6444641311099989E-3</v>
      </c>
      <c r="E40" s="66">
        <f ca="1">IFERROR(VLOOKUP($A40,[1]!LOOKUP_MDAPs,E$3,FALSE)/$G40,"")</f>
        <v>1.4715467441026617E-2</v>
      </c>
      <c r="F40" s="66">
        <f ca="1">IFERROR(VLOOKUP($A40,[1]!LOOKUP_MDAPs,F$3,FALSE)/$G40,"")</f>
        <v>2.5416285034697165E-4</v>
      </c>
      <c r="G40" s="65">
        <f ca="1">IFERROR(VLOOKUP($A40,[1]!LOOKUP_MDAPs,G$3,FALSE),"")</f>
        <v>67772.100000000006</v>
      </c>
      <c r="H40" s="64">
        <f ca="1">VLOOKUP($A40,[1]!LOOKUP_SARS_2009_Change_Breakdown2,H$3,FALSE)+0</f>
        <v>60290.2</v>
      </c>
      <c r="I40" s="64" t="e">
        <f ca="1">VLOOKUP($A40,[1]!LOOKUP_SARS_2009_Change_Breakdown2,I$3,FALSE)+0</f>
        <v>#REF!</v>
      </c>
      <c r="J40" s="64" t="e">
        <f ca="1">VLOOKUP($A40,[1]!LOOKUP_SARS_2009_Change_Breakdown2,J$3,FALSE)+0</f>
        <v>#REF!</v>
      </c>
      <c r="K40" s="64" t="e">
        <f ca="1">VLOOKUP($A40,[1]!LOOKUP_SARS_2009_Change_Breakdown2,K$3,FALSE)+0</f>
        <v>#REF!</v>
      </c>
      <c r="L40" s="64" t="e">
        <f ca="1">VLOOKUP($A40,[1]!LOOKUP_SARS_2009_Change_Breakdown2,L$3,FALSE)+0</f>
        <v>#REF!</v>
      </c>
      <c r="M40" s="64" t="e">
        <f ca="1">VLOOKUP($A40,[1]!LOOKUP_SARS_2009_Change_Breakdown2,M$3,FALSE)+0</f>
        <v>#REF!</v>
      </c>
      <c r="N40" s="64" t="e">
        <f ca="1">VLOOKUP($A40,[1]!LOOKUP_SARS_2009_Change_Breakdown2,N$3,FALSE)+0</f>
        <v>#REF!</v>
      </c>
      <c r="O40" s="64" t="e">
        <f ca="1">VLOOKUP($A40,[1]!LOOKUP_SARS_2009_Change_Breakdown2,O$3,FALSE)+0</f>
        <v>#REF!</v>
      </c>
      <c r="P40" s="26">
        <f ca="1">VLOOKUP($A40,[1]!LOOKUP_SARS_Unified2,P$3,FALSE)</f>
        <v>20117.5</v>
      </c>
      <c r="Q40" s="1">
        <f t="shared" ca="1" si="19"/>
        <v>4.9707965701503664E-5</v>
      </c>
      <c r="R40" s="1">
        <v>1</v>
      </c>
      <c r="S40" s="37" t="e">
        <f t="shared" ca="1" si="15"/>
        <v>#REF!</v>
      </c>
      <c r="T40" s="73">
        <f t="shared" ca="1" si="16"/>
        <v>1392.8439535867669</v>
      </c>
    </row>
    <row r="41" spans="1:100" s="1" customFormat="1" x14ac:dyDescent="0.25">
      <c r="A41" s="92" t="s">
        <v>216</v>
      </c>
      <c r="B41" s="66">
        <f ca="1">IFERROR(VLOOKUP($A41,[1]!LOOKUP_MDAPs,B$3,FALSE)/$G41,"")</f>
        <v>0.11037541772076372</v>
      </c>
      <c r="C41" s="66">
        <f ca="1">IFERROR(VLOOKUP($A41,[1]!LOOKUP_MDAPs,C$3,FALSE)/$G41,"")</f>
        <v>0</v>
      </c>
      <c r="D41" s="66">
        <f ca="1">IFERROR(VLOOKUP($A41,[1]!LOOKUP_MDAPs,D$3,FALSE)/$G41,"")</f>
        <v>0.13420194313842485</v>
      </c>
      <c r="E41" s="66">
        <f ca="1">IFERROR(VLOOKUP($A41,[1]!LOOKUP_MDAPs,E$3,FALSE)/$G41,"")</f>
        <v>8.5909446658711211E-2</v>
      </c>
      <c r="F41" s="66">
        <f ca="1">IFERROR(VLOOKUP($A41,[1]!LOOKUP_MDAPs,F$3,FALSE)/$G41,"")</f>
        <v>9.3446875178997621E-2</v>
      </c>
      <c r="G41" s="65">
        <f ca="1">IFERROR(VLOOKUP($A41,[1]!LOOKUP_MDAPs,G$3,FALSE),"")</f>
        <v>167.6</v>
      </c>
      <c r="H41" s="64" t="e">
        <f ca="1">VLOOKUP($A41,[1]!LOOKUP_SARS_2009_Change_Breakdown2,H$3,FALSE)+0</f>
        <v>#N/A</v>
      </c>
      <c r="I41" s="64" t="e">
        <f ca="1">VLOOKUP($A41,[1]!LOOKUP_SARS_2009_Change_Breakdown2,I$3,FALSE)+0</f>
        <v>#N/A</v>
      </c>
      <c r="J41" s="64" t="e">
        <f ca="1">VLOOKUP($A41,[1]!LOOKUP_SARS_2009_Change_Breakdown2,J$3,FALSE)+0</f>
        <v>#N/A</v>
      </c>
      <c r="K41" s="64" t="e">
        <f ca="1">VLOOKUP($A41,[1]!LOOKUP_SARS_2009_Change_Breakdown2,K$3,FALSE)+0</f>
        <v>#N/A</v>
      </c>
      <c r="L41" s="64" t="e">
        <f ca="1">VLOOKUP($A41,[1]!LOOKUP_SARS_2009_Change_Breakdown2,L$3,FALSE)+0</f>
        <v>#N/A</v>
      </c>
      <c r="M41" s="64" t="e">
        <f ca="1">VLOOKUP($A41,[1]!LOOKUP_SARS_2009_Change_Breakdown2,M$3,FALSE)+0</f>
        <v>#N/A</v>
      </c>
      <c r="N41" s="64" t="e">
        <f ca="1">VLOOKUP($A41,[1]!LOOKUP_SARS_2009_Change_Breakdown2,N$3,FALSE)+0</f>
        <v>#N/A</v>
      </c>
      <c r="O41" s="64" t="e">
        <f ca="1">VLOOKUP($A41,[1]!LOOKUP_SARS_2009_Change_Breakdown2,O$3,FALSE)+0</f>
        <v>#N/A</v>
      </c>
      <c r="P41" s="26">
        <f ca="1">VLOOKUP($A41,[1]!LOOKUP_SARS_Unified2,P$3,FALSE)</f>
        <v>922.3</v>
      </c>
      <c r="Q41" s="1">
        <f t="shared" ca="1" si="19"/>
        <v>1.0842459069717013E-3</v>
      </c>
      <c r="R41" s="1">
        <v>1</v>
      </c>
      <c r="S41" s="37" t="e">
        <f t="shared" ca="1" si="15"/>
        <v>#N/A</v>
      </c>
      <c r="T41" s="73">
        <f t="shared" ca="1" si="16"/>
        <v>101.79924776386036</v>
      </c>
      <c r="CL41" s="37"/>
      <c r="CM41" s="37"/>
      <c r="CN41" s="37"/>
      <c r="CO41" s="37"/>
      <c r="CP41" s="37"/>
      <c r="CQ41" s="37"/>
      <c r="CR41" s="37"/>
      <c r="CS41" s="37"/>
      <c r="CT41" s="63"/>
      <c r="CU41" s="62"/>
      <c r="CV41" s="19"/>
    </row>
    <row r="42" spans="1:100" s="1" customFormat="1" x14ac:dyDescent="0.25">
      <c r="A42" s="92" t="s">
        <v>8</v>
      </c>
      <c r="B42" s="66">
        <f ca="1">IFERROR(VLOOKUP($A42,[1]!LOOKUP_MDAPs,B$3,FALSE)/$G42,"")</f>
        <v>0.24740928641683618</v>
      </c>
      <c r="C42" s="66">
        <f ca="1">IFERROR(VLOOKUP($A42,[1]!LOOKUP_MDAPs,C$3,FALSE)/$G42,"")</f>
        <v>6.3815190111093722E-5</v>
      </c>
      <c r="D42" s="66">
        <f ca="1">IFERROR(VLOOKUP($A42,[1]!LOOKUP_MDAPs,D$3,FALSE)/$G42,"")</f>
        <v>1.0312977624784853E-3</v>
      </c>
      <c r="E42" s="66">
        <f ca="1">IFERROR(VLOOKUP($A42,[1]!LOOKUP_MDAPs,E$3,FALSE)/$G42,"")</f>
        <v>1.8495273498670004E-2</v>
      </c>
      <c r="F42" s="66">
        <f ca="1">IFERROR(VLOOKUP($A42,[1]!LOOKUP_MDAPs,F$3,FALSE)/$G42,"")</f>
        <v>7.3518278422782038E-3</v>
      </c>
      <c r="G42" s="65">
        <f ca="1">IFERROR(VLOOKUP($A42,[1]!LOOKUP_MDAPs,G$3,FALSE),"")</f>
        <v>6391</v>
      </c>
      <c r="H42" s="64">
        <f ca="1">VLOOKUP($A42,[1]!LOOKUP_SARS_2009_Change_Breakdown2,H$3,FALSE)+0</f>
        <v>-127.1</v>
      </c>
      <c r="I42" s="64" t="e">
        <f ca="1">VLOOKUP($A42,[1]!LOOKUP_SARS_2009_Change_Breakdown2,I$3,FALSE)+0</f>
        <v>#REF!</v>
      </c>
      <c r="J42" s="64" t="e">
        <f ca="1">VLOOKUP($A42,[1]!LOOKUP_SARS_2009_Change_Breakdown2,J$3,FALSE)+0</f>
        <v>#REF!</v>
      </c>
      <c r="K42" s="64" t="e">
        <f ca="1">VLOOKUP($A42,[1]!LOOKUP_SARS_2009_Change_Breakdown2,K$3,FALSE)+0</f>
        <v>#REF!</v>
      </c>
      <c r="L42" s="64" t="e">
        <f ca="1">VLOOKUP($A42,[1]!LOOKUP_SARS_2009_Change_Breakdown2,L$3,FALSE)+0</f>
        <v>#REF!</v>
      </c>
      <c r="M42" s="64" t="e">
        <f ca="1">VLOOKUP($A42,[1]!LOOKUP_SARS_2009_Change_Breakdown2,M$3,FALSE)+0</f>
        <v>#REF!</v>
      </c>
      <c r="N42" s="64" t="e">
        <f ca="1">VLOOKUP($A42,[1]!LOOKUP_SARS_2009_Change_Breakdown2,N$3,FALSE)+0</f>
        <v>#REF!</v>
      </c>
      <c r="O42" s="64" t="e">
        <f ca="1">VLOOKUP($A42,[1]!LOOKUP_SARS_2009_Change_Breakdown2,O$3,FALSE)+0</f>
        <v>#REF!</v>
      </c>
      <c r="P42" s="26">
        <f ca="1">VLOOKUP($A42,[1]!LOOKUP_SARS_Unified2,P$3,FALSE)</f>
        <v>19031.400000000001</v>
      </c>
      <c r="Q42" s="1">
        <f t="shared" ca="1" si="19"/>
        <v>5.2544741847683297E-5</v>
      </c>
      <c r="R42" s="1">
        <v>1</v>
      </c>
      <c r="S42" s="37" t="e">
        <f t="shared" ca="1" si="15"/>
        <v>#REF!</v>
      </c>
      <c r="T42" s="73">
        <f t="shared" ca="1" si="16"/>
        <v>4708.5450935133767</v>
      </c>
      <c r="V42" s="1">
        <v>10</v>
      </c>
      <c r="W42" s="1" t="str">
        <f>"Space "&amp;COLUMN()-21</f>
        <v>Space 2</v>
      </c>
      <c r="X42" s="72" t="str">
        <f>"Neg. "&amp;Y42</f>
        <v>Neg. Economic</v>
      </c>
      <c r="Y42" s="19" t="s">
        <v>128</v>
      </c>
      <c r="Z42" s="1" t="str">
        <f>"Space "&amp;COLUMN()-21</f>
        <v>Space 5</v>
      </c>
      <c r="AA42" s="72" t="str">
        <f>"Neg. "&amp;AB42</f>
        <v>Neg. Quantity</v>
      </c>
      <c r="AB42" s="19" t="s">
        <v>91</v>
      </c>
      <c r="AC42" s="1" t="str">
        <f>"Space "&amp;COLUMN()-21</f>
        <v>Space 8</v>
      </c>
      <c r="AD42" s="72" t="str">
        <f>"Neg. "&amp;AE42</f>
        <v>Neg. Schedule</v>
      </c>
      <c r="AE42" s="19" t="s">
        <v>88</v>
      </c>
      <c r="AF42" s="1" t="str">
        <f>"Space "&amp;COLUMN()-21</f>
        <v>Space 11</v>
      </c>
      <c r="AG42" s="72" t="str">
        <f>"Neg. "&amp;AH42</f>
        <v>Neg. Engineering</v>
      </c>
      <c r="AH42" s="19" t="s">
        <v>87</v>
      </c>
      <c r="AI42" s="1" t="str">
        <f>"Space "&amp;COLUMN()-21</f>
        <v>Space 14</v>
      </c>
      <c r="AJ42" s="72" t="str">
        <f>"Neg. "&amp;AK42</f>
        <v>Neg. Estimating</v>
      </c>
      <c r="AK42" s="19" t="s">
        <v>86</v>
      </c>
      <c r="AL42" s="1" t="str">
        <f>"Space "&amp;COLUMN()-21</f>
        <v>Space 17</v>
      </c>
      <c r="AM42" s="72" t="str">
        <f>"Neg. "&amp;AN42</f>
        <v>Neg. Support</v>
      </c>
      <c r="AN42" s="19" t="s">
        <v>84</v>
      </c>
      <c r="AO42" s="1" t="str">
        <f>"Space "&amp;COLUMN()-21</f>
        <v>Space 20</v>
      </c>
      <c r="AP42" s="72" t="str">
        <f>"Neg. "&amp;AQ42</f>
        <v>Neg. Other</v>
      </c>
      <c r="AQ42" s="24" t="s">
        <v>85</v>
      </c>
      <c r="AR42" s="1" t="str">
        <f>"Space "&amp;COLUMN()-30</f>
        <v>Space 14</v>
      </c>
      <c r="CN42" s="37"/>
      <c r="CO42" s="37"/>
      <c r="CP42" s="37"/>
      <c r="CQ42" s="37"/>
      <c r="CR42" s="37"/>
      <c r="CS42" s="37"/>
      <c r="CT42" s="63"/>
      <c r="CU42" s="62"/>
      <c r="CV42" s="19"/>
    </row>
    <row r="43" spans="1:100" s="1" customFormat="1" x14ac:dyDescent="0.25">
      <c r="A43" s="92" t="s">
        <v>15</v>
      </c>
      <c r="B43" s="66">
        <f ca="1">IFERROR(VLOOKUP($A43,[1]!LOOKUP_MDAPs,B$3,FALSE)/$G43,"")</f>
        <v>0.13199287986895619</v>
      </c>
      <c r="C43" s="66">
        <f ca="1">IFERROR(VLOOKUP($A43,[1]!LOOKUP_MDAPs,C$3,FALSE)/$G43,"")</f>
        <v>0</v>
      </c>
      <c r="D43" s="66">
        <f ca="1">IFERROR(VLOOKUP($A43,[1]!LOOKUP_MDAPs,D$3,FALSE)/$G43,"")</f>
        <v>1.7936737460460912E-5</v>
      </c>
      <c r="E43" s="66">
        <f ca="1">IFERROR(VLOOKUP($A43,[1]!LOOKUP_MDAPs,E$3,FALSE)/$G43,"")</f>
        <v>3.0806916629010396E-2</v>
      </c>
      <c r="F43" s="66">
        <f ca="1">IFERROR(VLOOKUP($A43,[1]!LOOKUP_MDAPs,F$3,FALSE)/$G43,"")</f>
        <v>7.1705377315860812E-5</v>
      </c>
      <c r="G43" s="65">
        <f ca="1">IFERROR(VLOOKUP($A43,[1]!LOOKUP_MDAPs,G$3,FALSE),"")</f>
        <v>8852</v>
      </c>
      <c r="H43" s="64">
        <f ca="1">VLOOKUP($A43,[1]!LOOKUP_SARS_2009_Change_Breakdown2,H$3,FALSE)+0</f>
        <v>2913.7</v>
      </c>
      <c r="I43" s="64" t="e">
        <f ca="1">VLOOKUP($A43,[1]!LOOKUP_SARS_2009_Change_Breakdown2,I$3,FALSE)+0</f>
        <v>#REF!</v>
      </c>
      <c r="J43" s="64" t="e">
        <f ca="1">VLOOKUP($A43,[1]!LOOKUP_SARS_2009_Change_Breakdown2,J$3,FALSE)+0</f>
        <v>#REF!</v>
      </c>
      <c r="K43" s="64" t="e">
        <f ca="1">VLOOKUP($A43,[1]!LOOKUP_SARS_2009_Change_Breakdown2,K$3,FALSE)+0</f>
        <v>#REF!</v>
      </c>
      <c r="L43" s="64" t="e">
        <f ca="1">VLOOKUP($A43,[1]!LOOKUP_SARS_2009_Change_Breakdown2,L$3,FALSE)+0</f>
        <v>#REF!</v>
      </c>
      <c r="M43" s="64" t="e">
        <f ca="1">VLOOKUP($A43,[1]!LOOKUP_SARS_2009_Change_Breakdown2,M$3,FALSE)+0</f>
        <v>#REF!</v>
      </c>
      <c r="N43" s="64" t="e">
        <f ca="1">VLOOKUP($A43,[1]!LOOKUP_SARS_2009_Change_Breakdown2,N$3,FALSE)+0</f>
        <v>#REF!</v>
      </c>
      <c r="O43" s="64" t="e">
        <f ca="1">VLOOKUP($A43,[1]!LOOKUP_SARS_2009_Change_Breakdown2,O$3,FALSE)+0</f>
        <v>#REF!</v>
      </c>
      <c r="P43" s="26">
        <f ca="1">VLOOKUP($A43,[1]!LOOKUP_SARS_Unified2,P$3,FALSE)</f>
        <v>8636.4</v>
      </c>
      <c r="Q43" s="1">
        <f t="shared" ca="1" si="19"/>
        <v>1.1578898615163726E-4</v>
      </c>
      <c r="R43" s="1">
        <v>1</v>
      </c>
      <c r="S43" s="37" t="e">
        <f t="shared" ca="1" si="15"/>
        <v>#REF!</v>
      </c>
      <c r="T43" s="73">
        <f t="shared" ca="1" si="16"/>
        <v>1139.9433077002532</v>
      </c>
      <c r="V43" s="1" t="str">
        <f>V6</f>
        <v>Fixed Price</v>
      </c>
      <c r="W43" s="37" t="e">
        <f ca="1">CEILING(MAX(X$43:X$47)*$V$42,1)/$V$42-X43</f>
        <v>#N/A</v>
      </c>
      <c r="X43" s="37" t="e">
        <f ca="1">AD6/$U6*-1</f>
        <v>#N/A</v>
      </c>
      <c r="Y43" s="37" t="e">
        <f ca="1">W6/$U6</f>
        <v>#N/A</v>
      </c>
      <c r="Z43" s="71" t="e">
        <f ca="1">CEILING(MAX(Y$43:Y$47)*$V$42,1)/$V$42+MAX(CEILING(MAX(AA$43:AA$47)*$V$42,1)/$V$42,1/$V$42)-Y43-AA43+1/$V$42</f>
        <v>#N/A</v>
      </c>
      <c r="AA43" s="37" t="e">
        <f ca="1">AE6/$U6*-1</f>
        <v>#REF!</v>
      </c>
      <c r="AB43" s="37" t="e">
        <f ca="1">X6/$U6</f>
        <v>#REF!</v>
      </c>
      <c r="AC43" s="71" t="e">
        <f ca="1">CEILING(MAX(AB$43:AB$47)*$V$42,1)/$V$42+MAX(CEILING(MAX(AD$43:AD$47)*$V$42,1)/$V$42,1/$V$42)-AB43-AD43+1/$V$42</f>
        <v>#REF!</v>
      </c>
      <c r="AD43" s="37" t="e">
        <f ca="1">AF6/$U6*-1</f>
        <v>#REF!</v>
      </c>
      <c r="AE43" s="37" t="e">
        <f ca="1">Y6/$U6</f>
        <v>#REF!</v>
      </c>
      <c r="AF43" s="71" t="e">
        <f ca="1">CEILING(MAX(AE$43:AE$47)*$V$42,1)/$V$42+MAX(CEILING(MAX(AG$43:AG$47)*$V$42,1)/$V$42,1/$V$42)-AE43-AG43+1/$V$42</f>
        <v>#REF!</v>
      </c>
      <c r="AG43" s="37" t="e">
        <f ca="1">AG6/$U6*-1</f>
        <v>#REF!</v>
      </c>
      <c r="AH43" s="37" t="e">
        <f ca="1">Z6/$U6</f>
        <v>#REF!</v>
      </c>
      <c r="AI43" s="71" t="e">
        <f ca="1">CEILING(MAX(AH$43:AH$47)*$V$42,1)/$V$42+MAX(CEILING(MAX(AJ$43:AJ$47)*$V$42,1)/$V$42,1/$V$42)-AH43-AJ43+1/$V$42</f>
        <v>#REF!</v>
      </c>
      <c r="AJ43" s="37" t="e">
        <f ca="1">AH6/$U6*-1</f>
        <v>#REF!</v>
      </c>
      <c r="AK43" s="37" t="e">
        <f ca="1">AA6/$U6</f>
        <v>#REF!</v>
      </c>
      <c r="AL43" s="71" t="e">
        <f ca="1">CEILING(MAX(AK$43:AK$47)*$V$42,1)/$V$42+MAX(CEILING(MAX(AM$43:AM$47)*$V$42,1)/$V$42,1/$V$42)-AK43-AM43+1/$V$42</f>
        <v>#REF!</v>
      </c>
      <c r="AM43" s="37" t="e">
        <f ca="1">AJ6/$U6*-1</f>
        <v>#REF!</v>
      </c>
      <c r="AN43" s="37" t="e">
        <f ca="1">AC6/$U6</f>
        <v>#REF!</v>
      </c>
      <c r="AO43" s="71" t="e">
        <f ca="1">CEILING(MAX(AN$43:AN$47)*$V$42,1)/$V$42+MAX(CEILING(MAX(AP$43:AP$47)*$V$42,1)/$V$42,1/$V$42)-AN43-AP43+1/$V$42</f>
        <v>#REF!</v>
      </c>
      <c r="AP43" s="51" t="e">
        <f ca="1">AI6/$U6*-1</f>
        <v>#REF!</v>
      </c>
      <c r="AQ43" s="51" t="e">
        <f ca="1">AB6/$U6</f>
        <v>#REF!</v>
      </c>
      <c r="AR43" s="37" t="e">
        <f ca="1">CEILING(MAX(AQ$43:AQ$47)*$V$42,1)/$V$42-AQ43</f>
        <v>#REF!</v>
      </c>
      <c r="AS43" s="19" t="e">
        <f ca="1">SUM(W43:AR43)</f>
        <v>#N/A</v>
      </c>
      <c r="CL43" s="37"/>
      <c r="CM43" s="37"/>
      <c r="CN43" s="37"/>
      <c r="CO43" s="37"/>
      <c r="CP43" s="37"/>
      <c r="CQ43" s="37"/>
      <c r="CR43" s="37"/>
      <c r="CS43" s="37"/>
      <c r="CT43" s="63"/>
      <c r="CU43" s="62"/>
      <c r="CV43" s="19"/>
    </row>
    <row r="44" spans="1:100" s="1" customFormat="1" x14ac:dyDescent="0.25">
      <c r="A44" s="92" t="s">
        <v>26</v>
      </c>
      <c r="B44" s="66">
        <f ca="1">IFERROR(VLOOKUP($A44,[1]!LOOKUP_MDAPs,B$3,FALSE)/$G44,"")</f>
        <v>5.0787758856919746E-2</v>
      </c>
      <c r="C44" s="66">
        <f ca="1">IFERROR(VLOOKUP($A44,[1]!LOOKUP_MDAPs,C$3,FALSE)/$G44,"")</f>
        <v>4.2176851874098996E-2</v>
      </c>
      <c r="D44" s="66">
        <f ca="1">IFERROR(VLOOKUP($A44,[1]!LOOKUP_MDAPs,D$3,FALSE)/$G44,"")</f>
        <v>2.2438169750120137E-5</v>
      </c>
      <c r="E44" s="66">
        <f ca="1">IFERROR(VLOOKUP($A44,[1]!LOOKUP_MDAPs,E$3,FALSE)/$G44,"")</f>
        <v>3.9992301294449792E-2</v>
      </c>
      <c r="F44" s="66">
        <f ca="1">IFERROR(VLOOKUP($A44,[1]!LOOKUP_MDAPs,F$3,FALSE)/$G44,"")</f>
        <v>4.4442623438250839E-2</v>
      </c>
      <c r="G44" s="65">
        <f ca="1">IFERROR(VLOOKUP($A44,[1]!LOOKUP_MDAPs,G$3,FALSE),"")</f>
        <v>3329.6</v>
      </c>
      <c r="H44" s="64">
        <f ca="1">VLOOKUP($A44,[1]!LOOKUP_SARS_2009_Change_Breakdown2,H$3,FALSE)+0</f>
        <v>6827.8</v>
      </c>
      <c r="I44" s="64" t="e">
        <f ca="1">VLOOKUP($A44,[1]!LOOKUP_SARS_2009_Change_Breakdown2,I$3,FALSE)+0</f>
        <v>#REF!</v>
      </c>
      <c r="J44" s="64" t="e">
        <f ca="1">VLOOKUP($A44,[1]!LOOKUP_SARS_2009_Change_Breakdown2,J$3,FALSE)+0</f>
        <v>#REF!</v>
      </c>
      <c r="K44" s="64" t="e">
        <f ca="1">VLOOKUP($A44,[1]!LOOKUP_SARS_2009_Change_Breakdown2,K$3,FALSE)+0</f>
        <v>#REF!</v>
      </c>
      <c r="L44" s="64" t="e">
        <f ca="1">VLOOKUP($A44,[1]!LOOKUP_SARS_2009_Change_Breakdown2,L$3,FALSE)+0</f>
        <v>#REF!</v>
      </c>
      <c r="M44" s="64" t="e">
        <f ca="1">VLOOKUP($A44,[1]!LOOKUP_SARS_2009_Change_Breakdown2,M$3,FALSE)+0</f>
        <v>#REF!</v>
      </c>
      <c r="N44" s="64" t="e">
        <f ca="1">VLOOKUP($A44,[1]!LOOKUP_SARS_2009_Change_Breakdown2,N$3,FALSE)+0</f>
        <v>#REF!</v>
      </c>
      <c r="O44" s="64" t="e">
        <f ca="1">VLOOKUP($A44,[1]!LOOKUP_SARS_2009_Change_Breakdown2,O$3,FALSE)+0</f>
        <v>#REF!</v>
      </c>
      <c r="P44" s="26">
        <f ca="1">VLOOKUP($A44,[1]!LOOKUP_SARS_Unified2,P$3,FALSE)</f>
        <v>8725.2000000000007</v>
      </c>
      <c r="Q44" s="1">
        <f t="shared" ca="1" si="19"/>
        <v>1.1461055333975152E-4</v>
      </c>
      <c r="R44" s="1">
        <v>1</v>
      </c>
      <c r="S44" s="37" t="e">
        <f t="shared" ref="S44:S75" ca="1" si="26">SUM(O44)*Q44</f>
        <v>#REF!</v>
      </c>
      <c r="T44" s="73">
        <f t="shared" ref="T44:T75" ca="1" si="27">P44*B44</f>
        <v>443.13335357839622</v>
      </c>
      <c r="V44" s="1" t="str">
        <f>V7</f>
        <v>Combination</v>
      </c>
      <c r="W44" s="37" t="e">
        <f ca="1">CEILING(MAX(X$43:X$47)*$V$42,1)/$V$42-X44</f>
        <v>#N/A</v>
      </c>
      <c r="X44" s="37" t="e">
        <f ca="1">AD7/$U7*-1</f>
        <v>#N/A</v>
      </c>
      <c r="Y44" s="37" t="e">
        <f ca="1">W7/$U7</f>
        <v>#N/A</v>
      </c>
      <c r="Z44" s="71" t="e">
        <f ca="1">CEILING(MAX(Y$43:Y$47)*$V$42,1)/$V$42+MAX(CEILING(MAX(AA$43:AA$47)*$V$42,1)/$V$42,1/$V$42)-Y44-AA44+1/$V$42</f>
        <v>#N/A</v>
      </c>
      <c r="AA44" s="37" t="e">
        <f ca="1">AE7/$U7*-1</f>
        <v>#REF!</v>
      </c>
      <c r="AB44" s="37" t="e">
        <f ca="1">X7/$U7</f>
        <v>#REF!</v>
      </c>
      <c r="AC44" s="71" t="e">
        <f ca="1">CEILING(MAX(AB$43:AB$47)*$V$42,1)/$V$42+MAX(CEILING(MAX(AD$43:AD$47)*$V$42,1)/$V$42,1/$V$42)-AB44-AD44+1/$V$42</f>
        <v>#REF!</v>
      </c>
      <c r="AD44" s="37" t="e">
        <f ca="1">AF7/$U7*-1</f>
        <v>#REF!</v>
      </c>
      <c r="AE44" s="37" t="e">
        <f ca="1">Y7/$U7</f>
        <v>#REF!</v>
      </c>
      <c r="AF44" s="71" t="e">
        <f ca="1">CEILING(MAX(AE$43:AE$47)*$V$42,1)/$V$42+MAX(CEILING(MAX(AG$43:AG$47)*$V$42,1)/$V$42,1/$V$42)-AE44-AG44+1/$V$42</f>
        <v>#REF!</v>
      </c>
      <c r="AG44" s="37" t="e">
        <f ca="1">AG7/$U7*-1</f>
        <v>#REF!</v>
      </c>
      <c r="AH44" s="37" t="e">
        <f ca="1">Z7/$U7</f>
        <v>#REF!</v>
      </c>
      <c r="AI44" s="71" t="e">
        <f ca="1">CEILING(MAX(AH$43:AH$47)*$V$42,1)/$V$42+MAX(CEILING(MAX(AJ$43:AJ$47)*$V$42,1)/$V$42,1/$V$42)-AH44-AJ44+1/$V$42</f>
        <v>#REF!</v>
      </c>
      <c r="AJ44" s="37" t="e">
        <f ca="1">AH7/$U7*-1</f>
        <v>#REF!</v>
      </c>
      <c r="AK44" s="37" t="e">
        <f ca="1">AA7/$U7</f>
        <v>#REF!</v>
      </c>
      <c r="AL44" s="71" t="e">
        <f ca="1">CEILING(MAX(AK$43:AK$47)*$V$42,1)/$V$42+MAX(CEILING(MAX(AM$43:AM$47)*$V$42,1)/$V$42,1/$V$42)-AK44-AM44+1/$V$42</f>
        <v>#REF!</v>
      </c>
      <c r="AM44" s="37" t="e">
        <f ca="1">AJ7/$U7*-1</f>
        <v>#REF!</v>
      </c>
      <c r="AN44" s="37" t="e">
        <f ca="1">AC7/$U7</f>
        <v>#REF!</v>
      </c>
      <c r="AO44" s="71" t="e">
        <f ca="1">CEILING(MAX(AN$43:AN$47)*$V$42,1)/$V$42+MAX(CEILING(MAX(AP$43:AP$47)*$V$42,1)/$V$42,1/$V$42)-AN44-AP44+1/$V$42</f>
        <v>#REF!</v>
      </c>
      <c r="AP44" s="51" t="e">
        <f ca="1">AI7/$U7*-1</f>
        <v>#REF!</v>
      </c>
      <c r="AQ44" s="51" t="e">
        <f ca="1">AB7/$U7</f>
        <v>#REF!</v>
      </c>
      <c r="AR44" s="37" t="e">
        <f ca="1">CEILING(MAX(AQ$43:AQ$47)*$V$42,1)/$V$42-AQ44</f>
        <v>#REF!</v>
      </c>
      <c r="AS44" s="19" t="e">
        <f ca="1">SUM(W44:AR44)</f>
        <v>#N/A</v>
      </c>
    </row>
    <row r="45" spans="1:100" s="1" customFormat="1" x14ac:dyDescent="0.25">
      <c r="A45" s="92" t="s">
        <v>180</v>
      </c>
      <c r="B45" s="66">
        <f ca="1">IFERROR(VLOOKUP($A45,[1]!LOOKUP_MDAPs,B$3,FALSE)/$G45,"")</f>
        <v>0</v>
      </c>
      <c r="C45" s="66">
        <f ca="1">IFERROR(VLOOKUP($A45,[1]!LOOKUP_MDAPs,C$3,FALSE)/$G45,"")</f>
        <v>0</v>
      </c>
      <c r="D45" s="66">
        <f ca="1">IFERROR(VLOOKUP($A45,[1]!LOOKUP_MDAPs,D$3,FALSE)/$G45,"")</f>
        <v>0</v>
      </c>
      <c r="E45" s="66">
        <f ca="1">IFERROR(VLOOKUP($A45,[1]!LOOKUP_MDAPs,E$3,FALSE)/$G45,"")</f>
        <v>0</v>
      </c>
      <c r="F45" s="66">
        <f ca="1">IFERROR(VLOOKUP($A45,[1]!LOOKUP_MDAPs,F$3,FALSE)/$G45,"")</f>
        <v>0</v>
      </c>
      <c r="G45" s="65">
        <f ca="1">IFERROR(VLOOKUP($A45,[1]!LOOKUP_MDAPs,G$3,FALSE),"")</f>
        <v>1182.4000000000001</v>
      </c>
      <c r="H45" s="64" t="e">
        <f ca="1">VLOOKUP($A45,[1]!LOOKUP_SARS_2009_Change_Breakdown2,H$3,FALSE)+0</f>
        <v>#N/A</v>
      </c>
      <c r="I45" s="64" t="e">
        <f ca="1">VLOOKUP($A45,[1]!LOOKUP_SARS_2009_Change_Breakdown2,I$3,FALSE)+0</f>
        <v>#N/A</v>
      </c>
      <c r="J45" s="64" t="e">
        <f ca="1">VLOOKUP($A45,[1]!LOOKUP_SARS_2009_Change_Breakdown2,J$3,FALSE)+0</f>
        <v>#N/A</v>
      </c>
      <c r="K45" s="64" t="e">
        <f ca="1">VLOOKUP($A45,[1]!LOOKUP_SARS_2009_Change_Breakdown2,K$3,FALSE)+0</f>
        <v>#N/A</v>
      </c>
      <c r="L45" s="64" t="e">
        <f ca="1">VLOOKUP($A45,[1]!LOOKUP_SARS_2009_Change_Breakdown2,L$3,FALSE)+0</f>
        <v>#N/A</v>
      </c>
      <c r="M45" s="64" t="e">
        <f ca="1">VLOOKUP($A45,[1]!LOOKUP_SARS_2009_Change_Breakdown2,M$3,FALSE)+0</f>
        <v>#N/A</v>
      </c>
      <c r="N45" s="64" t="e">
        <f ca="1">VLOOKUP($A45,[1]!LOOKUP_SARS_2009_Change_Breakdown2,N$3,FALSE)+0</f>
        <v>#N/A</v>
      </c>
      <c r="O45" s="64" t="e">
        <f ca="1">VLOOKUP($A45,[1]!LOOKUP_SARS_2009_Change_Breakdown2,O$3,FALSE)+0</f>
        <v>#N/A</v>
      </c>
      <c r="P45" s="26">
        <f ca="1">VLOOKUP($A45,[1]!LOOKUP_SARS_Unified2,P$3,FALSE)</f>
        <v>3284</v>
      </c>
      <c r="Q45" s="1">
        <f t="shared" ca="1" si="19"/>
        <v>3.0450669914738123E-4</v>
      </c>
      <c r="R45" s="1">
        <v>1</v>
      </c>
      <c r="S45" s="37" t="e">
        <f t="shared" ca="1" si="26"/>
        <v>#N/A</v>
      </c>
      <c r="T45" s="73">
        <f t="shared" ca="1" si="27"/>
        <v>0</v>
      </c>
      <c r="V45" s="1" t="str">
        <f>V8</f>
        <v>Cost Plus Award/Incentive</v>
      </c>
      <c r="W45" s="37" t="e">
        <f ca="1">CEILING(MAX(X$43:X$47)*$V$42,1)/$V$42-X45</f>
        <v>#N/A</v>
      </c>
      <c r="X45" s="37" t="e">
        <f ca="1">AD8/$U8*-1</f>
        <v>#N/A</v>
      </c>
      <c r="Y45" s="37" t="e">
        <f ca="1">W8/$U8</f>
        <v>#N/A</v>
      </c>
      <c r="Z45" s="71" t="e">
        <f ca="1">CEILING(MAX(Y$43:Y$47)*$V$42,1)/$V$42+MAX(CEILING(MAX(AA$43:AA$47)*$V$42,1)/$V$42,1/$V$42)-Y45-AA45+1/$V$42</f>
        <v>#N/A</v>
      </c>
      <c r="AA45" s="37" t="e">
        <f ca="1">AE8/$U8*-1</f>
        <v>#REF!</v>
      </c>
      <c r="AB45" s="37" t="e">
        <f ca="1">X8/$U8</f>
        <v>#REF!</v>
      </c>
      <c r="AC45" s="71" t="e">
        <f ca="1">CEILING(MAX(AB$43:AB$47)*$V$42,1)/$V$42+MAX(CEILING(MAX(AD$43:AD$47)*$V$42,1)/$V$42,1/$V$42)-AB45-AD45+1/$V$42</f>
        <v>#REF!</v>
      </c>
      <c r="AD45" s="37" t="e">
        <f ca="1">AF8/$U8*-1</f>
        <v>#REF!</v>
      </c>
      <c r="AE45" s="37" t="e">
        <f ca="1">Y8/$U8</f>
        <v>#REF!</v>
      </c>
      <c r="AF45" s="71" t="e">
        <f ca="1">CEILING(MAX(AE$43:AE$47)*$V$42,1)/$V$42+MAX(CEILING(MAX(AG$43:AG$47)*$V$42,1)/$V$42,1/$V$42)-AE45-AG45+1/$V$42</f>
        <v>#REF!</v>
      </c>
      <c r="AG45" s="37" t="e">
        <f ca="1">AG8/$U8*-1</f>
        <v>#REF!</v>
      </c>
      <c r="AH45" s="37" t="e">
        <f ca="1">Z8/$U8</f>
        <v>#REF!</v>
      </c>
      <c r="AI45" s="71" t="e">
        <f ca="1">CEILING(MAX(AH$43:AH$47)*$V$42,1)/$V$42+MAX(CEILING(MAX(AJ$43:AJ$47)*$V$42,1)/$V$42,1/$V$42)-AH45-AJ45+1/$V$42</f>
        <v>#REF!</v>
      </c>
      <c r="AJ45" s="37" t="e">
        <f ca="1">AH8/$U8*-1</f>
        <v>#REF!</v>
      </c>
      <c r="AK45" s="37" t="e">
        <f ca="1">AA8/$U8</f>
        <v>#REF!</v>
      </c>
      <c r="AL45" s="71" t="e">
        <f ca="1">CEILING(MAX(AK$43:AK$47)*$V$42,1)/$V$42+MAX(CEILING(MAX(AM$43:AM$47)*$V$42,1)/$V$42,1/$V$42)-AK45-AM45+1/$V$42</f>
        <v>#REF!</v>
      </c>
      <c r="AM45" s="37" t="e">
        <f ca="1">AJ8/$U8*-1</f>
        <v>#REF!</v>
      </c>
      <c r="AN45" s="37" t="e">
        <f ca="1">AC8/$U8</f>
        <v>#REF!</v>
      </c>
      <c r="AO45" s="71" t="e">
        <f ca="1">CEILING(MAX(AN$43:AN$47)*$V$42,1)/$V$42+MAX(CEILING(MAX(AP$43:AP$47)*$V$42,1)/$V$42,1/$V$42)-AN45-AP45+1/$V$42</f>
        <v>#REF!</v>
      </c>
      <c r="AP45" s="51" t="e">
        <f ca="1">AI8/$U8*-1</f>
        <v>#REF!</v>
      </c>
      <c r="AQ45" s="51" t="e">
        <f ca="1">AB8/$U8</f>
        <v>#REF!</v>
      </c>
      <c r="AR45" s="37" t="e">
        <f ca="1">CEILING(MAX(AQ$43:AQ$47)*$V$42,1)/$V$42-AQ45</f>
        <v>#REF!</v>
      </c>
      <c r="AS45" s="19" t="e">
        <f ca="1">SUM(W45:AR45)</f>
        <v>#N/A</v>
      </c>
      <c r="CL45" s="37"/>
      <c r="CM45" s="37"/>
      <c r="CN45" s="37"/>
      <c r="CO45" s="37"/>
      <c r="CP45" s="37"/>
      <c r="CQ45" s="37"/>
      <c r="CR45" s="37"/>
      <c r="CS45" s="37"/>
      <c r="CT45" s="63"/>
      <c r="CU45" s="62"/>
      <c r="CV45" s="19"/>
    </row>
    <row r="46" spans="1:100" s="1" customFormat="1" x14ac:dyDescent="0.25">
      <c r="A46" s="92" t="s">
        <v>178</v>
      </c>
      <c r="B46" s="66" t="str">
        <f ca="1">IFERROR(VLOOKUP($A46,[1]!LOOKUP_MDAPs,B$3,FALSE)/$G46,"")</f>
        <v/>
      </c>
      <c r="C46" s="66" t="str">
        <f ca="1">IFERROR(VLOOKUP($A46,[1]!LOOKUP_MDAPs,C$3,FALSE)/$G46,"")</f>
        <v/>
      </c>
      <c r="D46" s="66" t="str">
        <f ca="1">IFERROR(VLOOKUP($A46,[1]!LOOKUP_MDAPs,D$3,FALSE)/$G46,"")</f>
        <v/>
      </c>
      <c r="E46" s="66" t="str">
        <f ca="1">IFERROR(VLOOKUP($A46,[1]!LOOKUP_MDAPs,E$3,FALSE)/$G46,"")</f>
        <v/>
      </c>
      <c r="F46" s="66" t="str">
        <f ca="1">IFERROR(VLOOKUP($A46,[1]!LOOKUP_MDAPs,F$3,FALSE)/$G46,"")</f>
        <v/>
      </c>
      <c r="G46" s="65" t="str">
        <f ca="1">IFERROR(VLOOKUP($A46,[1]!LOOKUP_MDAPs,G$3,FALSE),"")</f>
        <v/>
      </c>
      <c r="H46" s="64" t="e">
        <f ca="1">VLOOKUP($A46,[1]!LOOKUP_SARS_2009_Change_Breakdown2,H$3,FALSE)+0</f>
        <v>#N/A</v>
      </c>
      <c r="I46" s="64" t="e">
        <f ca="1">VLOOKUP($A46,[1]!LOOKUP_SARS_2009_Change_Breakdown2,I$3,FALSE)+0</f>
        <v>#N/A</v>
      </c>
      <c r="J46" s="64" t="e">
        <f ca="1">VLOOKUP($A46,[1]!LOOKUP_SARS_2009_Change_Breakdown2,J$3,FALSE)+0</f>
        <v>#N/A</v>
      </c>
      <c r="K46" s="64" t="e">
        <f ca="1">VLOOKUP($A46,[1]!LOOKUP_SARS_2009_Change_Breakdown2,K$3,FALSE)+0</f>
        <v>#N/A</v>
      </c>
      <c r="L46" s="64" t="e">
        <f ca="1">VLOOKUP($A46,[1]!LOOKUP_SARS_2009_Change_Breakdown2,L$3,FALSE)+0</f>
        <v>#N/A</v>
      </c>
      <c r="M46" s="64" t="e">
        <f ca="1">VLOOKUP($A46,[1]!LOOKUP_SARS_2009_Change_Breakdown2,M$3,FALSE)+0</f>
        <v>#N/A</v>
      </c>
      <c r="N46" s="64" t="e">
        <f ca="1">VLOOKUP($A46,[1]!LOOKUP_SARS_2009_Change_Breakdown2,N$3,FALSE)+0</f>
        <v>#N/A</v>
      </c>
      <c r="O46" s="64" t="e">
        <f ca="1">VLOOKUP($A46,[1]!LOOKUP_SARS_2009_Change_Breakdown2,O$3,FALSE)+0</f>
        <v>#N/A</v>
      </c>
      <c r="P46" s="26" t="str">
        <f ca="1">VLOOKUP($A46,[1]!LOOKUP_SARS_Unified2,P$3,FALSE)</f>
        <v/>
      </c>
      <c r="Q46" s="1" t="e">
        <f t="shared" ca="1" si="19"/>
        <v>#VALUE!</v>
      </c>
      <c r="R46" s="1">
        <v>1</v>
      </c>
      <c r="S46" s="37" t="e">
        <f t="shared" ca="1" si="26"/>
        <v>#N/A</v>
      </c>
      <c r="T46" s="73" t="e">
        <f t="shared" ca="1" si="27"/>
        <v>#VALUE!</v>
      </c>
      <c r="V46" s="1" t="str">
        <f>V9</f>
        <v>Cost (All Other; Including Time and Materials and Labor)</v>
      </c>
      <c r="W46" s="37" t="e">
        <f ca="1">CEILING(MAX(X$43:X$47)*$V$42,1)/$V$42-X46</f>
        <v>#N/A</v>
      </c>
      <c r="X46" s="37" t="e">
        <f ca="1">AD9/$U9*-1</f>
        <v>#N/A</v>
      </c>
      <c r="Y46" s="37" t="e">
        <f ca="1">W9/$U9</f>
        <v>#N/A</v>
      </c>
      <c r="Z46" s="71" t="e">
        <f ca="1">CEILING(MAX(Y$43:Y$47)*$V$42,1)/$V$42+MAX(CEILING(MAX(AA$43:AA$47)*$V$42,1)/$V$42,1/$V$42)-Y46-AA46+1/$V$42</f>
        <v>#N/A</v>
      </c>
      <c r="AA46" s="37" t="e">
        <f ca="1">AE9/$U9*-1</f>
        <v>#REF!</v>
      </c>
      <c r="AB46" s="37" t="e">
        <f ca="1">X9/$U9</f>
        <v>#REF!</v>
      </c>
      <c r="AC46" s="71" t="e">
        <f ca="1">CEILING(MAX(AB$43:AB$47)*$V$42,1)/$V$42+MAX(CEILING(MAX(AD$43:AD$47)*$V$42,1)/$V$42,1/$V$42)-AB46-AD46+1/$V$42</f>
        <v>#REF!</v>
      </c>
      <c r="AD46" s="37" t="e">
        <f ca="1">AF9/$U9*-1</f>
        <v>#REF!</v>
      </c>
      <c r="AE46" s="37" t="e">
        <f ca="1">Y9/$U9</f>
        <v>#REF!</v>
      </c>
      <c r="AF46" s="71" t="e">
        <f ca="1">CEILING(MAX(AE$43:AE$47)*$V$42,1)/$V$42+MAX(CEILING(MAX(AG$43:AG$47)*$V$42,1)/$V$42,1/$V$42)-AE46-AG46+1/$V$42</f>
        <v>#REF!</v>
      </c>
      <c r="AG46" s="37" t="e">
        <f ca="1">AG9/$U9*-1</f>
        <v>#REF!</v>
      </c>
      <c r="AH46" s="37" t="e">
        <f ca="1">Z9/$U9</f>
        <v>#REF!</v>
      </c>
      <c r="AI46" s="71" t="e">
        <f ca="1">CEILING(MAX(AH$43:AH$47)*$V$42,1)/$V$42+MAX(CEILING(MAX(AJ$43:AJ$47)*$V$42,1)/$V$42,1/$V$42)-AH46-AJ46+1/$V$42</f>
        <v>#REF!</v>
      </c>
      <c r="AJ46" s="37" t="e">
        <f ca="1">AH9/$U9*-1</f>
        <v>#REF!</v>
      </c>
      <c r="AK46" s="37" t="e">
        <f ca="1">AA9/$U9</f>
        <v>#REF!</v>
      </c>
      <c r="AL46" s="71" t="e">
        <f ca="1">CEILING(MAX(AK$43:AK$47)*$V$42,1)/$V$42+MAX(CEILING(MAX(AM$43:AM$47)*$V$42,1)/$V$42,1/$V$42)-AK46-AM46+1/$V$42</f>
        <v>#REF!</v>
      </c>
      <c r="AM46" s="37" t="e">
        <f ca="1">AJ9/$U9*-1</f>
        <v>#REF!</v>
      </c>
      <c r="AN46" s="37" t="e">
        <f ca="1">AC9/$U9</f>
        <v>#REF!</v>
      </c>
      <c r="AO46" s="71" t="e">
        <f ca="1">CEILING(MAX(AN$43:AN$47)*$V$42,1)/$V$42+MAX(CEILING(MAX(AP$43:AP$47)*$V$42,1)/$V$42,1/$V$42)-AN46-AP46+1/$V$42</f>
        <v>#REF!</v>
      </c>
      <c r="AP46" s="51" t="e">
        <f ca="1">AI9/$U9*-1</f>
        <v>#REF!</v>
      </c>
      <c r="AQ46" s="51" t="e">
        <f ca="1">AB9/$U9</f>
        <v>#REF!</v>
      </c>
      <c r="AR46" s="37" t="e">
        <f ca="1">CEILING(MAX(AQ$43:AQ$47)*$V$42,1)/$V$42-AQ46</f>
        <v>#REF!</v>
      </c>
      <c r="AS46" s="19" t="e">
        <f ca="1">SUM(W46:AR46)</f>
        <v>#N/A</v>
      </c>
      <c r="CP46" s="37"/>
      <c r="CQ46" s="37"/>
      <c r="CR46" s="37"/>
      <c r="CS46" s="37"/>
      <c r="CT46" s="63"/>
      <c r="CU46" s="62"/>
      <c r="CV46" s="19"/>
    </row>
    <row r="47" spans="1:100" s="1" customFormat="1" x14ac:dyDescent="0.25">
      <c r="A47" s="92" t="s">
        <v>217</v>
      </c>
      <c r="B47" s="66">
        <f ca="1">IFERROR(VLOOKUP($A47,[1]!LOOKUP_MDAPs,B$3,FALSE)/$G47,"")</f>
        <v>0</v>
      </c>
      <c r="C47" s="66">
        <f ca="1">IFERROR(VLOOKUP($A47,[1]!LOOKUP_MDAPs,C$3,FALSE)/$G47,"")</f>
        <v>0</v>
      </c>
      <c r="D47" s="66">
        <f ca="1">IFERROR(VLOOKUP($A47,[1]!LOOKUP_MDAPs,D$3,FALSE)/$G47,"")</f>
        <v>0</v>
      </c>
      <c r="E47" s="66">
        <f ca="1">IFERROR(VLOOKUP($A47,[1]!LOOKUP_MDAPs,E$3,FALSE)/$G47,"")</f>
        <v>0</v>
      </c>
      <c r="F47" s="66">
        <f ca="1">IFERROR(VLOOKUP($A47,[1]!LOOKUP_MDAPs,F$3,FALSE)/$G47,"")</f>
        <v>0</v>
      </c>
      <c r="G47" s="65">
        <f ca="1">IFERROR(VLOOKUP($A47,[1]!LOOKUP_MDAPs,G$3,FALSE),"")</f>
        <v>68.599999999999994</v>
      </c>
      <c r="H47" s="64" t="e">
        <f ca="1">VLOOKUP($A47,[1]!LOOKUP_SARS_2009_Change_Breakdown2,H$3,FALSE)+0</f>
        <v>#N/A</v>
      </c>
      <c r="I47" s="64" t="e">
        <f ca="1">VLOOKUP($A47,[1]!LOOKUP_SARS_2009_Change_Breakdown2,I$3,FALSE)+0</f>
        <v>#N/A</v>
      </c>
      <c r="J47" s="64" t="e">
        <f ca="1">VLOOKUP($A47,[1]!LOOKUP_SARS_2009_Change_Breakdown2,J$3,FALSE)+0</f>
        <v>#N/A</v>
      </c>
      <c r="K47" s="64" t="e">
        <f ca="1">VLOOKUP($A47,[1]!LOOKUP_SARS_2009_Change_Breakdown2,K$3,FALSE)+0</f>
        <v>#N/A</v>
      </c>
      <c r="L47" s="64" t="e">
        <f ca="1">VLOOKUP($A47,[1]!LOOKUP_SARS_2009_Change_Breakdown2,L$3,FALSE)+0</f>
        <v>#N/A</v>
      </c>
      <c r="M47" s="64" t="e">
        <f ca="1">VLOOKUP($A47,[1]!LOOKUP_SARS_2009_Change_Breakdown2,M$3,FALSE)+0</f>
        <v>#N/A</v>
      </c>
      <c r="N47" s="64" t="e">
        <f ca="1">VLOOKUP($A47,[1]!LOOKUP_SARS_2009_Change_Breakdown2,N$3,FALSE)+0</f>
        <v>#N/A</v>
      </c>
      <c r="O47" s="64" t="e">
        <f ca="1">VLOOKUP($A47,[1]!LOOKUP_SARS_2009_Change_Breakdown2,O$3,FALSE)+0</f>
        <v>#N/A</v>
      </c>
      <c r="P47" s="26">
        <f ca="1">VLOOKUP($A47,[1]!LOOKUP_SARS_Unified2,P$3,FALSE)</f>
        <v>1478</v>
      </c>
      <c r="Q47" s="1">
        <f t="shared" ca="1" si="19"/>
        <v>6.7658998646820032E-4</v>
      </c>
      <c r="R47" s="1">
        <v>1</v>
      </c>
      <c r="S47" s="37" t="e">
        <f t="shared" ca="1" si="26"/>
        <v>#N/A</v>
      </c>
      <c r="T47" s="73">
        <f t="shared" ca="1" si="27"/>
        <v>0</v>
      </c>
      <c r="V47" s="1" t="str">
        <f>V10</f>
        <v>Unclear Type</v>
      </c>
      <c r="W47" s="37" t="e">
        <f ca="1">CEILING(MAX(X$43:X$47)*$V$42,1)/$V$42-X47</f>
        <v>#N/A</v>
      </c>
      <c r="X47" s="37" t="e">
        <f ca="1">AD10/$U10*-1</f>
        <v>#N/A</v>
      </c>
      <c r="Y47" s="37" t="e">
        <f ca="1">W10/$U10</f>
        <v>#N/A</v>
      </c>
      <c r="Z47" s="71" t="e">
        <f ca="1">CEILING(MAX(Y$43:Y$47)*$V$42,1)/$V$42+MAX(CEILING(MAX(AA$43:AA$47)*$V$42,1)/$V$42,1/$V$42)-Y47-AA47+1/$V$42</f>
        <v>#N/A</v>
      </c>
      <c r="AA47" s="37" t="e">
        <f ca="1">AE10/$U10*-1</f>
        <v>#REF!</v>
      </c>
      <c r="AB47" s="37" t="e">
        <f ca="1">X10/$U10</f>
        <v>#REF!</v>
      </c>
      <c r="AC47" s="71" t="e">
        <f ca="1">CEILING(MAX(AB$43:AB$47)*$V$42,1)/$V$42+MAX(CEILING(MAX(AD$43:AD$47)*$V$42,1)/$V$42,1/$V$42)-AB47-AD47+1/$V$42</f>
        <v>#REF!</v>
      </c>
      <c r="AD47" s="37" t="e">
        <f ca="1">AF10/$U10*-1</f>
        <v>#REF!</v>
      </c>
      <c r="AE47" s="37" t="e">
        <f ca="1">Y10/$U10</f>
        <v>#REF!</v>
      </c>
      <c r="AF47" s="71" t="e">
        <f ca="1">CEILING(MAX(AE$43:AE$47)*$V$42,1)/$V$42+MAX(CEILING(MAX(AG$43:AG$47)*$V$42,1)/$V$42,1/$V$42)-AE47-AG47+1/$V$42</f>
        <v>#REF!</v>
      </c>
      <c r="AG47" s="37" t="e">
        <f ca="1">AG10/$U10*-1</f>
        <v>#REF!</v>
      </c>
      <c r="AH47" s="37" t="e">
        <f ca="1">Z10/$U10</f>
        <v>#REF!</v>
      </c>
      <c r="AI47" s="71" t="e">
        <f ca="1">CEILING(MAX(AH$43:AH$47)*$V$42,1)/$V$42+MAX(CEILING(MAX(AJ$43:AJ$47)*$V$42,1)/$V$42,1/$V$42)-AH47-AJ47+1/$V$42</f>
        <v>#REF!</v>
      </c>
      <c r="AJ47" s="37" t="e">
        <f ca="1">AH10/$U10*-1</f>
        <v>#REF!</v>
      </c>
      <c r="AK47" s="37" t="e">
        <f ca="1">AA10/$U10</f>
        <v>#REF!</v>
      </c>
      <c r="AL47" s="71" t="e">
        <f ca="1">CEILING(MAX(AK$43:AK$47)*$V$42,1)/$V$42+MAX(CEILING(MAX(AM$43:AM$47)*$V$42,1)/$V$42,1/$V$42)-AK47-AM47+1/$V$42</f>
        <v>#REF!</v>
      </c>
      <c r="AM47" s="37" t="e">
        <f ca="1">AJ10/$U10*-1</f>
        <v>#REF!</v>
      </c>
      <c r="AN47" s="37" t="e">
        <f ca="1">AC10/$U10</f>
        <v>#REF!</v>
      </c>
      <c r="AO47" s="71" t="e">
        <f ca="1">CEILING(MAX(AN$43:AN$47)*$V$42,1)/$V$42+MAX(CEILING(MAX(AP$43:AP$47)*$V$42,1)/$V$42,1/$V$42)-AN47-AP47+1/$V$42</f>
        <v>#REF!</v>
      </c>
      <c r="AP47" s="51" t="e">
        <f ca="1">AI10/$U10*-1</f>
        <v>#REF!</v>
      </c>
      <c r="AQ47" s="51" t="e">
        <f ca="1">AB10/$U10</f>
        <v>#REF!</v>
      </c>
      <c r="AR47" s="37" t="e">
        <f ca="1">CEILING(MAX(AQ$43:AQ$47)*$V$42,1)/$V$42-AQ47</f>
        <v>#REF!</v>
      </c>
      <c r="AS47" s="19" t="e">
        <f ca="1">SUM(W47:AR47)</f>
        <v>#N/A</v>
      </c>
      <c r="CL47" s="37"/>
      <c r="CM47" s="37"/>
      <c r="CN47" s="37"/>
      <c r="CO47" s="37"/>
      <c r="CP47" s="37"/>
      <c r="CQ47" s="37"/>
      <c r="CR47" s="37"/>
      <c r="CS47" s="37"/>
      <c r="CT47" s="63"/>
      <c r="CU47" s="62"/>
      <c r="CV47" s="19"/>
    </row>
    <row r="48" spans="1:100" s="1" customFormat="1" x14ac:dyDescent="0.25">
      <c r="A48" s="92" t="s">
        <v>29</v>
      </c>
      <c r="B48" s="66">
        <f ca="1">IFERROR(VLOOKUP($A48,[1]!LOOKUP_MDAPs,B$3,FALSE)/$G48,"")</f>
        <v>0.3952130618713367</v>
      </c>
      <c r="C48" s="66">
        <f ca="1">IFERROR(VLOOKUP($A48,[1]!LOOKUP_MDAPs,C$3,FALSE)/$G48,"")</f>
        <v>0</v>
      </c>
      <c r="D48" s="66">
        <f ca="1">IFERROR(VLOOKUP($A48,[1]!LOOKUP_MDAPs,D$3,FALSE)/$G48,"")</f>
        <v>0</v>
      </c>
      <c r="E48" s="66">
        <f ca="1">IFERROR(VLOOKUP($A48,[1]!LOOKUP_MDAPs,E$3,FALSE)/$G48,"")</f>
        <v>7.9913576235617623E-2</v>
      </c>
      <c r="F48" s="66">
        <f ca="1">IFERROR(VLOOKUP($A48,[1]!LOOKUP_MDAPs,F$3,FALSE)/$G48,"")</f>
        <v>1.6191694044431579E-2</v>
      </c>
      <c r="G48" s="65">
        <f ca="1">IFERROR(VLOOKUP($A48,[1]!LOOKUP_MDAPs,G$3,FALSE),"")</f>
        <v>1381.9</v>
      </c>
      <c r="H48" s="64">
        <f ca="1">VLOOKUP($A48,[1]!LOOKUP_SARS_2009_Change_Breakdown2,H$3,FALSE)+0</f>
        <v>-49.1</v>
      </c>
      <c r="I48" s="64" t="e">
        <f ca="1">VLOOKUP($A48,[1]!LOOKUP_SARS_2009_Change_Breakdown2,I$3,FALSE)+0</f>
        <v>#REF!</v>
      </c>
      <c r="J48" s="64" t="e">
        <f ca="1">VLOOKUP($A48,[1]!LOOKUP_SARS_2009_Change_Breakdown2,J$3,FALSE)+0</f>
        <v>#REF!</v>
      </c>
      <c r="K48" s="64" t="e">
        <f ca="1">VLOOKUP($A48,[1]!LOOKUP_SARS_2009_Change_Breakdown2,K$3,FALSE)+0</f>
        <v>#REF!</v>
      </c>
      <c r="L48" s="64" t="e">
        <f ca="1">VLOOKUP($A48,[1]!LOOKUP_SARS_2009_Change_Breakdown2,L$3,FALSE)+0</f>
        <v>#REF!</v>
      </c>
      <c r="M48" s="64" t="e">
        <f ca="1">VLOOKUP($A48,[1]!LOOKUP_SARS_2009_Change_Breakdown2,M$3,FALSE)+0</f>
        <v>#REF!</v>
      </c>
      <c r="N48" s="64" t="e">
        <f ca="1">VLOOKUP($A48,[1]!LOOKUP_SARS_2009_Change_Breakdown2,N$3,FALSE)+0</f>
        <v>#REF!</v>
      </c>
      <c r="O48" s="64" t="e">
        <f ca="1">VLOOKUP($A48,[1]!LOOKUP_SARS_2009_Change_Breakdown2,O$3,FALSE)+0</f>
        <v>#REF!</v>
      </c>
      <c r="P48" s="26">
        <f ca="1">VLOOKUP($A48,[1]!LOOKUP_SARS_Unified2,P$3,FALSE)</f>
        <v>1679</v>
      </c>
      <c r="Q48" s="1">
        <f t="shared" ca="1" si="19"/>
        <v>5.9559261465157837E-4</v>
      </c>
      <c r="R48" s="1">
        <v>1</v>
      </c>
      <c r="S48" s="37" t="e">
        <f t="shared" ca="1" si="26"/>
        <v>#REF!</v>
      </c>
      <c r="T48" s="73">
        <f t="shared" ca="1" si="27"/>
        <v>663.56273088197429</v>
      </c>
      <c r="CN48" s="37"/>
      <c r="CO48" s="37"/>
      <c r="CP48" s="37"/>
      <c r="CQ48" s="37"/>
      <c r="CR48" s="37"/>
      <c r="CS48" s="37"/>
      <c r="CT48" s="63"/>
      <c r="CU48" s="62"/>
      <c r="CV48" s="19"/>
    </row>
    <row r="49" spans="1:100" s="1" customFormat="1" x14ac:dyDescent="0.25">
      <c r="A49" s="92" t="s">
        <v>48</v>
      </c>
      <c r="B49" s="66">
        <f ca="1">IFERROR(VLOOKUP($A49,[1]!LOOKUP_MDAPs,B$3,FALSE)/$G49,"")</f>
        <v>0.25975304876146094</v>
      </c>
      <c r="C49" s="66">
        <f ca="1">IFERROR(VLOOKUP($A49,[1]!LOOKUP_MDAPs,C$3,FALSE)/$G49,"")</f>
        <v>3.2950197228015851E-4</v>
      </c>
      <c r="D49" s="66">
        <f ca="1">IFERROR(VLOOKUP($A49,[1]!LOOKUP_MDAPs,D$3,FALSE)/$G49,"")</f>
        <v>3.0579097206652234E-3</v>
      </c>
      <c r="E49" s="66">
        <f ca="1">IFERROR(VLOOKUP($A49,[1]!LOOKUP_MDAPs,E$3,FALSE)/$G49,"")</f>
        <v>3.1413794582231203E-2</v>
      </c>
      <c r="F49" s="66">
        <f ca="1">IFERROR(VLOOKUP($A49,[1]!LOOKUP_MDAPs,F$3,FALSE)/$G49,"")</f>
        <v>1.0513481993115187E-2</v>
      </c>
      <c r="G49" s="65">
        <f ca="1">IFERROR(VLOOKUP($A49,[1]!LOOKUP_MDAPs,G$3,FALSE),"")</f>
        <v>45404.3</v>
      </c>
      <c r="H49" s="64">
        <f ca="1">VLOOKUP($A49,[1]!LOOKUP_SARS_2009_Change_Breakdown2,H$3,FALSE)+0</f>
        <v>6454.1</v>
      </c>
      <c r="I49" s="64" t="e">
        <f ca="1">VLOOKUP($A49,[1]!LOOKUP_SARS_2009_Change_Breakdown2,I$3,FALSE)+0</f>
        <v>#REF!</v>
      </c>
      <c r="J49" s="64" t="e">
        <f ca="1">VLOOKUP($A49,[1]!LOOKUP_SARS_2009_Change_Breakdown2,J$3,FALSE)+0</f>
        <v>#REF!</v>
      </c>
      <c r="K49" s="64" t="e">
        <f ca="1">VLOOKUP($A49,[1]!LOOKUP_SARS_2009_Change_Breakdown2,K$3,FALSE)+0</f>
        <v>#REF!</v>
      </c>
      <c r="L49" s="64" t="e">
        <f ca="1">VLOOKUP($A49,[1]!LOOKUP_SARS_2009_Change_Breakdown2,L$3,FALSE)+0</f>
        <v>#REF!</v>
      </c>
      <c r="M49" s="64" t="e">
        <f ca="1">VLOOKUP($A49,[1]!LOOKUP_SARS_2009_Change_Breakdown2,M$3,FALSE)+0</f>
        <v>#REF!</v>
      </c>
      <c r="N49" s="64" t="e">
        <f ca="1">VLOOKUP($A49,[1]!LOOKUP_SARS_2009_Change_Breakdown2,N$3,FALSE)+0</f>
        <v>#REF!</v>
      </c>
      <c r="O49" s="64" t="e">
        <f ca="1">VLOOKUP($A49,[1]!LOOKUP_SARS_2009_Change_Breakdown2,O$3,FALSE)+0</f>
        <v>#REF!</v>
      </c>
      <c r="P49" s="26">
        <f ca="1">VLOOKUP($A49,[1]!LOOKUP_SARS_Unified2,P$3,FALSE)</f>
        <v>41637.300000000003</v>
      </c>
      <c r="Q49" s="1">
        <f t="shared" ca="1" si="19"/>
        <v>2.4016927130241393E-5</v>
      </c>
      <c r="R49" s="1">
        <v>1</v>
      </c>
      <c r="S49" s="37" t="e">
        <f t="shared" ca="1" si="26"/>
        <v>#REF!</v>
      </c>
      <c r="T49" s="73">
        <f t="shared" ca="1" si="27"/>
        <v>10815.415617195578</v>
      </c>
      <c r="CL49" s="37"/>
      <c r="CM49" s="37"/>
      <c r="CN49" s="37"/>
      <c r="CO49" s="37"/>
      <c r="CP49" s="37"/>
      <c r="CQ49" s="37"/>
      <c r="CR49" s="37"/>
      <c r="CS49" s="37"/>
      <c r="CT49" s="63"/>
      <c r="CU49" s="62"/>
      <c r="CV49" s="19"/>
    </row>
    <row r="50" spans="1:100" s="1" customFormat="1" x14ac:dyDescent="0.25">
      <c r="A50" s="92" t="s">
        <v>244</v>
      </c>
      <c r="B50" s="66">
        <f ca="1">IFERROR(VLOOKUP($A50,[1]!LOOKUP_MDAPs,B$3,FALSE)/$G50,"")</f>
        <v>0.20039681219003566</v>
      </c>
      <c r="C50" s="66">
        <f ca="1">IFERROR(VLOOKUP($A50,[1]!LOOKUP_MDAPs,C$3,FALSE)/$G50,"")</f>
        <v>0</v>
      </c>
      <c r="D50" s="66">
        <f ca="1">IFERROR(VLOOKUP($A50,[1]!LOOKUP_MDAPs,D$3,FALSE)/$G50,"")</f>
        <v>2.1096333987058305E-2</v>
      </c>
      <c r="E50" s="66">
        <f ca="1">IFERROR(VLOOKUP($A50,[1]!LOOKUP_MDAPs,E$3,FALSE)/$G50,"")</f>
        <v>0.14912259709932241</v>
      </c>
      <c r="F50" s="66">
        <f ca="1">IFERROR(VLOOKUP($A50,[1]!LOOKUP_MDAPs,F$3,FALSE)/$G50,"")</f>
        <v>0</v>
      </c>
      <c r="G50" s="65">
        <f ca="1">IFERROR(VLOOKUP($A50,[1]!LOOKUP_MDAPs,G$3,FALSE),"")</f>
        <v>64257.4</v>
      </c>
      <c r="H50" s="64">
        <f ca="1">VLOOKUP($A50,[1]!LOOKUP_SARS_2009_Change_Breakdown2,H$3,FALSE)+0</f>
        <v>5390.4</v>
      </c>
      <c r="I50" s="64" t="e">
        <f ca="1">VLOOKUP($A50,[1]!LOOKUP_SARS_2009_Change_Breakdown2,I$3,FALSE)+0</f>
        <v>#REF!</v>
      </c>
      <c r="J50" s="64" t="e">
        <f ca="1">VLOOKUP($A50,[1]!LOOKUP_SARS_2009_Change_Breakdown2,J$3,FALSE)+0</f>
        <v>#REF!</v>
      </c>
      <c r="K50" s="64" t="e">
        <f ca="1">VLOOKUP($A50,[1]!LOOKUP_SARS_2009_Change_Breakdown2,K$3,FALSE)+0</f>
        <v>#REF!</v>
      </c>
      <c r="L50" s="64" t="e">
        <f ca="1">VLOOKUP($A50,[1]!LOOKUP_SARS_2009_Change_Breakdown2,L$3,FALSE)+0</f>
        <v>#REF!</v>
      </c>
      <c r="M50" s="64" t="e">
        <f ca="1">VLOOKUP($A50,[1]!LOOKUP_SARS_2009_Change_Breakdown2,M$3,FALSE)+0</f>
        <v>#REF!</v>
      </c>
      <c r="N50" s="64" t="e">
        <f ca="1">VLOOKUP($A50,[1]!LOOKUP_SARS_2009_Change_Breakdown2,N$3,FALSE)+0</f>
        <v>#REF!</v>
      </c>
      <c r="O50" s="64" t="e">
        <f ca="1">VLOOKUP($A50,[1]!LOOKUP_SARS_2009_Change_Breakdown2,O$3,FALSE)+0</f>
        <v>#REF!</v>
      </c>
      <c r="P50" s="26">
        <f ca="1">VLOOKUP($A50,[1]!LOOKUP_SARS_Unified2,P$3,FALSE)</f>
        <v>61323.7</v>
      </c>
      <c r="Q50" s="1">
        <f t="shared" ca="1" si="19"/>
        <v>1.6306909074305694E-5</v>
      </c>
      <c r="R50" s="1">
        <v>1</v>
      </c>
      <c r="S50" s="37" t="e">
        <f t="shared" ca="1" si="26"/>
        <v>#REF!</v>
      </c>
      <c r="T50" s="73">
        <f t="shared" ca="1" si="27"/>
        <v>12289.073991698089</v>
      </c>
      <c r="CN50" s="37"/>
      <c r="CO50" s="37"/>
      <c r="CP50" s="37"/>
      <c r="CQ50" s="37"/>
      <c r="CR50" s="37"/>
      <c r="CS50" s="37"/>
      <c r="CT50" s="63"/>
      <c r="CU50" s="62"/>
      <c r="CV50" s="19"/>
    </row>
    <row r="51" spans="1:100" s="1" customFormat="1" x14ac:dyDescent="0.25">
      <c r="A51" s="92" t="s">
        <v>10</v>
      </c>
      <c r="B51" s="66">
        <f ca="1">IFERROR(VLOOKUP($A51,[1]!LOOKUP_MDAPs,B$3,FALSE)/$G51,"")</f>
        <v>5.9029841173359604E-2</v>
      </c>
      <c r="C51" s="66">
        <f ca="1">IFERROR(VLOOKUP($A51,[1]!LOOKUP_MDAPs,C$3,FALSE)/$G51,"")</f>
        <v>0</v>
      </c>
      <c r="D51" s="66">
        <f ca="1">IFERROR(VLOOKUP($A51,[1]!LOOKUP_MDAPs,D$3,FALSE)/$G51,"")</f>
        <v>6.8316915150174268E-2</v>
      </c>
      <c r="E51" s="66">
        <f ca="1">IFERROR(VLOOKUP($A51,[1]!LOOKUP_MDAPs,E$3,FALSE)/$G51,"")</f>
        <v>2.5886865898166387E-2</v>
      </c>
      <c r="F51" s="66">
        <f ca="1">IFERROR(VLOOKUP($A51,[1]!LOOKUP_MDAPs,F$3,FALSE)/$G51,"")</f>
        <v>8.567143370207607E-5</v>
      </c>
      <c r="G51" s="65">
        <f ca="1">IFERROR(VLOOKUP($A51,[1]!LOOKUP_MDAPs,G$3,FALSE),"")</f>
        <v>65990</v>
      </c>
      <c r="H51" s="64">
        <f ca="1">VLOOKUP($A51,[1]!LOOKUP_SARS_2009_Change_Breakdown2,H$3,FALSE)+0</f>
        <v>95252.9</v>
      </c>
      <c r="I51" s="64" t="e">
        <f ca="1">VLOOKUP($A51,[1]!LOOKUP_SARS_2009_Change_Breakdown2,I$3,FALSE)+0</f>
        <v>#REF!</v>
      </c>
      <c r="J51" s="64" t="e">
        <f ca="1">VLOOKUP($A51,[1]!LOOKUP_SARS_2009_Change_Breakdown2,J$3,FALSE)+0</f>
        <v>#REF!</v>
      </c>
      <c r="K51" s="64" t="e">
        <f ca="1">VLOOKUP($A51,[1]!LOOKUP_SARS_2009_Change_Breakdown2,K$3,FALSE)+0</f>
        <v>#REF!</v>
      </c>
      <c r="L51" s="64" t="e">
        <f ca="1">VLOOKUP($A51,[1]!LOOKUP_SARS_2009_Change_Breakdown2,L$3,FALSE)+0</f>
        <v>#REF!</v>
      </c>
      <c r="M51" s="64" t="e">
        <f ca="1">VLOOKUP($A51,[1]!LOOKUP_SARS_2009_Change_Breakdown2,M$3,FALSE)+0</f>
        <v>#REF!</v>
      </c>
      <c r="N51" s="64" t="e">
        <f ca="1">VLOOKUP($A51,[1]!LOOKUP_SARS_2009_Change_Breakdown2,N$3,FALSE)+0</f>
        <v>#REF!</v>
      </c>
      <c r="O51" s="64" t="e">
        <f ca="1">VLOOKUP($A51,[1]!LOOKUP_SARS_2009_Change_Breakdown2,O$3,FALSE)+0</f>
        <v>#REF!</v>
      </c>
      <c r="P51" s="26">
        <f ca="1">VLOOKUP($A51,[1]!LOOKUP_SARS_Unified2,P$3,FALSE)</f>
        <v>233000</v>
      </c>
      <c r="Q51" s="1">
        <f t="shared" ca="1" si="19"/>
        <v>4.2918454935622316E-6</v>
      </c>
      <c r="R51" s="1">
        <v>1</v>
      </c>
      <c r="S51" s="37" t="e">
        <f t="shared" ca="1" si="26"/>
        <v>#REF!</v>
      </c>
      <c r="T51" s="73">
        <f t="shared" ca="1" si="27"/>
        <v>13753.952993392788</v>
      </c>
      <c r="CL51" s="37"/>
      <c r="CM51" s="37"/>
      <c r="CN51" s="37"/>
      <c r="CO51" s="37"/>
      <c r="CP51" s="37"/>
      <c r="CQ51" s="37"/>
      <c r="CR51" s="37"/>
      <c r="CS51" s="37"/>
      <c r="CT51" s="63"/>
      <c r="CU51" s="62"/>
      <c r="CV51" s="19"/>
    </row>
    <row r="52" spans="1:100" s="1" customFormat="1" x14ac:dyDescent="0.25">
      <c r="A52" s="92" t="s">
        <v>1</v>
      </c>
      <c r="B52" s="66">
        <f ca="1">IFERROR(VLOOKUP($A52,[1]!LOOKUP_MDAPs,B$3,FALSE)/$G52,"")</f>
        <v>4.3731875445685764E-5</v>
      </c>
      <c r="C52" s="66">
        <f ca="1">IFERROR(VLOOKUP($A52,[1]!LOOKUP_MDAPs,C$3,FALSE)/$G52,"")</f>
        <v>0</v>
      </c>
      <c r="D52" s="66">
        <f ca="1">IFERROR(VLOOKUP($A52,[1]!LOOKUP_MDAPs,D$3,FALSE)/$G52,"")</f>
        <v>0</v>
      </c>
      <c r="E52" s="66">
        <f ca="1">IFERROR(VLOOKUP($A52,[1]!LOOKUP_MDAPs,E$3,FALSE)/$G52,"")</f>
        <v>0</v>
      </c>
      <c r="F52" s="66">
        <f ca="1">IFERROR(VLOOKUP($A52,[1]!LOOKUP_MDAPs,F$3,FALSE)/$G52,"")</f>
        <v>0</v>
      </c>
      <c r="G52" s="65">
        <f ca="1">IFERROR(VLOOKUP($A52,[1]!LOOKUP_MDAPs,G$3,FALSE),"")</f>
        <v>1682.8</v>
      </c>
      <c r="H52" s="64">
        <f ca="1">VLOOKUP($A52,[1]!LOOKUP_SARS_2009_Change_Breakdown2,H$3,FALSE)+0</f>
        <v>814.5</v>
      </c>
      <c r="I52" s="64" t="e">
        <f ca="1">VLOOKUP($A52,[1]!LOOKUP_SARS_2009_Change_Breakdown2,I$3,FALSE)+0</f>
        <v>#REF!</v>
      </c>
      <c r="J52" s="64" t="e">
        <f ca="1">VLOOKUP($A52,[1]!LOOKUP_SARS_2009_Change_Breakdown2,J$3,FALSE)+0</f>
        <v>#REF!</v>
      </c>
      <c r="K52" s="64" t="e">
        <f ca="1">VLOOKUP($A52,[1]!LOOKUP_SARS_2009_Change_Breakdown2,K$3,FALSE)+0</f>
        <v>#REF!</v>
      </c>
      <c r="L52" s="64" t="e">
        <f ca="1">VLOOKUP($A52,[1]!LOOKUP_SARS_2009_Change_Breakdown2,L$3,FALSE)+0</f>
        <v>#REF!</v>
      </c>
      <c r="M52" s="64" t="e">
        <f ca="1">VLOOKUP($A52,[1]!LOOKUP_SARS_2009_Change_Breakdown2,M$3,FALSE)+0</f>
        <v>#REF!</v>
      </c>
      <c r="N52" s="64" t="e">
        <f ca="1">VLOOKUP($A52,[1]!LOOKUP_SARS_2009_Change_Breakdown2,N$3,FALSE)+0</f>
        <v>#REF!</v>
      </c>
      <c r="O52" s="64" t="e">
        <f ca="1">VLOOKUP($A52,[1]!LOOKUP_SARS_2009_Change_Breakdown2,O$3,FALSE)+0</f>
        <v>#REF!</v>
      </c>
      <c r="P52" s="26">
        <f ca="1">VLOOKUP($A52,[1]!LOOKUP_SARS_Unified2,P$3,FALSE)</f>
        <v>3167.4</v>
      </c>
      <c r="Q52" s="1">
        <f t="shared" ca="1" si="19"/>
        <v>3.1571636042179707E-4</v>
      </c>
      <c r="R52" s="1">
        <v>1</v>
      </c>
      <c r="S52" s="37" t="e">
        <f t="shared" ca="1" si="26"/>
        <v>#REF!</v>
      </c>
      <c r="T52" s="73">
        <f t="shared" ca="1" si="27"/>
        <v>0.1385163422866651</v>
      </c>
      <c r="CL52" s="37"/>
      <c r="CM52" s="37"/>
      <c r="CN52" s="37"/>
      <c r="CO52" s="37"/>
      <c r="CP52" s="37"/>
      <c r="CQ52" s="37"/>
      <c r="CR52" s="37"/>
      <c r="CS52" s="37"/>
      <c r="CT52" s="63"/>
      <c r="CU52" s="62"/>
      <c r="CV52" s="19"/>
    </row>
    <row r="53" spans="1:100" s="1" customFormat="1" x14ac:dyDescent="0.25">
      <c r="A53" s="92" t="s">
        <v>14</v>
      </c>
      <c r="B53" s="66">
        <f ca="1">IFERROR(VLOOKUP($A53,[1]!LOOKUP_MDAPs,B$3,FALSE)/$G53,"")</f>
        <v>0.5275105316586336</v>
      </c>
      <c r="C53" s="66">
        <f ca="1">IFERROR(VLOOKUP($A53,[1]!LOOKUP_MDAPs,C$3,FALSE)/$G53,"")</f>
        <v>0</v>
      </c>
      <c r="D53" s="66">
        <f ca="1">IFERROR(VLOOKUP($A53,[1]!LOOKUP_MDAPs,D$3,FALSE)/$G53,"")</f>
        <v>0.1097540317319782</v>
      </c>
      <c r="E53" s="66">
        <f ca="1">IFERROR(VLOOKUP($A53,[1]!LOOKUP_MDAPs,E$3,FALSE)/$G53,"")</f>
        <v>0.12108401876309725</v>
      </c>
      <c r="F53" s="66">
        <f ca="1">IFERROR(VLOOKUP($A53,[1]!LOOKUP_MDAPs,F$3,FALSE)/$G53,"")</f>
        <v>8.7275591994970671E-4</v>
      </c>
      <c r="G53" s="65">
        <f ca="1">IFERROR(VLOOKUP($A53,[1]!LOOKUP_MDAPs,G$3,FALSE),"")</f>
        <v>3817.6</v>
      </c>
      <c r="H53" s="64">
        <f ca="1">VLOOKUP($A53,[1]!LOOKUP_SARS_2009_Change_Breakdown2,H$3,FALSE)+0</f>
        <v>2290.3000000000002</v>
      </c>
      <c r="I53" s="64" t="e">
        <f ca="1">VLOOKUP($A53,[1]!LOOKUP_SARS_2009_Change_Breakdown2,I$3,FALSE)+0</f>
        <v>#REF!</v>
      </c>
      <c r="J53" s="64" t="e">
        <f ca="1">VLOOKUP($A53,[1]!LOOKUP_SARS_2009_Change_Breakdown2,J$3,FALSE)+0</f>
        <v>#REF!</v>
      </c>
      <c r="K53" s="64" t="e">
        <f ca="1">VLOOKUP($A53,[1]!LOOKUP_SARS_2009_Change_Breakdown2,K$3,FALSE)+0</f>
        <v>#REF!</v>
      </c>
      <c r="L53" s="64" t="e">
        <f ca="1">VLOOKUP($A53,[1]!LOOKUP_SARS_2009_Change_Breakdown2,L$3,FALSE)+0</f>
        <v>#REF!</v>
      </c>
      <c r="M53" s="64" t="e">
        <f ca="1">VLOOKUP($A53,[1]!LOOKUP_SARS_2009_Change_Breakdown2,M$3,FALSE)+0</f>
        <v>#REF!</v>
      </c>
      <c r="N53" s="64" t="e">
        <f ca="1">VLOOKUP($A53,[1]!LOOKUP_SARS_2009_Change_Breakdown2,N$3,FALSE)+0</f>
        <v>#REF!</v>
      </c>
      <c r="O53" s="64" t="e">
        <f ca="1">VLOOKUP($A53,[1]!LOOKUP_SARS_2009_Change_Breakdown2,O$3,FALSE)+0</f>
        <v>#REF!</v>
      </c>
      <c r="P53" s="26">
        <f ca="1">VLOOKUP($A53,[1]!LOOKUP_SARS_Unified2,P$3,FALSE)</f>
        <v>1556.7</v>
      </c>
      <c r="Q53" s="1">
        <f t="shared" ca="1" si="19"/>
        <v>6.4238453138048429E-4</v>
      </c>
      <c r="R53" s="1">
        <v>1</v>
      </c>
      <c r="S53" s="37" t="e">
        <f t="shared" ca="1" si="26"/>
        <v>#REF!</v>
      </c>
      <c r="T53" s="73">
        <f t="shared" ca="1" si="27"/>
        <v>821.17564463299493</v>
      </c>
      <c r="W53" s="37"/>
      <c r="Y53" s="19"/>
      <c r="Z53" s="19"/>
      <c r="AA53" s="19"/>
      <c r="AC53" s="19"/>
      <c r="AE53" s="70"/>
      <c r="AF53" s="19"/>
      <c r="AG53" s="70"/>
      <c r="AI53" s="19"/>
      <c r="AL53" s="19"/>
      <c r="AO53" s="19"/>
      <c r="CL53" s="37"/>
      <c r="CM53" s="37"/>
      <c r="CN53" s="37"/>
      <c r="CO53" s="37"/>
      <c r="CP53" s="37"/>
      <c r="CQ53" s="37"/>
      <c r="CR53" s="37"/>
      <c r="CS53" s="37"/>
      <c r="CT53" s="63"/>
      <c r="CU53" s="62"/>
      <c r="CV53" s="19"/>
    </row>
    <row r="54" spans="1:100" s="1" customFormat="1" x14ac:dyDescent="0.25">
      <c r="A54" s="92" t="s">
        <v>218</v>
      </c>
      <c r="B54" s="66">
        <f ca="1">IFERROR(VLOOKUP($A54,[1]!LOOKUP_MDAPs,B$3,FALSE)/$G54,"")</f>
        <v>2.7226903120703052E-3</v>
      </c>
      <c r="C54" s="66">
        <f ca="1">IFERROR(VLOOKUP($A54,[1]!LOOKUP_MDAPs,C$3,FALSE)/$G54,"")</f>
        <v>0</v>
      </c>
      <c r="D54" s="66">
        <f ca="1">IFERROR(VLOOKUP($A54,[1]!LOOKUP_MDAPs,D$3,FALSE)/$G54,"")</f>
        <v>6.715227220960125E-3</v>
      </c>
      <c r="E54" s="66">
        <f ca="1">IFERROR(VLOOKUP($A54,[1]!LOOKUP_MDAPs,E$3,FALSE)/$G54,"")</f>
        <v>0.74901266114067078</v>
      </c>
      <c r="F54" s="66">
        <f ca="1">IFERROR(VLOOKUP($A54,[1]!LOOKUP_MDAPs,F$3,FALSE)/$G54,"")</f>
        <v>0.11937547886650327</v>
      </c>
      <c r="G54" s="65">
        <f ca="1">IFERROR(VLOOKUP($A54,[1]!LOOKUP_MDAPs,G$3,FALSE),"")</f>
        <v>6690.7999999999993</v>
      </c>
      <c r="H54" s="64" t="e">
        <f ca="1">VLOOKUP($A54,[1]!LOOKUP_SARS_2009_Change_Breakdown2,H$3,FALSE)+0</f>
        <v>#N/A</v>
      </c>
      <c r="I54" s="64" t="e">
        <f ca="1">VLOOKUP($A54,[1]!LOOKUP_SARS_2009_Change_Breakdown2,I$3,FALSE)+0</f>
        <v>#N/A</v>
      </c>
      <c r="J54" s="64" t="e">
        <f ca="1">VLOOKUP($A54,[1]!LOOKUP_SARS_2009_Change_Breakdown2,J$3,FALSE)+0</f>
        <v>#N/A</v>
      </c>
      <c r="K54" s="64" t="e">
        <f ca="1">VLOOKUP($A54,[1]!LOOKUP_SARS_2009_Change_Breakdown2,K$3,FALSE)+0</f>
        <v>#N/A</v>
      </c>
      <c r="L54" s="64" t="e">
        <f ca="1">VLOOKUP($A54,[1]!LOOKUP_SARS_2009_Change_Breakdown2,L$3,FALSE)+0</f>
        <v>#N/A</v>
      </c>
      <c r="M54" s="64" t="e">
        <f ca="1">VLOOKUP($A54,[1]!LOOKUP_SARS_2009_Change_Breakdown2,M$3,FALSE)+0</f>
        <v>#N/A</v>
      </c>
      <c r="N54" s="64" t="e">
        <f ca="1">VLOOKUP($A54,[1]!LOOKUP_SARS_2009_Change_Breakdown2,N$3,FALSE)+0</f>
        <v>#N/A</v>
      </c>
      <c r="O54" s="64" t="e">
        <f ca="1">VLOOKUP($A54,[1]!LOOKUP_SARS_2009_Change_Breakdown2,O$3,FALSE)+0</f>
        <v>#N/A</v>
      </c>
      <c r="P54" s="26">
        <f ca="1">VLOOKUP($A54,[1]!LOOKUP_SARS_Unified2,P$3,FALSE)</f>
        <v>92200</v>
      </c>
      <c r="Q54" s="1">
        <f t="shared" ca="1" si="19"/>
        <v>1.0845986984815618E-5</v>
      </c>
      <c r="R54" s="1">
        <v>1</v>
      </c>
      <c r="S54" s="37" t="e">
        <f t="shared" ca="1" si="26"/>
        <v>#N/A</v>
      </c>
      <c r="T54" s="73">
        <f t="shared" ca="1" si="27"/>
        <v>251.03204677288213</v>
      </c>
      <c r="X54" s="19" t="str">
        <f>AB42</f>
        <v>Quantity</v>
      </c>
      <c r="CL54" s="37"/>
      <c r="CM54" s="37"/>
      <c r="CN54" s="37"/>
      <c r="CO54" s="37"/>
      <c r="CP54" s="37"/>
      <c r="CQ54" s="37"/>
      <c r="CR54" s="37"/>
      <c r="CS54" s="37"/>
      <c r="CT54" s="63"/>
      <c r="CU54" s="62"/>
      <c r="CV54" s="19"/>
    </row>
    <row r="55" spans="1:100" s="1" customFormat="1" x14ac:dyDescent="0.25">
      <c r="A55" s="92" t="s">
        <v>7</v>
      </c>
      <c r="B55" s="66">
        <f ca="1">IFERROR(VLOOKUP($A55,[1]!LOOKUP_MDAPs,B$3,FALSE)/$G55,"")</f>
        <v>5.8972219566592737E-2</v>
      </c>
      <c r="C55" s="66">
        <f ca="1">IFERROR(VLOOKUP($A55,[1]!LOOKUP_MDAPs,C$3,FALSE)/$G55,"")</f>
        <v>0</v>
      </c>
      <c r="D55" s="66">
        <f ca="1">IFERROR(VLOOKUP($A55,[1]!LOOKUP_MDAPs,D$3,FALSE)/$G55,"")</f>
        <v>1.8352132207744072E-4</v>
      </c>
      <c r="E55" s="66">
        <f ca="1">IFERROR(VLOOKUP($A55,[1]!LOOKUP_MDAPs,E$3,FALSE)/$G55,"")</f>
        <v>1.1592932688313598E-3</v>
      </c>
      <c r="F55" s="66">
        <f ca="1">IFERROR(VLOOKUP($A55,[1]!LOOKUP_MDAPs,F$3,FALSE)/$G55,"")</f>
        <v>3.3805343779756008E-4</v>
      </c>
      <c r="G55" s="65">
        <f ca="1">IFERROR(VLOOKUP($A55,[1]!LOOKUP_MDAPs,G$3,FALSE),"")</f>
        <v>15648.1</v>
      </c>
      <c r="H55" s="64">
        <f ca="1">VLOOKUP($A55,[1]!LOOKUP_SARS_2009_Change_Breakdown2,H$3,FALSE)+0</f>
        <v>1705.3</v>
      </c>
      <c r="I55" s="64" t="e">
        <f ca="1">VLOOKUP($A55,[1]!LOOKUP_SARS_2009_Change_Breakdown2,I$3,FALSE)+0</f>
        <v>#REF!</v>
      </c>
      <c r="J55" s="64" t="e">
        <f ca="1">VLOOKUP($A55,[1]!LOOKUP_SARS_2009_Change_Breakdown2,J$3,FALSE)+0</f>
        <v>#REF!</v>
      </c>
      <c r="K55" s="64" t="e">
        <f ca="1">VLOOKUP($A55,[1]!LOOKUP_SARS_2009_Change_Breakdown2,K$3,FALSE)+0</f>
        <v>#REF!</v>
      </c>
      <c r="L55" s="64" t="e">
        <f ca="1">VLOOKUP($A55,[1]!LOOKUP_SARS_2009_Change_Breakdown2,L$3,FALSE)+0</f>
        <v>#REF!</v>
      </c>
      <c r="M55" s="64" t="e">
        <f ca="1">VLOOKUP($A55,[1]!LOOKUP_SARS_2009_Change_Breakdown2,M$3,FALSE)+0</f>
        <v>#REF!</v>
      </c>
      <c r="N55" s="64" t="e">
        <f ca="1">VLOOKUP($A55,[1]!LOOKUP_SARS_2009_Change_Breakdown2,N$3,FALSE)+0</f>
        <v>#REF!</v>
      </c>
      <c r="O55" s="64" t="e">
        <f ca="1">VLOOKUP($A55,[1]!LOOKUP_SARS_2009_Change_Breakdown2,O$3,FALSE)+0</f>
        <v>#REF!</v>
      </c>
      <c r="P55" s="26">
        <f ca="1">VLOOKUP($A55,[1]!LOOKUP_SARS_Unified2,P$3,FALSE)</f>
        <v>18921.3</v>
      </c>
      <c r="Q55" s="1">
        <f t="shared" ca="1" si="19"/>
        <v>5.2850491245316124E-5</v>
      </c>
      <c r="R55" s="1">
        <v>1</v>
      </c>
      <c r="S55" s="37" t="e">
        <f t="shared" ca="1" si="26"/>
        <v>#REF!</v>
      </c>
      <c r="T55" s="73">
        <f t="shared" ca="1" si="27"/>
        <v>1115.8310580853711</v>
      </c>
      <c r="W55" s="1">
        <v>0</v>
      </c>
      <c r="X55" s="1">
        <v>1</v>
      </c>
      <c r="Y55" s="1">
        <v>2</v>
      </c>
      <c r="Z55" s="1">
        <v>3</v>
      </c>
      <c r="AA55" s="1">
        <v>4</v>
      </c>
      <c r="AB55" s="1">
        <v>5</v>
      </c>
      <c r="AC55" s="1">
        <v>6</v>
      </c>
      <c r="AD55" s="1">
        <v>7</v>
      </c>
      <c r="CL55" s="37"/>
      <c r="CM55" s="37"/>
      <c r="CN55" s="37"/>
      <c r="CO55" s="37"/>
      <c r="CP55" s="37"/>
      <c r="CQ55" s="37"/>
      <c r="CR55" s="37"/>
      <c r="CS55" s="37"/>
      <c r="CT55" s="63"/>
      <c r="CU55" s="62"/>
      <c r="CV55" s="19"/>
    </row>
    <row r="56" spans="1:100" s="1" customFormat="1" x14ac:dyDescent="0.25">
      <c r="A56" s="92" t="s">
        <v>54</v>
      </c>
      <c r="B56" s="66">
        <f ca="1">IFERROR(VLOOKUP($A56,[1]!LOOKUP_MDAPs,B$3,FALSE)/$G56,"")</f>
        <v>7.3358041256896142E-2</v>
      </c>
      <c r="C56" s="66">
        <f ca="1">IFERROR(VLOOKUP($A56,[1]!LOOKUP_MDAPs,C$3,FALSE)/$G56,"")</f>
        <v>0</v>
      </c>
      <c r="D56" s="66">
        <f ca="1">IFERROR(VLOOKUP($A56,[1]!LOOKUP_MDAPs,D$3,FALSE)/$G56,"")</f>
        <v>5.1946136747421448E-2</v>
      </c>
      <c r="E56" s="66">
        <f ca="1">IFERROR(VLOOKUP($A56,[1]!LOOKUP_MDAPs,E$3,FALSE)/$G56,"")</f>
        <v>0.1859137091868554</v>
      </c>
      <c r="F56" s="66">
        <f ca="1">IFERROR(VLOOKUP($A56,[1]!LOOKUP_MDAPs,F$3,FALSE)/$G56,"")</f>
        <v>2.2307507795634447E-4</v>
      </c>
      <c r="G56" s="65">
        <f ca="1">IFERROR(VLOOKUP($A56,[1]!LOOKUP_MDAPs,G$3,FALSE),"")</f>
        <v>833.8</v>
      </c>
      <c r="H56" s="64">
        <f ca="1">VLOOKUP($A56,[1]!LOOKUP_SARS_2009_Change_Breakdown2,H$3,FALSE)+0</f>
        <v>519.79999999999995</v>
      </c>
      <c r="I56" s="64" t="e">
        <f ca="1">VLOOKUP($A56,[1]!LOOKUP_SARS_2009_Change_Breakdown2,I$3,FALSE)+0</f>
        <v>#REF!</v>
      </c>
      <c r="J56" s="64" t="e">
        <f ca="1">VLOOKUP($A56,[1]!LOOKUP_SARS_2009_Change_Breakdown2,J$3,FALSE)+0</f>
        <v>#REF!</v>
      </c>
      <c r="K56" s="64" t="e">
        <f ca="1">VLOOKUP($A56,[1]!LOOKUP_SARS_2009_Change_Breakdown2,K$3,FALSE)+0</f>
        <v>#REF!</v>
      </c>
      <c r="L56" s="64" t="e">
        <f ca="1">VLOOKUP($A56,[1]!LOOKUP_SARS_2009_Change_Breakdown2,L$3,FALSE)+0</f>
        <v>#REF!</v>
      </c>
      <c r="M56" s="64" t="e">
        <f ca="1">VLOOKUP($A56,[1]!LOOKUP_SARS_2009_Change_Breakdown2,M$3,FALSE)+0</f>
        <v>#REF!</v>
      </c>
      <c r="N56" s="64" t="e">
        <f ca="1">VLOOKUP($A56,[1]!LOOKUP_SARS_2009_Change_Breakdown2,N$3,FALSE)+0</f>
        <v>#REF!</v>
      </c>
      <c r="O56" s="64" t="e">
        <f ca="1">VLOOKUP($A56,[1]!LOOKUP_SARS_2009_Change_Breakdown2,O$3,FALSE)+0</f>
        <v>#REF!</v>
      </c>
      <c r="P56" s="26">
        <f ca="1">VLOOKUP($A56,[1]!LOOKUP_SARS_Unified2,P$3,FALSE)</f>
        <v>497.1</v>
      </c>
      <c r="Q56" s="1">
        <f t="shared" ca="1" si="19"/>
        <v>2.0116676725005027E-3</v>
      </c>
      <c r="R56" s="1">
        <v>1</v>
      </c>
      <c r="S56" s="37" t="e">
        <f t="shared" ca="1" si="26"/>
        <v>#REF!</v>
      </c>
      <c r="T56" s="73">
        <f t="shared" ca="1" si="27"/>
        <v>36.466282308803073</v>
      </c>
      <c r="W56" s="19" t="str">
        <f>Y42</f>
        <v>Economic</v>
      </c>
      <c r="X56" s="19" t="e">
        <f ca="1">AB44</f>
        <v>#REF!</v>
      </c>
      <c r="Y56" s="19" t="str">
        <f>AE42</f>
        <v>Schedule</v>
      </c>
      <c r="Z56" s="19" t="str">
        <f>AH42</f>
        <v>Engineering</v>
      </c>
      <c r="AA56" s="19" t="str">
        <f>AK42</f>
        <v>Estimating</v>
      </c>
      <c r="AB56" s="19" t="str">
        <f>AN42</f>
        <v>Support</v>
      </c>
      <c r="AC56" s="19" t="str">
        <f>AQ42</f>
        <v>Other</v>
      </c>
      <c r="AD56" s="9" t="s">
        <v>82</v>
      </c>
      <c r="CL56" s="37"/>
      <c r="CM56" s="37"/>
      <c r="CN56" s="37"/>
      <c r="CO56" s="37"/>
      <c r="CP56" s="37"/>
      <c r="CQ56" s="37"/>
      <c r="CR56" s="37"/>
      <c r="CS56" s="37"/>
      <c r="CT56" s="63"/>
      <c r="CU56" s="62"/>
      <c r="CV56" s="19"/>
    </row>
    <row r="57" spans="1:100" s="1" customFormat="1" x14ac:dyDescent="0.25">
      <c r="A57" s="92" t="s">
        <v>53</v>
      </c>
      <c r="B57" s="66">
        <f ca="1">IFERROR(VLOOKUP($A57,[1]!LOOKUP_MDAPs,B$3,FALSE)/$G57,"")</f>
        <v>0.17645802611132336</v>
      </c>
      <c r="C57" s="66">
        <f ca="1">IFERROR(VLOOKUP($A57,[1]!LOOKUP_MDAPs,C$3,FALSE)/$G57,"")</f>
        <v>0</v>
      </c>
      <c r="D57" s="66">
        <f ca="1">IFERROR(VLOOKUP($A57,[1]!LOOKUP_MDAPs,D$3,FALSE)/$G57,"")</f>
        <v>1.4656035069842482E-3</v>
      </c>
      <c r="E57" s="66">
        <f ca="1">IFERROR(VLOOKUP($A57,[1]!LOOKUP_MDAPs,E$3,FALSE)/$G57,"")</f>
        <v>2.329835692693075E-2</v>
      </c>
      <c r="F57" s="66">
        <f ca="1">IFERROR(VLOOKUP($A57,[1]!LOOKUP_MDAPs,F$3,FALSE)/$G57,"")</f>
        <v>0</v>
      </c>
      <c r="G57" s="65">
        <f ca="1">IFERROR(VLOOKUP($A57,[1]!LOOKUP_MDAPs,G$3,FALSE),"")</f>
        <v>2355.3000000000002</v>
      </c>
      <c r="H57" s="64">
        <f ca="1">VLOOKUP($A57,[1]!LOOKUP_SARS_2009_Change_Breakdown2,H$3,FALSE)+0</f>
        <v>-5790</v>
      </c>
      <c r="I57" s="64" t="e">
        <f ca="1">VLOOKUP($A57,[1]!LOOKUP_SARS_2009_Change_Breakdown2,I$3,FALSE)+0</f>
        <v>#REF!</v>
      </c>
      <c r="J57" s="64" t="e">
        <f ca="1">VLOOKUP($A57,[1]!LOOKUP_SARS_2009_Change_Breakdown2,J$3,FALSE)+0</f>
        <v>#REF!</v>
      </c>
      <c r="K57" s="64" t="e">
        <f ca="1">VLOOKUP($A57,[1]!LOOKUP_SARS_2009_Change_Breakdown2,K$3,FALSE)+0</f>
        <v>#REF!</v>
      </c>
      <c r="L57" s="64" t="e">
        <f ca="1">VLOOKUP($A57,[1]!LOOKUP_SARS_2009_Change_Breakdown2,L$3,FALSE)+0</f>
        <v>#REF!</v>
      </c>
      <c r="M57" s="64" t="e">
        <f ca="1">VLOOKUP($A57,[1]!LOOKUP_SARS_2009_Change_Breakdown2,M$3,FALSE)+0</f>
        <v>#REF!</v>
      </c>
      <c r="N57" s="64" t="e">
        <f ca="1">VLOOKUP($A57,[1]!LOOKUP_SARS_2009_Change_Breakdown2,N$3,FALSE)+0</f>
        <v>#REF!</v>
      </c>
      <c r="O57" s="64" t="e">
        <f ca="1">VLOOKUP($A57,[1]!LOOKUP_SARS_2009_Change_Breakdown2,O$3,FALSE)+0</f>
        <v>#REF!</v>
      </c>
      <c r="P57" s="26">
        <f ca="1">VLOOKUP($A57,[1]!LOOKUP_SARS_Unified2,P$3,FALSE)</f>
        <v>11848.9</v>
      </c>
      <c r="Q57" s="1">
        <f t="shared" ca="1" si="19"/>
        <v>8.4396019883702293E-5</v>
      </c>
      <c r="R57" s="1">
        <v>1</v>
      </c>
      <c r="S57" s="37" t="e">
        <f t="shared" ca="1" si="26"/>
        <v>#REF!</v>
      </c>
      <c r="T57" s="73">
        <f t="shared" ca="1" si="27"/>
        <v>2090.8335055904595</v>
      </c>
      <c r="W57" s="24" t="e">
        <f ca="1">SUM($W$43:Y$43)+CEILING(MAX(Y$43:Y$47)*$V$42,1)/$V$42-Y$43</f>
        <v>#N/A</v>
      </c>
      <c r="X57" s="24" t="e">
        <f ca="1">SUM($W$43:AB$43)+CEILING(MAX(AB$43:AB$47)*$V$42,1)/$V$42-AB$43</f>
        <v>#N/A</v>
      </c>
      <c r="Y57" s="24" t="e">
        <f ca="1">SUM($W$43:AE$43)+CEILING(MAX(AE$43:AE$47)*$V$42,1)/$V$42-AE$43</f>
        <v>#N/A</v>
      </c>
      <c r="Z57" s="24" t="e">
        <f ca="1">SUM($W$43:AH$43)+CEILING(MAX(AH$43:AH$47)*$V$42,1)/$V$42-AH$43</f>
        <v>#N/A</v>
      </c>
      <c r="AA57" s="24" t="e">
        <f ca="1">SUM($W$43:AK$43)+CEILING(MAX(AK$43:AK$47)*$V$42,1)/$V$42-AK$43</f>
        <v>#N/A</v>
      </c>
      <c r="AB57" s="24" t="e">
        <f ca="1">SUM($W$43:AN$43)+CEILING(MAX(AN$43:AN$47)*$V$42,1)/$V$42-AN$43</f>
        <v>#N/A</v>
      </c>
      <c r="AC57" s="24" t="e">
        <f ca="1">SUM($W$43:AO$43)+CEILING(MAX(AO$43:AO$47)*$V$42,1)/$V$42-AO$43</f>
        <v>#N/A</v>
      </c>
      <c r="AD57" s="19" t="e">
        <f ca="1">SUM(W43:AR43)</f>
        <v>#N/A</v>
      </c>
      <c r="AH57" s="19"/>
      <c r="CL57" s="37"/>
      <c r="CM57" s="37"/>
      <c r="CN57" s="37"/>
      <c r="CO57" s="37"/>
      <c r="CP57" s="37"/>
      <c r="CQ57" s="37"/>
      <c r="CR57" s="37"/>
      <c r="CS57" s="37"/>
      <c r="CT57" s="63"/>
      <c r="CU57" s="62"/>
      <c r="CV57" s="19"/>
    </row>
    <row r="58" spans="1:100" s="1" customFormat="1" x14ac:dyDescent="0.25">
      <c r="A58" s="92" t="s">
        <v>4</v>
      </c>
      <c r="B58" s="66">
        <f ca="1">IFERROR(VLOOKUP($A58,[1]!LOOKUP_MDAPs,B$3,FALSE)/$G58,"")</f>
        <v>5.9116901997749015E-2</v>
      </c>
      <c r="C58" s="66">
        <f ca="1">IFERROR(VLOOKUP($A58,[1]!LOOKUP_MDAPs,C$3,FALSE)/$G58,"")</f>
        <v>0</v>
      </c>
      <c r="D58" s="66">
        <f ca="1">IFERROR(VLOOKUP($A58,[1]!LOOKUP_MDAPs,D$3,FALSE)/$G58,"")</f>
        <v>0</v>
      </c>
      <c r="E58" s="66">
        <f ca="1">IFERROR(VLOOKUP($A58,[1]!LOOKUP_MDAPs,E$3,FALSE)/$G58,"")</f>
        <v>0</v>
      </c>
      <c r="F58" s="66">
        <f ca="1">IFERROR(VLOOKUP($A58,[1]!LOOKUP_MDAPs,F$3,FALSE)/$G58,"")</f>
        <v>0</v>
      </c>
      <c r="G58" s="65">
        <f ca="1">IFERROR(VLOOKUP($A58,[1]!LOOKUP_MDAPs,G$3,FALSE),"")</f>
        <v>1777</v>
      </c>
      <c r="H58" s="64">
        <f ca="1">VLOOKUP($A58,[1]!LOOKUP_SARS_2009_Change_Breakdown2,H$3,FALSE)+0</f>
        <v>204.6</v>
      </c>
      <c r="I58" s="64" t="e">
        <f ca="1">VLOOKUP($A58,[1]!LOOKUP_SARS_2009_Change_Breakdown2,I$3,FALSE)+0</f>
        <v>#REF!</v>
      </c>
      <c r="J58" s="64" t="e">
        <f ca="1">VLOOKUP($A58,[1]!LOOKUP_SARS_2009_Change_Breakdown2,J$3,FALSE)+0</f>
        <v>#REF!</v>
      </c>
      <c r="K58" s="64" t="e">
        <f ca="1">VLOOKUP($A58,[1]!LOOKUP_SARS_2009_Change_Breakdown2,K$3,FALSE)+0</f>
        <v>#REF!</v>
      </c>
      <c r="L58" s="64" t="e">
        <f ca="1">VLOOKUP($A58,[1]!LOOKUP_SARS_2009_Change_Breakdown2,L$3,FALSE)+0</f>
        <v>#REF!</v>
      </c>
      <c r="M58" s="64" t="e">
        <f ca="1">VLOOKUP($A58,[1]!LOOKUP_SARS_2009_Change_Breakdown2,M$3,FALSE)+0</f>
        <v>#REF!</v>
      </c>
      <c r="N58" s="64" t="e">
        <f ca="1">VLOOKUP($A58,[1]!LOOKUP_SARS_2009_Change_Breakdown2,N$3,FALSE)+0</f>
        <v>#REF!</v>
      </c>
      <c r="O58" s="64" t="e">
        <f ca="1">VLOOKUP($A58,[1]!LOOKUP_SARS_2009_Change_Breakdown2,O$3,FALSE)+0</f>
        <v>#REF!</v>
      </c>
      <c r="P58" s="26">
        <f ca="1">VLOOKUP($A58,[1]!LOOKUP_SARS_Unified2,P$3,FALSE)</f>
        <v>4269.8</v>
      </c>
      <c r="Q58" s="1">
        <f t="shared" ca="1" si="19"/>
        <v>2.34203007166612E-4</v>
      </c>
      <c r="R58" s="1">
        <v>1</v>
      </c>
      <c r="S58" s="37" t="e">
        <f t="shared" ca="1" si="26"/>
        <v>#REF!</v>
      </c>
      <c r="T58" s="73">
        <f t="shared" ca="1" si="27"/>
        <v>252.41734814998875</v>
      </c>
      <c r="W58" s="1" t="e">
        <f ca="1">MIN(CEILING(MAX(Y$43:Y$47)*$V$42,1)/$V$42*-1,-0.1)</f>
        <v>#N/A</v>
      </c>
      <c r="X58" s="1" t="e">
        <f ca="1">MIN(CEILING(MAX(AB$43:AB$47)*$V$42,1)/$V$42*-1,-0.1)</f>
        <v>#REF!</v>
      </c>
      <c r="Y58" s="1" t="e">
        <f ca="1">MIN(CEILING(MAX(AE$43:AE$47)*$V$42,1)/$V$42*-1,-0.1)</f>
        <v>#REF!</v>
      </c>
      <c r="Z58" s="1" t="e">
        <f ca="1">MIN(CEILING(MAX(AH$43:AH$47)*$V$42,1)/$V$42*-1,-0.1)</f>
        <v>#REF!</v>
      </c>
      <c r="AA58" s="1" t="e">
        <f ca="1">MIN(CEILING(MAX(AK$43:AK$47)*$V$42,1)/$V$42*-1,-0.1)</f>
        <v>#REF!</v>
      </c>
      <c r="AB58" s="1" t="e">
        <f ca="1">MIN(CEILING(MAX(AN$43:AN$47)*$V$42,1)/$V$42*-1,-0.1)</f>
        <v>#REF!</v>
      </c>
      <c r="AC58" s="1" t="e">
        <f ca="1">MIN(CEILING(MAX(AQ$43:AQ$47)*$V$42,1)/$V$42*-1,-0.1)</f>
        <v>#REF!</v>
      </c>
      <c r="AF58" s="19"/>
      <c r="AI58" s="19"/>
      <c r="AL58" s="19"/>
      <c r="AO58" s="19"/>
      <c r="CL58" s="37"/>
      <c r="CM58" s="37"/>
      <c r="CN58" s="37"/>
      <c r="CO58" s="37"/>
      <c r="CP58" s="37"/>
      <c r="CQ58" s="37"/>
      <c r="CR58" s="37"/>
      <c r="CS58" s="37"/>
      <c r="CT58" s="63"/>
      <c r="CU58" s="62"/>
      <c r="CV58" s="19"/>
    </row>
    <row r="59" spans="1:100" s="1" customFormat="1" x14ac:dyDescent="0.25">
      <c r="A59" s="92" t="s">
        <v>39</v>
      </c>
      <c r="B59" s="66">
        <f ca="1">IFERROR(VLOOKUP($A59,[1]!LOOKUP_MDAPs,B$3,FALSE)/$G59,"")</f>
        <v>0.41942250222105087</v>
      </c>
      <c r="C59" s="66">
        <f ca="1">IFERROR(VLOOKUP($A59,[1]!LOOKUP_MDAPs,C$3,FALSE)/$G59,"")</f>
        <v>7.3359896503250748E-4</v>
      </c>
      <c r="D59" s="66">
        <f ca="1">IFERROR(VLOOKUP($A59,[1]!LOOKUP_MDAPs,D$3,FALSE)/$G59,"")</f>
        <v>7.4102445229309432E-3</v>
      </c>
      <c r="E59" s="66">
        <f ca="1">IFERROR(VLOOKUP($A59,[1]!LOOKUP_MDAPs,E$3,FALSE)/$G59,"")</f>
        <v>3.2696206244948164E-2</v>
      </c>
      <c r="F59" s="66">
        <f ca="1">IFERROR(VLOOKUP($A59,[1]!LOOKUP_MDAPs,F$3,FALSE)/$G59,"")</f>
        <v>6.9309605148480053E-3</v>
      </c>
      <c r="G59" s="65">
        <f ca="1">IFERROR(VLOOKUP($A59,[1]!LOOKUP_MDAPs,G$3,FALSE),"")</f>
        <v>5691</v>
      </c>
      <c r="H59" s="64">
        <f ca="1">VLOOKUP($A59,[1]!LOOKUP_SARS_2009_Change_Breakdown2,H$3,FALSE)+0</f>
        <v>-66.7</v>
      </c>
      <c r="I59" s="64" t="e">
        <f ca="1">VLOOKUP($A59,[1]!LOOKUP_SARS_2009_Change_Breakdown2,I$3,FALSE)+0</f>
        <v>#REF!</v>
      </c>
      <c r="J59" s="64" t="e">
        <f ca="1">VLOOKUP($A59,[1]!LOOKUP_SARS_2009_Change_Breakdown2,J$3,FALSE)+0</f>
        <v>#REF!</v>
      </c>
      <c r="K59" s="64" t="e">
        <f ca="1">VLOOKUP($A59,[1]!LOOKUP_SARS_2009_Change_Breakdown2,K$3,FALSE)+0</f>
        <v>#REF!</v>
      </c>
      <c r="L59" s="64" t="e">
        <f ca="1">VLOOKUP($A59,[1]!LOOKUP_SARS_2009_Change_Breakdown2,L$3,FALSE)+0</f>
        <v>#REF!</v>
      </c>
      <c r="M59" s="64" t="e">
        <f ca="1">VLOOKUP($A59,[1]!LOOKUP_SARS_2009_Change_Breakdown2,M$3,FALSE)+0</f>
        <v>#REF!</v>
      </c>
      <c r="N59" s="64" t="e">
        <f ca="1">VLOOKUP($A59,[1]!LOOKUP_SARS_2009_Change_Breakdown2,N$3,FALSE)+0</f>
        <v>#REF!</v>
      </c>
      <c r="O59" s="64" t="e">
        <f ca="1">VLOOKUP($A59,[1]!LOOKUP_SARS_2009_Change_Breakdown2,O$3,FALSE)+0</f>
        <v>#REF!</v>
      </c>
      <c r="P59" s="26">
        <f ca="1">VLOOKUP($A59,[1]!LOOKUP_SARS_Unified2,P$3,FALSE)</f>
        <v>12186.8</v>
      </c>
      <c r="Q59" s="1">
        <f t="shared" ca="1" si="19"/>
        <v>8.2055995010995512E-5</v>
      </c>
      <c r="R59" s="1">
        <v>1</v>
      </c>
      <c r="S59" s="37" t="e">
        <f t="shared" ca="1" si="26"/>
        <v>#REF!</v>
      </c>
      <c r="T59" s="73">
        <f t="shared" ca="1" si="27"/>
        <v>5111.4181500675022</v>
      </c>
      <c r="X59" s="1">
        <f>COUNTIF(W60,"&gt;100")</f>
        <v>0</v>
      </c>
      <c r="Z59" s="19"/>
      <c r="AA59" s="19"/>
      <c r="AC59" s="19"/>
      <c r="AF59" s="19"/>
      <c r="AI59" s="19"/>
      <c r="AL59" s="19"/>
      <c r="AO59" s="19" t="e">
        <f>SUM(#REF!)</f>
        <v>#REF!</v>
      </c>
      <c r="AS59" s="19"/>
      <c r="AV59" s="19" t="e">
        <f>SUM(#REF!)</f>
        <v>#REF!</v>
      </c>
      <c r="BA59" s="19" t="e">
        <f>SUM(#REF!)</f>
        <v>#REF!</v>
      </c>
      <c r="BJ59" s="19" t="e">
        <f>SUM(#REF!)</f>
        <v>#REF!</v>
      </c>
      <c r="BO59" s="19" t="e">
        <f>SUM(#REF!)</f>
        <v>#REF!</v>
      </c>
      <c r="BQ59" s="19" t="e">
        <f>SUM(#REF!)</f>
        <v>#REF!</v>
      </c>
      <c r="CL59" s="37"/>
      <c r="CM59" s="37"/>
      <c r="CN59" s="37"/>
      <c r="CO59" s="37"/>
      <c r="CP59" s="37"/>
      <c r="CQ59" s="37"/>
      <c r="CR59" s="37"/>
      <c r="CS59" s="37"/>
      <c r="CT59" s="63"/>
      <c r="CU59" s="62"/>
      <c r="CV59" s="19"/>
    </row>
    <row r="60" spans="1:100" s="1" customFormat="1" x14ac:dyDescent="0.25">
      <c r="A60" s="92" t="s">
        <v>3</v>
      </c>
      <c r="B60" s="66">
        <f ca="1">IFERROR(VLOOKUP($A60,[1]!LOOKUP_MDAPs,B$3,FALSE)/$G60,"")</f>
        <v>0.27847306603608252</v>
      </c>
      <c r="C60" s="66">
        <f ca="1">IFERROR(VLOOKUP($A60,[1]!LOOKUP_MDAPs,C$3,FALSE)/$G60,"")</f>
        <v>0</v>
      </c>
      <c r="D60" s="66">
        <f ca="1">IFERROR(VLOOKUP($A60,[1]!LOOKUP_MDAPs,D$3,FALSE)/$G60,"")</f>
        <v>0</v>
      </c>
      <c r="E60" s="66">
        <f ca="1">IFERROR(VLOOKUP($A60,[1]!LOOKUP_MDAPs,E$3,FALSE)/$G60,"")</f>
        <v>1.5984043706185568E-2</v>
      </c>
      <c r="F60" s="66">
        <f ca="1">IFERROR(VLOOKUP($A60,[1]!LOOKUP_MDAPs,F$3,FALSE)/$G60,"")</f>
        <v>0</v>
      </c>
      <c r="G60" s="65">
        <f ca="1">IFERROR(VLOOKUP($A60,[1]!LOOKUP_MDAPs,G$3,FALSE),"")</f>
        <v>1940</v>
      </c>
      <c r="H60" s="64">
        <f ca="1">VLOOKUP($A60,[1]!LOOKUP_SARS_2009_Change_Breakdown2,H$3,FALSE)+0</f>
        <v>-2344.6</v>
      </c>
      <c r="I60" s="64" t="e">
        <f ca="1">VLOOKUP($A60,[1]!LOOKUP_SARS_2009_Change_Breakdown2,I$3,FALSE)+0</f>
        <v>#REF!</v>
      </c>
      <c r="J60" s="64" t="e">
        <f ca="1">VLOOKUP($A60,[1]!LOOKUP_SARS_2009_Change_Breakdown2,J$3,FALSE)+0</f>
        <v>#REF!</v>
      </c>
      <c r="K60" s="64" t="e">
        <f ca="1">VLOOKUP($A60,[1]!LOOKUP_SARS_2009_Change_Breakdown2,K$3,FALSE)+0</f>
        <v>#REF!</v>
      </c>
      <c r="L60" s="64" t="e">
        <f ca="1">VLOOKUP($A60,[1]!LOOKUP_SARS_2009_Change_Breakdown2,L$3,FALSE)+0</f>
        <v>#REF!</v>
      </c>
      <c r="M60" s="64" t="e">
        <f ca="1">VLOOKUP($A60,[1]!LOOKUP_SARS_2009_Change_Breakdown2,M$3,FALSE)+0</f>
        <v>#REF!</v>
      </c>
      <c r="N60" s="64" t="e">
        <f ca="1">VLOOKUP($A60,[1]!LOOKUP_SARS_2009_Change_Breakdown2,N$3,FALSE)+0</f>
        <v>#REF!</v>
      </c>
      <c r="O60" s="64" t="e">
        <f ca="1">VLOOKUP($A60,[1]!LOOKUP_SARS_2009_Change_Breakdown2,O$3,FALSE)+0</f>
        <v>#REF!</v>
      </c>
      <c r="P60" s="26">
        <f ca="1">VLOOKUP($A60,[1]!LOOKUP_SARS_Unified2,P$3,FALSE)</f>
        <v>4388.3999999999996</v>
      </c>
      <c r="Q60" s="1">
        <f t="shared" ca="1" si="19"/>
        <v>2.2787348464132714E-4</v>
      </c>
      <c r="R60" s="1">
        <v>1</v>
      </c>
      <c r="S60" s="37" t="e">
        <f t="shared" ca="1" si="26"/>
        <v>#REF!</v>
      </c>
      <c r="T60" s="73">
        <f t="shared" ca="1" si="27"/>
        <v>1222.0512029927445</v>
      </c>
      <c r="W60" s="69">
        <v>0</v>
      </c>
      <c r="X60" s="1" t="e">
        <f ca="1">IF(HLOOKUP(COUNTIF($W60:W60,"=100"),$W$55:$AD$57,3,FALSE)=W$62,100,0)</f>
        <v>#N/A</v>
      </c>
      <c r="Y60" s="1" t="e">
        <f ca="1">IF(HLOOKUP(COUNTIF($W60:X60,"=100"),$W$55:$AD$57,3,FALSE)=X$62,100,0)</f>
        <v>#N/A</v>
      </c>
      <c r="Z60" s="1" t="e">
        <f ca="1">IF(HLOOKUP(COUNTIF($W60:Y60,"=100"),$W$55:$AD$57,3,FALSE)=Y$62,100,0)</f>
        <v>#N/A</v>
      </c>
      <c r="AA60" s="1" t="e">
        <f ca="1">IF(HLOOKUP(COUNTIF($W60:Z60,"=100"),$W$55:$AD$57,3,FALSE)=Z$62,100,0)</f>
        <v>#N/A</v>
      </c>
      <c r="AB60" s="1" t="e">
        <f ca="1">IF(HLOOKUP(COUNTIF($W60:AA60,"=100"),$W$55:$AD$57,3,FALSE)=AA$62,100,0)</f>
        <v>#N/A</v>
      </c>
      <c r="AC60" s="1" t="e">
        <f ca="1">IF(HLOOKUP(COUNTIF($W60:AB60,"=100"),$W$55:$AD$57,3,FALSE)=AB$62,100,0)</f>
        <v>#N/A</v>
      </c>
      <c r="AD60" s="1" t="e">
        <f ca="1">IF(HLOOKUP(COUNTIF($W60:AC60,"=100"),$W$55:$AD$57,3,FALSE)=AC$62,100,0)</f>
        <v>#N/A</v>
      </c>
      <c r="AE60" s="1" t="e">
        <f ca="1">IF(HLOOKUP(COUNTIF($W60:AD60,"=100"),$W$55:$AD$57,3,FALSE)=AD$62,100,0)</f>
        <v>#N/A</v>
      </c>
      <c r="AF60" s="1" t="e">
        <f ca="1">IF(HLOOKUP(COUNTIF($W60:AE60,"=100"),$W$55:$AD$57,3,FALSE)=AE$62,100,0)</f>
        <v>#N/A</v>
      </c>
      <c r="AG60" s="1" t="e">
        <f ca="1">IF(HLOOKUP(COUNTIF($W60:AF60,"=100"),$W$55:$AD$57,3,FALSE)=AF$62,100,0)</f>
        <v>#N/A</v>
      </c>
      <c r="AH60" s="1" t="e">
        <f ca="1">IF(HLOOKUP(COUNTIF($W60:AG60,"=100"),$W$55:$AD$57,3,FALSE)=AG$62,100,0)</f>
        <v>#N/A</v>
      </c>
      <c r="AI60" s="1" t="e">
        <f ca="1">IF(HLOOKUP(COUNTIF($W60:AH60,"=100"),$W$55:$AD$57,3,FALSE)=AH$62,100,0)</f>
        <v>#N/A</v>
      </c>
      <c r="AJ60" s="1" t="e">
        <f ca="1">IF(HLOOKUP(COUNTIF($W60:AI60,"=100"),$W$55:$AD$57,3,FALSE)=AI$62,100,0)</f>
        <v>#N/A</v>
      </c>
      <c r="AK60" s="1" t="e">
        <f ca="1">IF(HLOOKUP(COUNTIF($W60:AJ60,"=100"),$W$55:$AD$57,3,FALSE)=AJ$62,100,0)</f>
        <v>#N/A</v>
      </c>
      <c r="AL60" s="1" t="e">
        <f ca="1">IF(HLOOKUP(COUNTIF($W60:AK60,"=100"),$W$55:$AD$57,3,FALSE)=AK$62,100,0)</f>
        <v>#N/A</v>
      </c>
      <c r="AM60" s="1" t="e">
        <f ca="1">IF(HLOOKUP(COUNTIF($W60:AL60,"=100"),$W$55:$AD$57,3,FALSE)=AL$62,100,0)</f>
        <v>#N/A</v>
      </c>
      <c r="AN60" s="1" t="e">
        <f ca="1">IF(HLOOKUP(COUNTIF($W60:AM60,"=100"),$W$55:$AD$57,3,FALSE)=AM$62,100,0)</f>
        <v>#N/A</v>
      </c>
      <c r="AO60" s="1" t="e">
        <f ca="1">IF(HLOOKUP(COUNTIF($W60:AN60,"=100"),$W$55:$AD$57,3,FALSE)=AN$62,100,0)</f>
        <v>#N/A</v>
      </c>
      <c r="AP60" s="1" t="e">
        <f ca="1">IF(HLOOKUP(COUNTIF($W60:AO60,"=100"),$W$55:$AD$57,3,FALSE)=AO$62,100,0)</f>
        <v>#N/A</v>
      </c>
      <c r="AQ60" s="1" t="e">
        <f ca="1">IF(HLOOKUP(COUNTIF($W60:AP60,"=100"),$W$55:$AD$57,3,FALSE)=AP$62,100,0)</f>
        <v>#N/A</v>
      </c>
      <c r="AR60" s="1" t="e">
        <f ca="1">IF(HLOOKUP(COUNTIF($W60:AQ60,"=100"),$W$55:$AD$57,3,FALSE)=AQ$62,100,0)</f>
        <v>#N/A</v>
      </c>
      <c r="AS60" s="1" t="e">
        <f ca="1">IF(HLOOKUP(COUNTIF($W60:AR60,"=100"),$W$55:$AD$57,3,FALSE)=AR$62,100,0)</f>
        <v>#N/A</v>
      </c>
      <c r="AT60" s="1" t="e">
        <f ca="1">IF(HLOOKUP(COUNTIF($W60:AS60,"=100"),$W$55:$AD$57,3,FALSE)=AS$62,100,0)</f>
        <v>#N/A</v>
      </c>
      <c r="AU60" s="1" t="e">
        <f ca="1">IF(HLOOKUP(COUNTIF($W60:AT60,"=100"),$W$55:$AD$57,3,FALSE)=AT$62,100,0)</f>
        <v>#N/A</v>
      </c>
      <c r="AV60" s="1" t="e">
        <f ca="1">IF(HLOOKUP(COUNTIF($W60:AU60,"=100"),$W$55:$AD$57,3,FALSE)=AU$62,100,0)</f>
        <v>#N/A</v>
      </c>
      <c r="AW60" s="1" t="e">
        <f ca="1">IF(HLOOKUP(COUNTIF($W60:AV60,"=100"),$W$55:$AD$57,3,FALSE)=AV$62,100,0)</f>
        <v>#N/A</v>
      </c>
      <c r="AX60" s="1" t="e">
        <f ca="1">IF(HLOOKUP(COUNTIF($W60:AW60,"=100"),$W$55:$AD$57,3,FALSE)=AW$62,100,0)</f>
        <v>#N/A</v>
      </c>
      <c r="AY60" s="1" t="e">
        <f ca="1">IF(HLOOKUP(COUNTIF($W60:AX60,"=100"),$W$55:$AD$57,3,FALSE)=AX$62,100,0)</f>
        <v>#N/A</v>
      </c>
      <c r="AZ60" s="1" t="e">
        <f ca="1">IF(HLOOKUP(COUNTIF($W60:AY60,"=100"),$W$55:$AD$57,3,FALSE)=AY$62,100,0)</f>
        <v>#N/A</v>
      </c>
      <c r="BA60" s="1" t="e">
        <f ca="1">IF(HLOOKUP(COUNTIF($W60:AZ60,"=100"),$W$55:$AD$57,3,FALSE)=AZ$62,100,0)</f>
        <v>#N/A</v>
      </c>
      <c r="BB60" s="1" t="e">
        <f ca="1">IF(HLOOKUP(COUNTIF($W60:BA60,"=100"),$W$55:$AD$57,3,FALSE)=BA$62,100,0)</f>
        <v>#N/A</v>
      </c>
      <c r="BC60" s="1" t="e">
        <f ca="1">IF(HLOOKUP(COUNTIF($W60:BB60,"=100"),$W$55:$AD$57,3,FALSE)=BB$62,100,0)</f>
        <v>#N/A</v>
      </c>
      <c r="BD60" s="1" t="e">
        <f ca="1">IF(HLOOKUP(COUNTIF($W60:BC60,"=100"),$W$55:$AD$57,3,FALSE)=BC$62,100,0)</f>
        <v>#N/A</v>
      </c>
      <c r="BE60" s="1" t="e">
        <f ca="1">IF(HLOOKUP(COUNTIF($W60:BD60,"=100"),$W$55:$AD$57,3,FALSE)=BD$62,100,0)</f>
        <v>#N/A</v>
      </c>
      <c r="BF60" s="1" t="e">
        <f ca="1">IF(HLOOKUP(COUNTIF($W60:BE60,"=100"),$W$55:$AD$57,3,FALSE)=BE$62,100,0)</f>
        <v>#N/A</v>
      </c>
      <c r="BG60" s="1" t="e">
        <f ca="1">IF(HLOOKUP(COUNTIF($W60:BF60,"=100"),$W$55:$AD$57,3,FALSE)=BF$62,100,0)</f>
        <v>#N/A</v>
      </c>
      <c r="BH60" s="1" t="e">
        <f ca="1">IF(HLOOKUP(COUNTIF($W60:BG60,"=100"),$W$55:$AD$57,3,FALSE)=BG$62,100,0)</f>
        <v>#N/A</v>
      </c>
      <c r="BI60" s="1" t="e">
        <f ca="1">IF(HLOOKUP(COUNTIF($W60:BH60,"=100"),$W$55:$AD$57,3,FALSE)=BH$62,100,0)</f>
        <v>#N/A</v>
      </c>
      <c r="BJ60" s="1" t="e">
        <f ca="1">IF(HLOOKUP(COUNTIF($W60:BI60,"=100"),$W$55:$AD$57,3,FALSE)=BI$62,100,0)</f>
        <v>#N/A</v>
      </c>
      <c r="BK60" s="1" t="e">
        <f ca="1">IF(HLOOKUP(COUNTIF($W60:BJ60,"=100"),$W$55:$AD$57,3,FALSE)=BJ$62,100,0)</f>
        <v>#N/A</v>
      </c>
      <c r="BL60" s="1" t="e">
        <f ca="1">IF(HLOOKUP(COUNTIF($W60:BK60,"=100"),$W$55:$AD$57,3,FALSE)=BK$62,100,0)</f>
        <v>#N/A</v>
      </c>
      <c r="BM60" s="1" t="e">
        <f ca="1">IF(HLOOKUP(COUNTIF($W60:BL60,"=100"),$W$55:$AD$57,3,FALSE)=BL$62,100,0)</f>
        <v>#N/A</v>
      </c>
      <c r="BN60" s="1" t="e">
        <f ca="1">IF(HLOOKUP(COUNTIF($W60:BM60,"=100"),$W$55:$AD$57,3,FALSE)=BM$62,100,0)</f>
        <v>#N/A</v>
      </c>
      <c r="BO60" s="1" t="e">
        <f ca="1">IF(HLOOKUP(COUNTIF($W60:BN60,"=100"),$W$55:$AD$57,3,FALSE)=BN$62,100,0)</f>
        <v>#N/A</v>
      </c>
      <c r="BP60" s="1" t="e">
        <f ca="1">IF(HLOOKUP(COUNTIF($W60:BO60,"=100"),$W$55:$AD$57,3,FALSE)=BO$62,100,0)</f>
        <v>#N/A</v>
      </c>
      <c r="BQ60" s="1" t="e">
        <f ca="1">IF(HLOOKUP(COUNTIF($W60:BP60,"=100"),$W$55:$AD$57,3,FALSE)=BP$62,100,0)</f>
        <v>#N/A</v>
      </c>
      <c r="BR60" s="1" t="e">
        <f ca="1">IF(HLOOKUP(COUNTIF($W60:BQ60,"=100"),$W$55:$AD$57,3,FALSE)=BQ$62,100,0)</f>
        <v>#N/A</v>
      </c>
      <c r="BS60" s="1" t="e">
        <f ca="1">IF(HLOOKUP(COUNTIF($W60:BR60,"=100"),$W$55:$AD$57,3,FALSE)=BR$62,100,0)</f>
        <v>#N/A</v>
      </c>
      <c r="BT60" s="1" t="e">
        <f ca="1">IF(HLOOKUP(COUNTIF($W60:BS60,"=100"),$W$55:$AD$57,3,FALSE)=BS$62,100,0)</f>
        <v>#N/A</v>
      </c>
      <c r="BU60" s="1" t="e">
        <f ca="1">IF(HLOOKUP(COUNTIF($W60:BT60,"=100"),$W$55:$AD$57,3,FALSE)=BT$62,100,0)</f>
        <v>#N/A</v>
      </c>
      <c r="BV60" s="1" t="e">
        <f ca="1">IF(HLOOKUP(COUNTIF($W60:BU60,"=100"),$W$55:$AD$57,3,FALSE)=BU$62,100,0)</f>
        <v>#N/A</v>
      </c>
      <c r="BW60" s="1" t="e">
        <f ca="1">IF(HLOOKUP(COUNTIF($W60:BV60,"=100"),$W$55:$AD$57,3,FALSE)=BV$62,100,0)</f>
        <v>#N/A</v>
      </c>
      <c r="BX60" s="1" t="e">
        <f ca="1">IF(HLOOKUP(COUNTIF($W60:BW60,"=100"),$W$55:$AD$57,3,FALSE)=BW$62,100,0)</f>
        <v>#N/A</v>
      </c>
      <c r="BY60" s="1" t="e">
        <f ca="1">IF(HLOOKUP(COUNTIF($W60:BX60,"=100"),$W$55:$AD$57,3,FALSE)=BX$62,100,0)</f>
        <v>#N/A</v>
      </c>
      <c r="BZ60" s="1" t="e">
        <f ca="1">IF(HLOOKUP(COUNTIF($W60:BY60,"=100"),$W$55:$AD$57,3,FALSE)=BY$62,100,0)</f>
        <v>#N/A</v>
      </c>
      <c r="CA60" s="1" t="e">
        <f ca="1">IF(HLOOKUP(COUNTIF($W60:BZ60,"=100"),$W$55:$AD$57,3,FALSE)=BZ$62,100,0)</f>
        <v>#N/A</v>
      </c>
      <c r="CB60" s="1" t="e">
        <f ca="1">IF(HLOOKUP(COUNTIF($W60:CA60,"=100"),$W$55:$AD$57,3,FALSE)=CA$62,100,0)</f>
        <v>#N/A</v>
      </c>
      <c r="CC60" s="1" t="e">
        <f ca="1">IF(HLOOKUP(COUNTIF($W60:CB60,"=100"),$W$55:$AD$57,3,FALSE)=CB$62,100,0)</f>
        <v>#N/A</v>
      </c>
      <c r="CD60" s="1" t="e">
        <f ca="1">IF(HLOOKUP(COUNTIF($W60:CC60,"=100"),$W$55:$AD$57,3,FALSE)=CC$62,100,0)</f>
        <v>#N/A</v>
      </c>
      <c r="CE60" s="1" t="e">
        <f ca="1">IF(HLOOKUP(COUNTIF($W60:CD60,"=100"),$W$55:$AD$57,3,FALSE)=CD$62,100,0)</f>
        <v>#N/A</v>
      </c>
      <c r="CL60" s="37"/>
      <c r="CM60" s="37"/>
      <c r="CN60" s="37"/>
      <c r="CO60" s="37"/>
      <c r="CP60" s="37"/>
      <c r="CQ60" s="37"/>
      <c r="CR60" s="37"/>
      <c r="CS60" s="37"/>
      <c r="CT60" s="63"/>
      <c r="CU60" s="62"/>
      <c r="CV60" s="19"/>
    </row>
    <row r="61" spans="1:100" s="1" customFormat="1" x14ac:dyDescent="0.25">
      <c r="A61" s="92" t="s">
        <v>179</v>
      </c>
      <c r="B61" s="66">
        <f ca="1">IFERROR(VLOOKUP($A61,[1]!LOOKUP_MDAPs,B$3,FALSE)/$G61,"")</f>
        <v>0</v>
      </c>
      <c r="C61" s="66">
        <f ca="1">IFERROR(VLOOKUP($A61,[1]!LOOKUP_MDAPs,C$3,FALSE)/$G61,"")</f>
        <v>0</v>
      </c>
      <c r="D61" s="66">
        <f ca="1">IFERROR(VLOOKUP($A61,[1]!LOOKUP_MDAPs,D$3,FALSE)/$G61,"")</f>
        <v>0</v>
      </c>
      <c r="E61" s="66">
        <f ca="1">IFERROR(VLOOKUP($A61,[1]!LOOKUP_MDAPs,E$3,FALSE)/$G61,"")</f>
        <v>0</v>
      </c>
      <c r="F61" s="66">
        <f ca="1">IFERROR(VLOOKUP($A61,[1]!LOOKUP_MDAPs,F$3,FALSE)/$G61,"")</f>
        <v>0</v>
      </c>
      <c r="G61" s="65">
        <f ca="1">IFERROR(VLOOKUP($A61,[1]!LOOKUP_MDAPs,G$3,FALSE),"")</f>
        <v>634.1</v>
      </c>
      <c r="H61" s="64" t="e">
        <f ca="1">VLOOKUP($A61,[1]!LOOKUP_SARS_2009_Change_Breakdown2,H$3,FALSE)+0</f>
        <v>#N/A</v>
      </c>
      <c r="I61" s="64" t="e">
        <f ca="1">VLOOKUP($A61,[1]!LOOKUP_SARS_2009_Change_Breakdown2,I$3,FALSE)+0</f>
        <v>#N/A</v>
      </c>
      <c r="J61" s="64" t="e">
        <f ca="1">VLOOKUP($A61,[1]!LOOKUP_SARS_2009_Change_Breakdown2,J$3,FALSE)+0</f>
        <v>#N/A</v>
      </c>
      <c r="K61" s="64" t="e">
        <f ca="1">VLOOKUP($A61,[1]!LOOKUP_SARS_2009_Change_Breakdown2,K$3,FALSE)+0</f>
        <v>#N/A</v>
      </c>
      <c r="L61" s="64" t="e">
        <f ca="1">VLOOKUP($A61,[1]!LOOKUP_SARS_2009_Change_Breakdown2,L$3,FALSE)+0</f>
        <v>#N/A</v>
      </c>
      <c r="M61" s="64" t="e">
        <f ca="1">VLOOKUP($A61,[1]!LOOKUP_SARS_2009_Change_Breakdown2,M$3,FALSE)+0</f>
        <v>#N/A</v>
      </c>
      <c r="N61" s="64" t="e">
        <f ca="1">VLOOKUP($A61,[1]!LOOKUP_SARS_2009_Change_Breakdown2,N$3,FALSE)+0</f>
        <v>#N/A</v>
      </c>
      <c r="O61" s="64" t="e">
        <f ca="1">VLOOKUP($A61,[1]!LOOKUP_SARS_2009_Change_Breakdown2,O$3,FALSE)+0</f>
        <v>#N/A</v>
      </c>
      <c r="P61" s="26">
        <f ca="1">VLOOKUP($A61,[1]!LOOKUP_SARS_Unified2,P$3,FALSE)</f>
        <v>5791.6</v>
      </c>
      <c r="Q61" s="1">
        <f t="shared" ca="1" si="19"/>
        <v>1.7266385800124317E-4</v>
      </c>
      <c r="R61" s="1">
        <v>1</v>
      </c>
      <c r="S61" s="37" t="e">
        <f t="shared" ca="1" si="26"/>
        <v>#N/A</v>
      </c>
      <c r="T61" s="73">
        <f t="shared" ca="1" si="27"/>
        <v>0</v>
      </c>
      <c r="W61" s="68" t="e">
        <f ca="1">W58</f>
        <v>#N/A</v>
      </c>
      <c r="X61" s="19" t="str">
        <f>IF(W60=100,HLOOKUP(COUNTIF($W60:W60,"=100"),$W$55:$AD$58,4,FALSE),IF(U61="","",U61+10%))</f>
        <v/>
      </c>
      <c r="Y61" s="19" t="e">
        <f ca="1">IF(X60=100,HLOOKUP(COUNTIF($W60:X60,"=100"),$W$55:$AD$58,4,FALSE),IF(W61="","",W61+10%))</f>
        <v>#N/A</v>
      </c>
      <c r="Z61" s="19" t="e">
        <f ca="1">IF(Y60=100,HLOOKUP(COUNTIF($W60:Y60,"=100"),$W$55:$AD$58,4,FALSE),IF(X61="","",X61+10%))</f>
        <v>#N/A</v>
      </c>
      <c r="AA61" s="19" t="e">
        <f ca="1">IF(Z60=100,HLOOKUP(COUNTIF($W60:Z60,"=100"),$W$55:$AD$58,4,FALSE),IF(Y61="","",Y61+10%))</f>
        <v>#N/A</v>
      </c>
      <c r="AB61" s="19" t="e">
        <f ca="1">IF(AA60=100,HLOOKUP(COUNTIF($W60:AA60,"=100"),$W$55:$AD$58,4,FALSE),IF(Z61="","",Z61+10%))</f>
        <v>#N/A</v>
      </c>
      <c r="AC61" s="19" t="e">
        <f ca="1">IF(AB60=100,HLOOKUP(COUNTIF($W60:AB60,"=100"),$W$55:$AD$58,4,FALSE),IF(AA61="","",AA61+10%))</f>
        <v>#N/A</v>
      </c>
      <c r="AD61" s="19" t="e">
        <f ca="1">IF(AC60=100,HLOOKUP(COUNTIF($W60:AC60,"=100"),$W$55:$AD$58,4,FALSE),IF(AB61="","",AB61+10%))</f>
        <v>#N/A</v>
      </c>
      <c r="AE61" s="19" t="e">
        <f ca="1">IF(AD60=100,HLOOKUP(COUNTIF($W60:AD60,"=100"),$W$55:$AD$58,4,FALSE),IF(AC61="","",AC61+10%))</f>
        <v>#N/A</v>
      </c>
      <c r="AF61" s="19" t="e">
        <f ca="1">IF(AE60=100,HLOOKUP(COUNTIF($W60:AE60,"=100"),$W$55:$AD$58,4,FALSE),IF(AD61="","",AD61+10%))</f>
        <v>#N/A</v>
      </c>
      <c r="AG61" s="19" t="e">
        <f ca="1">IF(AF60=100,HLOOKUP(COUNTIF($W60:AF60,"=100"),$W$55:$AD$58,4,FALSE),IF(AE61="","",AE61+10%))</f>
        <v>#N/A</v>
      </c>
      <c r="AH61" s="19" t="e">
        <f ca="1">IF(AG60=100,HLOOKUP(COUNTIF($W60:AG60,"=100"),$W$55:$AD$58,4,FALSE),IF(AF61="","",AF61+10%))</f>
        <v>#N/A</v>
      </c>
      <c r="AI61" s="19" t="e">
        <f ca="1">IF(AH60=100,HLOOKUP(COUNTIF($W60:AH60,"=100"),$W$55:$AD$58,4,FALSE),IF(AG61="","",AG61+10%))</f>
        <v>#N/A</v>
      </c>
      <c r="AJ61" s="19" t="e">
        <f ca="1">IF(AI60=100,HLOOKUP(COUNTIF($W60:AI60,"=100"),$W$55:$AD$58,4,FALSE),IF(AH61="","",AH61+10%))</f>
        <v>#N/A</v>
      </c>
      <c r="AK61" s="19" t="e">
        <f ca="1">IF(AJ60=100,HLOOKUP(COUNTIF($W60:AJ60,"=100"),$W$55:$AD$58,4,FALSE),IF(AI61="","",AI61+10%))</f>
        <v>#N/A</v>
      </c>
      <c r="AL61" s="19" t="e">
        <f ca="1">IF(AK60=100,HLOOKUP(COUNTIF($W60:AK60,"=100"),$W$55:$AD$58,4,FALSE),IF(AJ61="","",AJ61+10%))</f>
        <v>#N/A</v>
      </c>
      <c r="AM61" s="19" t="e">
        <f ca="1">IF(AL60=100,HLOOKUP(COUNTIF($W60:AL60,"=100"),$W$55:$AD$58,4,FALSE),IF(AK61="","",AK61+10%))</f>
        <v>#N/A</v>
      </c>
      <c r="AN61" s="19" t="e">
        <f ca="1">IF(AM60=100,HLOOKUP(COUNTIF($W60:AM60,"=100"),$W$55:$AD$58,4,FALSE),IF(AL61="","",AL61+10%))</f>
        <v>#N/A</v>
      </c>
      <c r="AO61" s="19" t="e">
        <f ca="1">IF(AN60=100,HLOOKUP(COUNTIF($W60:AN60,"=100"),$W$55:$AD$58,4,FALSE),IF(AM61="","",AM61+10%))</f>
        <v>#N/A</v>
      </c>
      <c r="AP61" s="19" t="e">
        <f ca="1">IF(AO60=100,HLOOKUP(COUNTIF($W60:AO60,"=100"),$W$55:$AD$58,4,FALSE),IF(AN61="","",AN61+10%))</f>
        <v>#N/A</v>
      </c>
      <c r="AQ61" s="19" t="e">
        <f ca="1">IF(AP60=100,HLOOKUP(COUNTIF($W60:AP60,"=100"),$W$55:$AD$58,4,FALSE),IF(AO61="","",AO61+10%))</f>
        <v>#N/A</v>
      </c>
      <c r="AR61" s="19" t="e">
        <f ca="1">IF(AQ60=100,HLOOKUP(COUNTIF($W60:AQ60,"=100"),$W$55:$AD$58,4,FALSE),IF(AP61="","",AP61+10%))</f>
        <v>#N/A</v>
      </c>
      <c r="AS61" s="19" t="e">
        <f ca="1">IF(AR60=100,HLOOKUP(COUNTIF($W60:AR60,"=100"),$W$55:$AD$58,4,FALSE),IF(AQ61="","",AQ61+10%))</f>
        <v>#N/A</v>
      </c>
      <c r="AT61" s="19" t="e">
        <f ca="1">IF(AS60=100,HLOOKUP(COUNTIF($W60:AS60,"=100"),$W$55:$AD$58,4,FALSE),IF(AR61="","",AR61+10%))</f>
        <v>#N/A</v>
      </c>
      <c r="AU61" s="19" t="e">
        <f ca="1">IF(AT60=100,HLOOKUP(COUNTIF($W60:AT60,"=100"),$W$55:$AD$58,4,FALSE),IF(AS61="","",AS61+10%))</f>
        <v>#N/A</v>
      </c>
      <c r="AV61" s="19" t="e">
        <f ca="1">IF(AU60=100,HLOOKUP(COUNTIF($W60:AU60,"=100"),$W$55:$AD$58,4,FALSE),IF(AT61="","",AT61+10%))</f>
        <v>#N/A</v>
      </c>
      <c r="AW61" s="19" t="e">
        <f ca="1">IF(AV60=100,HLOOKUP(COUNTIF($W60:AV60,"=100"),$W$55:$AD$58,4,FALSE),IF(AU61="","",AU61+10%))</f>
        <v>#N/A</v>
      </c>
      <c r="AX61" s="19" t="e">
        <f ca="1">IF(AW60=100,HLOOKUP(COUNTIF($W60:AW60,"=100"),$W$55:$AD$58,4,FALSE),IF(AV61="","",AV61+10%))</f>
        <v>#N/A</v>
      </c>
      <c r="AY61" s="19" t="e">
        <f ca="1">IF(AX60=100,HLOOKUP(COUNTIF($W60:AX60,"=100"),$W$55:$AD$58,4,FALSE),IF(AW61="","",AW61+10%))</f>
        <v>#N/A</v>
      </c>
      <c r="AZ61" s="19" t="e">
        <f ca="1">IF(AY60=100,HLOOKUP(COUNTIF($W60:AY60,"=100"),$W$55:$AD$58,4,FALSE),IF(AX61="","",AX61+10%))</f>
        <v>#N/A</v>
      </c>
      <c r="BA61" s="19" t="e">
        <f ca="1">IF(AZ60=100,HLOOKUP(COUNTIF($W60:AZ60,"=100"),$W$55:$AD$58,4,FALSE),IF(AY61="","",AY61+10%))</f>
        <v>#N/A</v>
      </c>
      <c r="BB61" s="19" t="e">
        <f ca="1">IF(BA60=100,HLOOKUP(COUNTIF($W60:BA60,"=100"),$W$55:$AD$58,4,FALSE),IF(AZ61="","",AZ61+10%))</f>
        <v>#N/A</v>
      </c>
      <c r="BC61" s="19" t="e">
        <f ca="1">IF(BB60=100,HLOOKUP(COUNTIF($W60:BB60,"=100"),$W$55:$AD$58,4,FALSE),IF(BA61="","",BA61+10%))</f>
        <v>#N/A</v>
      </c>
      <c r="BD61" s="19" t="e">
        <f ca="1">IF(BC60=100,HLOOKUP(COUNTIF($W60:BC60,"=100"),$W$55:$AD$58,4,FALSE),IF(BB61="","",BB61+10%))</f>
        <v>#N/A</v>
      </c>
      <c r="BE61" s="19" t="e">
        <f ca="1">IF(BD60=100,HLOOKUP(COUNTIF($W60:BD60,"=100"),$W$55:$AD$58,4,FALSE),IF(BC61="","",BC61+10%))</f>
        <v>#N/A</v>
      </c>
      <c r="BF61" s="19" t="e">
        <f ca="1">IF(BE60=100,HLOOKUP(COUNTIF($W60:BE60,"=100"),$W$55:$AD$58,4,FALSE),IF(BD61="","",BD61+10%))</f>
        <v>#N/A</v>
      </c>
      <c r="BG61" s="19" t="e">
        <f ca="1">IF(BF60=100,HLOOKUP(COUNTIF($W60:BF60,"=100"),$W$55:$AD$58,4,FALSE),IF(BE61="","",BE61+10%))</f>
        <v>#N/A</v>
      </c>
      <c r="BH61" s="19" t="e">
        <f ca="1">IF(BG60=100,HLOOKUP(COUNTIF($W60:BG60,"=100"),$W$55:$AD$58,4,FALSE),IF(BF61="","",BF61+10%))</f>
        <v>#N/A</v>
      </c>
      <c r="BI61" s="19" t="e">
        <f ca="1">IF(BH60=100,HLOOKUP(COUNTIF($W60:BH60,"=100"),$W$55:$AD$58,4,FALSE),IF(BG61="","",BG61+10%))</f>
        <v>#N/A</v>
      </c>
      <c r="BJ61" s="19" t="e">
        <f ca="1">IF(BI60=100,HLOOKUP(COUNTIF($W60:BI60,"=100"),$W$55:$AD$58,4,FALSE),IF(BH61="","",BH61+10%))</f>
        <v>#N/A</v>
      </c>
      <c r="BK61" s="19" t="e">
        <f ca="1">IF(BJ60=100,HLOOKUP(COUNTIF($W60:BJ60,"=100"),$W$55:$AD$58,4,FALSE),IF(BI61="","",BI61+10%))</f>
        <v>#N/A</v>
      </c>
      <c r="BL61" s="19" t="e">
        <f ca="1">IF(BK60=100,HLOOKUP(COUNTIF($W60:BK60,"=100"),$W$55:$AD$58,4,FALSE),IF(BJ61="","",BJ61+10%))</f>
        <v>#N/A</v>
      </c>
      <c r="BM61" s="19" t="e">
        <f ca="1">IF(BL60=100,HLOOKUP(COUNTIF($W60:BL60,"=100"),$W$55:$AD$58,4,FALSE),IF(BK61="","",BK61+10%))</f>
        <v>#N/A</v>
      </c>
      <c r="BN61" s="19" t="e">
        <f ca="1">IF(BM60=100,HLOOKUP(COUNTIF($W60:BM60,"=100"),$W$55:$AD$58,4,FALSE),IF(BL61="","",BL61+10%))</f>
        <v>#N/A</v>
      </c>
      <c r="BO61" s="19" t="e">
        <f ca="1">IF(BN60=100,HLOOKUP(COUNTIF($W60:BN60,"=100"),$W$55:$AD$58,4,FALSE),IF(BM61="","",BM61+10%))</f>
        <v>#N/A</v>
      </c>
      <c r="BP61" s="19" t="e">
        <f ca="1">IF(BO60=100,HLOOKUP(COUNTIF($W60:BO60,"=100"),$W$55:$AD$58,4,FALSE),IF(BN61="","",BN61+10%))</f>
        <v>#N/A</v>
      </c>
      <c r="BQ61" s="19" t="e">
        <f ca="1">IF(BP60=100,HLOOKUP(COUNTIF($W60:BP60,"=100"),$W$55:$AD$58,4,FALSE),IF(BO61="","",BO61+10%))</f>
        <v>#N/A</v>
      </c>
      <c r="BR61" s="19" t="e">
        <f ca="1">IF(BQ60=100,HLOOKUP(COUNTIF($W60:BQ60,"=100"),$W$55:$AD$58,4,FALSE),IF(BP61="","",BP61+10%))</f>
        <v>#N/A</v>
      </c>
      <c r="BS61" s="19" t="e">
        <f ca="1">IF(BR60=100,HLOOKUP(COUNTIF($W60:BR60,"=100"),$W$55:$AD$58,4,FALSE),IF(BQ61="","",BQ61+10%))</f>
        <v>#N/A</v>
      </c>
      <c r="BT61" s="19" t="e">
        <f ca="1">IF(BS60=100,HLOOKUP(COUNTIF($W60:BS60,"=100"),$W$55:$AD$58,4,FALSE),IF(BR61="","",BR61+10%))</f>
        <v>#N/A</v>
      </c>
      <c r="BU61" s="19" t="e">
        <f ca="1">IF(BT60=100,HLOOKUP(COUNTIF($W60:BT60,"=100"),$W$55:$AD$58,4,FALSE),IF(BS61="","",BS61+10%))</f>
        <v>#N/A</v>
      </c>
      <c r="BV61" s="19" t="e">
        <f ca="1">IF(BU60=100,HLOOKUP(COUNTIF($W60:BU60,"=100"),$W$55:$AD$58,4,FALSE),IF(BT61="","",BT61+10%))</f>
        <v>#N/A</v>
      </c>
      <c r="BW61" s="19" t="e">
        <f ca="1">IF(BV60=100,HLOOKUP(COUNTIF($W60:BV60,"=100"),$W$55:$AD$58,4,FALSE),IF(BU61="","",BU61+10%))</f>
        <v>#N/A</v>
      </c>
      <c r="BX61" s="19" t="e">
        <f ca="1">IF(BW60=100,HLOOKUP(COUNTIF($W60:BW60,"=100"),$W$55:$AD$58,4,FALSE),IF(BV61="","",BV61+10%))</f>
        <v>#N/A</v>
      </c>
      <c r="BY61" s="19" t="e">
        <f ca="1">IF(BX60=100,HLOOKUP(COUNTIF($W60:BX60,"=100"),$W$55:$AD$58,4,FALSE),IF(BW61="","",BW61+10%))</f>
        <v>#N/A</v>
      </c>
      <c r="BZ61" s="19" t="e">
        <f ca="1">IF(BY60=100,HLOOKUP(COUNTIF($W60:BY60,"=100"),$W$55:$AD$58,4,FALSE),IF(BX61="","",BX61+10%))</f>
        <v>#N/A</v>
      </c>
      <c r="CA61" s="19" t="e">
        <f ca="1">IF(BZ60=100,HLOOKUP(COUNTIF($W60:BZ60,"=100"),$W$55:$AD$58,4,FALSE),IF(BY61="","",BY61+10%))</f>
        <v>#N/A</v>
      </c>
      <c r="CB61" s="19" t="e">
        <f ca="1">IF(CA60=100,HLOOKUP(COUNTIF($W60:CA60,"=100"),$W$55:$AD$58,4,FALSE),IF(BZ61="","",BZ61+10%))</f>
        <v>#N/A</v>
      </c>
      <c r="CC61" s="19" t="e">
        <f ca="1">IF(CB60=100,HLOOKUP(COUNTIF($W60:CB60,"=100"),$W$55:$AD$58,4,FALSE),IF(CA61="","",CA61+10%))</f>
        <v>#N/A</v>
      </c>
      <c r="CD61" s="19" t="e">
        <f ca="1">IF(CC60=100,HLOOKUP(COUNTIF($W60:CC60,"=100"),$W$55:$AD$58,4,FALSE),IF(CB61="","",CB61+10%))</f>
        <v>#N/A</v>
      </c>
      <c r="CE61" s="19" t="e">
        <f ca="1">IF(CD60=100,HLOOKUP(COUNTIF($W60:CD60,"=100"),$W$55:$AD$58,4,FALSE),IF(CC61="","",CC61+10%))</f>
        <v>#N/A</v>
      </c>
      <c r="CL61" s="37"/>
      <c r="CM61" s="37"/>
      <c r="CN61" s="37"/>
      <c r="CO61" s="37"/>
      <c r="CP61" s="37"/>
      <c r="CQ61" s="37"/>
      <c r="CR61" s="37"/>
      <c r="CS61" s="37"/>
      <c r="CT61" s="63"/>
      <c r="CU61" s="62"/>
      <c r="CV61" s="19"/>
    </row>
    <row r="62" spans="1:100" s="1" customFormat="1" x14ac:dyDescent="0.25">
      <c r="A62" s="92" t="s">
        <v>2</v>
      </c>
      <c r="B62" s="66" t="str">
        <f ca="1">IFERROR(VLOOKUP($A62,[1]!LOOKUP_MDAPs,B$3,FALSE)/$G62,"")</f>
        <v/>
      </c>
      <c r="C62" s="66" t="str">
        <f ca="1">IFERROR(VLOOKUP($A62,[1]!LOOKUP_MDAPs,C$3,FALSE)/$G62,"")</f>
        <v/>
      </c>
      <c r="D62" s="66" t="str">
        <f ca="1">IFERROR(VLOOKUP($A62,[1]!LOOKUP_MDAPs,D$3,FALSE)/$G62,"")</f>
        <v/>
      </c>
      <c r="E62" s="66" t="str">
        <f ca="1">IFERROR(VLOOKUP($A62,[1]!LOOKUP_MDAPs,E$3,FALSE)/$G62,"")</f>
        <v/>
      </c>
      <c r="F62" s="66" t="str">
        <f ca="1">IFERROR(VLOOKUP($A62,[1]!LOOKUP_MDAPs,F$3,FALSE)/$G62,"")</f>
        <v/>
      </c>
      <c r="G62" s="65" t="str">
        <f ca="1">IFERROR(VLOOKUP($A62,[1]!LOOKUP_MDAPs,G$3,FALSE),"")</f>
        <v/>
      </c>
      <c r="H62" s="64" t="e">
        <f ca="1">VLOOKUP($A62,[1]!LOOKUP_SARS_2009_Change_Breakdown2,H$3,FALSE)+0</f>
        <v>#N/A</v>
      </c>
      <c r="I62" s="64" t="e">
        <f ca="1">VLOOKUP($A62,[1]!LOOKUP_SARS_2009_Change_Breakdown2,I$3,FALSE)+0</f>
        <v>#N/A</v>
      </c>
      <c r="J62" s="64" t="e">
        <f ca="1">VLOOKUP($A62,[1]!LOOKUP_SARS_2009_Change_Breakdown2,J$3,FALSE)+0</f>
        <v>#N/A</v>
      </c>
      <c r="K62" s="64" t="e">
        <f ca="1">VLOOKUP($A62,[1]!LOOKUP_SARS_2009_Change_Breakdown2,K$3,FALSE)+0</f>
        <v>#N/A</v>
      </c>
      <c r="L62" s="64" t="e">
        <f ca="1">VLOOKUP($A62,[1]!LOOKUP_SARS_2009_Change_Breakdown2,L$3,FALSE)+0</f>
        <v>#N/A</v>
      </c>
      <c r="M62" s="64" t="e">
        <f ca="1">VLOOKUP($A62,[1]!LOOKUP_SARS_2009_Change_Breakdown2,M$3,FALSE)+0</f>
        <v>#N/A</v>
      </c>
      <c r="N62" s="64" t="e">
        <f ca="1">VLOOKUP($A62,[1]!LOOKUP_SARS_2009_Change_Breakdown2,N$3,FALSE)+0</f>
        <v>#N/A</v>
      </c>
      <c r="O62" s="64" t="e">
        <f ca="1">VLOOKUP($A62,[1]!LOOKUP_SARS_2009_Change_Breakdown2,O$3,FALSE)+0</f>
        <v>#N/A</v>
      </c>
      <c r="P62" s="26" t="str">
        <f ca="1">VLOOKUP($A62,[1]!LOOKUP_SARS_Unified2,P$3,FALSE)</f>
        <v/>
      </c>
      <c r="Q62" s="1" t="e">
        <f t="shared" ca="1" si="19"/>
        <v>#VALUE!</v>
      </c>
      <c r="R62" s="1">
        <v>1</v>
      </c>
      <c r="S62" s="37" t="e">
        <f t="shared" ca="1" si="26"/>
        <v>#N/A</v>
      </c>
      <c r="T62" s="73" t="e">
        <f t="shared" ca="1" si="27"/>
        <v>#VALUE!</v>
      </c>
      <c r="W62" s="19">
        <v>0</v>
      </c>
      <c r="X62" s="67">
        <f t="shared" ref="X62:BC62" si="28">W62+5%</f>
        <v>0.05</v>
      </c>
      <c r="Y62" s="67">
        <f t="shared" si="28"/>
        <v>0.1</v>
      </c>
      <c r="Z62" s="67">
        <f t="shared" si="28"/>
        <v>0.15000000000000002</v>
      </c>
      <c r="AA62" s="67">
        <f t="shared" si="28"/>
        <v>0.2</v>
      </c>
      <c r="AB62" s="67">
        <f t="shared" si="28"/>
        <v>0.25</v>
      </c>
      <c r="AC62" s="67">
        <f t="shared" si="28"/>
        <v>0.3</v>
      </c>
      <c r="AD62" s="67">
        <f t="shared" si="28"/>
        <v>0.35</v>
      </c>
      <c r="AE62" s="67">
        <f t="shared" si="28"/>
        <v>0.39999999999999997</v>
      </c>
      <c r="AF62" s="67">
        <f t="shared" si="28"/>
        <v>0.44999999999999996</v>
      </c>
      <c r="AG62" s="67">
        <f t="shared" si="28"/>
        <v>0.49999999999999994</v>
      </c>
      <c r="AH62" s="67">
        <f t="shared" si="28"/>
        <v>0.54999999999999993</v>
      </c>
      <c r="AI62" s="67">
        <f t="shared" si="28"/>
        <v>0.6</v>
      </c>
      <c r="AJ62" s="67">
        <f t="shared" si="28"/>
        <v>0.65</v>
      </c>
      <c r="AK62" s="67">
        <f t="shared" si="28"/>
        <v>0.70000000000000007</v>
      </c>
      <c r="AL62" s="67">
        <f t="shared" si="28"/>
        <v>0.75000000000000011</v>
      </c>
      <c r="AM62" s="67">
        <f t="shared" si="28"/>
        <v>0.80000000000000016</v>
      </c>
      <c r="AN62" s="67">
        <f t="shared" si="28"/>
        <v>0.8500000000000002</v>
      </c>
      <c r="AO62" s="67">
        <f t="shared" si="28"/>
        <v>0.90000000000000024</v>
      </c>
      <c r="AP62" s="67">
        <f t="shared" si="28"/>
        <v>0.95000000000000029</v>
      </c>
      <c r="AQ62" s="67">
        <f t="shared" si="28"/>
        <v>1.0000000000000002</v>
      </c>
      <c r="AR62" s="67">
        <f t="shared" si="28"/>
        <v>1.0500000000000003</v>
      </c>
      <c r="AS62" s="67">
        <f t="shared" si="28"/>
        <v>1.1000000000000003</v>
      </c>
      <c r="AT62" s="67">
        <f t="shared" si="28"/>
        <v>1.1500000000000004</v>
      </c>
      <c r="AU62" s="67">
        <f t="shared" si="28"/>
        <v>1.2000000000000004</v>
      </c>
      <c r="AV62" s="67">
        <f t="shared" si="28"/>
        <v>1.2500000000000004</v>
      </c>
      <c r="AW62" s="67">
        <f t="shared" si="28"/>
        <v>1.3000000000000005</v>
      </c>
      <c r="AX62" s="67">
        <f t="shared" si="28"/>
        <v>1.3500000000000005</v>
      </c>
      <c r="AY62" s="67">
        <f t="shared" si="28"/>
        <v>1.4000000000000006</v>
      </c>
      <c r="AZ62" s="67">
        <f t="shared" si="28"/>
        <v>1.4500000000000006</v>
      </c>
      <c r="BA62" s="67">
        <f t="shared" si="28"/>
        <v>1.5000000000000007</v>
      </c>
      <c r="BB62" s="67">
        <f t="shared" si="28"/>
        <v>1.5500000000000007</v>
      </c>
      <c r="BC62" s="67">
        <f t="shared" si="28"/>
        <v>1.6000000000000008</v>
      </c>
      <c r="BD62" s="67">
        <f t="shared" ref="BD62:CE62" si="29">BC62+5%</f>
        <v>1.6500000000000008</v>
      </c>
      <c r="BE62" s="67">
        <f t="shared" si="29"/>
        <v>1.7000000000000008</v>
      </c>
      <c r="BF62" s="67">
        <f t="shared" si="29"/>
        <v>1.7500000000000009</v>
      </c>
      <c r="BG62" s="67">
        <f t="shared" si="29"/>
        <v>1.8000000000000009</v>
      </c>
      <c r="BH62" s="67">
        <f t="shared" si="29"/>
        <v>1.850000000000001</v>
      </c>
      <c r="BI62" s="67">
        <f t="shared" si="29"/>
        <v>1.900000000000001</v>
      </c>
      <c r="BJ62" s="67">
        <f t="shared" si="29"/>
        <v>1.9500000000000011</v>
      </c>
      <c r="BK62" s="67">
        <f t="shared" si="29"/>
        <v>2.0000000000000009</v>
      </c>
      <c r="BL62" s="67">
        <f t="shared" si="29"/>
        <v>2.0500000000000007</v>
      </c>
      <c r="BM62" s="67">
        <f t="shared" si="29"/>
        <v>2.1000000000000005</v>
      </c>
      <c r="BN62" s="67">
        <f t="shared" si="29"/>
        <v>2.1500000000000004</v>
      </c>
      <c r="BO62" s="67">
        <f t="shared" si="29"/>
        <v>2.2000000000000002</v>
      </c>
      <c r="BP62" s="67">
        <f t="shared" si="29"/>
        <v>2.25</v>
      </c>
      <c r="BQ62" s="67">
        <f t="shared" si="29"/>
        <v>2.2999999999999998</v>
      </c>
      <c r="BR62" s="67">
        <f t="shared" si="29"/>
        <v>2.3499999999999996</v>
      </c>
      <c r="BS62" s="67">
        <f t="shared" si="29"/>
        <v>2.3999999999999995</v>
      </c>
      <c r="BT62" s="67">
        <f t="shared" si="29"/>
        <v>2.4499999999999993</v>
      </c>
      <c r="BU62" s="67">
        <f t="shared" si="29"/>
        <v>2.4999999999999991</v>
      </c>
      <c r="BV62" s="67">
        <f t="shared" si="29"/>
        <v>2.5499999999999989</v>
      </c>
      <c r="BW62" s="67">
        <f t="shared" si="29"/>
        <v>2.5999999999999988</v>
      </c>
      <c r="BX62" s="67">
        <f t="shared" si="29"/>
        <v>2.6499999999999986</v>
      </c>
      <c r="BY62" s="67">
        <f t="shared" si="29"/>
        <v>2.6999999999999984</v>
      </c>
      <c r="BZ62" s="67">
        <f t="shared" si="29"/>
        <v>2.7499999999999982</v>
      </c>
      <c r="CA62" s="67">
        <f t="shared" si="29"/>
        <v>2.799999999999998</v>
      </c>
      <c r="CB62" s="67">
        <f t="shared" si="29"/>
        <v>2.8499999999999979</v>
      </c>
      <c r="CC62" s="67">
        <f t="shared" si="29"/>
        <v>2.8999999999999977</v>
      </c>
      <c r="CD62" s="67">
        <f t="shared" si="29"/>
        <v>2.9499999999999975</v>
      </c>
      <c r="CE62" s="67">
        <f t="shared" si="29"/>
        <v>2.9999999999999973</v>
      </c>
      <c r="CL62" s="37"/>
      <c r="CM62" s="37"/>
      <c r="CN62" s="37"/>
      <c r="CO62" s="37"/>
      <c r="CP62" s="37"/>
      <c r="CQ62" s="37"/>
      <c r="CR62" s="37"/>
      <c r="CS62" s="37"/>
      <c r="CT62" s="63"/>
      <c r="CU62" s="62"/>
      <c r="CV62" s="19"/>
    </row>
    <row r="63" spans="1:100" s="1" customFormat="1" x14ac:dyDescent="0.25">
      <c r="A63" s="92" t="s">
        <v>61</v>
      </c>
      <c r="B63" s="66">
        <f ca="1">IFERROR(VLOOKUP($A63,[1]!LOOKUP_MDAPs,B$3,FALSE)/$G63,"")</f>
        <v>0.58188372326186755</v>
      </c>
      <c r="C63" s="66">
        <f ca="1">IFERROR(VLOOKUP($A63,[1]!LOOKUP_MDAPs,C$3,FALSE)/$G63,"")</f>
        <v>0</v>
      </c>
      <c r="D63" s="66">
        <f ca="1">IFERROR(VLOOKUP($A63,[1]!LOOKUP_MDAPs,D$3,FALSE)/$G63,"")</f>
        <v>7.7092071891712802E-3</v>
      </c>
      <c r="E63" s="66">
        <f ca="1">IFERROR(VLOOKUP($A63,[1]!LOOKUP_MDAPs,E$3,FALSE)/$G63,"")</f>
        <v>0.11248795239244641</v>
      </c>
      <c r="F63" s="66">
        <f ca="1">IFERROR(VLOOKUP($A63,[1]!LOOKUP_MDAPs,F$3,FALSE)/$G63,"")</f>
        <v>2.6517582469591555E-5</v>
      </c>
      <c r="G63" s="65">
        <f ca="1">IFERROR(VLOOKUP($A63,[1]!LOOKUP_MDAPs,G$3,FALSE),"")</f>
        <v>2112.9</v>
      </c>
      <c r="H63" s="64">
        <f ca="1">VLOOKUP($A63,[1]!LOOKUP_SARS_2009_Change_Breakdown2,H$3,FALSE)+0</f>
        <v>2730.2</v>
      </c>
      <c r="I63" s="64" t="e">
        <f ca="1">VLOOKUP($A63,[1]!LOOKUP_SARS_2009_Change_Breakdown2,I$3,FALSE)+0</f>
        <v>#REF!</v>
      </c>
      <c r="J63" s="64" t="e">
        <f ca="1">VLOOKUP($A63,[1]!LOOKUP_SARS_2009_Change_Breakdown2,J$3,FALSE)+0</f>
        <v>#REF!</v>
      </c>
      <c r="K63" s="64" t="e">
        <f ca="1">VLOOKUP($A63,[1]!LOOKUP_SARS_2009_Change_Breakdown2,K$3,FALSE)+0</f>
        <v>#REF!</v>
      </c>
      <c r="L63" s="64" t="e">
        <f ca="1">VLOOKUP($A63,[1]!LOOKUP_SARS_2009_Change_Breakdown2,L$3,FALSE)+0</f>
        <v>#REF!</v>
      </c>
      <c r="M63" s="64" t="e">
        <f ca="1">VLOOKUP($A63,[1]!LOOKUP_SARS_2009_Change_Breakdown2,M$3,FALSE)+0</f>
        <v>#REF!</v>
      </c>
      <c r="N63" s="64" t="e">
        <f ca="1">VLOOKUP($A63,[1]!LOOKUP_SARS_2009_Change_Breakdown2,N$3,FALSE)+0</f>
        <v>#REF!</v>
      </c>
      <c r="O63" s="64" t="e">
        <f ca="1">VLOOKUP($A63,[1]!LOOKUP_SARS_2009_Change_Breakdown2,O$3,FALSE)+0</f>
        <v>#REF!</v>
      </c>
      <c r="P63" s="26">
        <f ca="1">VLOOKUP($A63,[1]!LOOKUP_SARS_Unified2,P$3,FALSE)</f>
        <v>4981.1000000000004</v>
      </c>
      <c r="Q63" s="1">
        <f t="shared" ca="1" si="19"/>
        <v>2.0075886852301698E-4</v>
      </c>
      <c r="R63" s="1">
        <v>1</v>
      </c>
      <c r="S63" s="37" t="e">
        <f t="shared" ca="1" si="26"/>
        <v>#REF!</v>
      </c>
      <c r="T63" s="73">
        <f t="shared" ca="1" si="27"/>
        <v>2898.4210139396887</v>
      </c>
      <c r="CL63" s="37"/>
      <c r="CM63" s="37"/>
      <c r="CN63" s="37"/>
      <c r="CO63" s="37"/>
      <c r="CP63" s="37"/>
      <c r="CQ63" s="37"/>
      <c r="CR63" s="37"/>
      <c r="CS63" s="37"/>
      <c r="CT63" s="63"/>
      <c r="CU63" s="62"/>
      <c r="CV63" s="19"/>
    </row>
    <row r="64" spans="1:100" s="1" customFormat="1" x14ac:dyDescent="0.25">
      <c r="A64" s="92" t="s">
        <v>5</v>
      </c>
      <c r="B64" s="66">
        <f ca="1">IFERROR(VLOOKUP($A64,[1]!LOOKUP_MDAPs,B$3,FALSE)/$G64,"")</f>
        <v>0.32364074879176968</v>
      </c>
      <c r="C64" s="66">
        <f ca="1">IFERROR(VLOOKUP($A64,[1]!LOOKUP_MDAPs,C$3,FALSE)/$G64,"")</f>
        <v>0</v>
      </c>
      <c r="D64" s="66">
        <f ca="1">IFERROR(VLOOKUP($A64,[1]!LOOKUP_MDAPs,D$3,FALSE)/$G64,"")</f>
        <v>0</v>
      </c>
      <c r="E64" s="66">
        <f ca="1">IFERROR(VLOOKUP($A64,[1]!LOOKUP_MDAPs,E$3,FALSE)/$G64,"")</f>
        <v>0</v>
      </c>
      <c r="F64" s="66">
        <f ca="1">IFERROR(VLOOKUP($A64,[1]!LOOKUP_MDAPs,F$3,FALSE)/$G64,"")</f>
        <v>0</v>
      </c>
      <c r="G64" s="65">
        <f ca="1">IFERROR(VLOOKUP($A64,[1]!LOOKUP_MDAPs,G$3,FALSE),"")</f>
        <v>1253.9000000000001</v>
      </c>
      <c r="H64" s="64">
        <f ca="1">VLOOKUP($A64,[1]!LOOKUP_SARS_2009_Change_Breakdown2,H$3,FALSE)+0</f>
        <v>-2077.3000000000002</v>
      </c>
      <c r="I64" s="64" t="e">
        <f ca="1">VLOOKUP($A64,[1]!LOOKUP_SARS_2009_Change_Breakdown2,I$3,FALSE)+0</f>
        <v>#REF!</v>
      </c>
      <c r="J64" s="64" t="e">
        <f ca="1">VLOOKUP($A64,[1]!LOOKUP_SARS_2009_Change_Breakdown2,J$3,FALSE)+0</f>
        <v>#REF!</v>
      </c>
      <c r="K64" s="64" t="e">
        <f ca="1">VLOOKUP($A64,[1]!LOOKUP_SARS_2009_Change_Breakdown2,K$3,FALSE)+0</f>
        <v>#REF!</v>
      </c>
      <c r="L64" s="64" t="e">
        <f ca="1">VLOOKUP($A64,[1]!LOOKUP_SARS_2009_Change_Breakdown2,L$3,FALSE)+0</f>
        <v>#REF!</v>
      </c>
      <c r="M64" s="64" t="e">
        <f ca="1">VLOOKUP($A64,[1]!LOOKUP_SARS_2009_Change_Breakdown2,M$3,FALSE)+0</f>
        <v>#REF!</v>
      </c>
      <c r="N64" s="64" t="e">
        <f ca="1">VLOOKUP($A64,[1]!LOOKUP_SARS_2009_Change_Breakdown2,N$3,FALSE)+0</f>
        <v>#REF!</v>
      </c>
      <c r="O64" s="64" t="e">
        <f ca="1">VLOOKUP($A64,[1]!LOOKUP_SARS_2009_Change_Breakdown2,O$3,FALSE)+0</f>
        <v>#REF!</v>
      </c>
      <c r="P64" s="26">
        <f ca="1">VLOOKUP($A64,[1]!LOOKUP_SARS_Unified2,P$3,FALSE)</f>
        <v>4087.8</v>
      </c>
      <c r="Q64" s="1">
        <f t="shared" ca="1" si="19"/>
        <v>2.4463036352072017E-4</v>
      </c>
      <c r="R64" s="1">
        <v>1</v>
      </c>
      <c r="S64" s="37" t="e">
        <f t="shared" ca="1" si="26"/>
        <v>#REF!</v>
      </c>
      <c r="T64" s="73">
        <f t="shared" ca="1" si="27"/>
        <v>1322.9786529109961</v>
      </c>
      <c r="CL64" s="37"/>
      <c r="CM64" s="37"/>
      <c r="CN64" s="37"/>
      <c r="CO64" s="37"/>
      <c r="CP64" s="37"/>
      <c r="CQ64" s="37"/>
      <c r="CR64" s="37"/>
      <c r="CS64" s="37"/>
      <c r="CT64" s="63"/>
      <c r="CU64" s="62"/>
      <c r="CV64" s="19"/>
    </row>
    <row r="65" spans="1:100" s="1" customFormat="1" x14ac:dyDescent="0.25">
      <c r="A65" s="92" t="s">
        <v>219</v>
      </c>
      <c r="B65" s="66">
        <f ca="1">IFERROR(VLOOKUP($A65,[1]!LOOKUP_MDAPs,B$3,FALSE)/$G65,"")</f>
        <v>0.83109548922183429</v>
      </c>
      <c r="C65" s="66">
        <f ca="1">IFERROR(VLOOKUP($A65,[1]!LOOKUP_MDAPs,C$3,FALSE)/$G65,"")</f>
        <v>0</v>
      </c>
      <c r="D65" s="66">
        <f ca="1">IFERROR(VLOOKUP($A65,[1]!LOOKUP_MDAPs,D$3,FALSE)/$G65,"")</f>
        <v>4.4221750927916963E-2</v>
      </c>
      <c r="E65" s="66">
        <f ca="1">IFERROR(VLOOKUP($A65,[1]!LOOKUP_MDAPs,E$3,FALSE)/$G65,"")</f>
        <v>0.22918434694227963</v>
      </c>
      <c r="F65" s="66">
        <f ca="1">IFERROR(VLOOKUP($A65,[1]!LOOKUP_MDAPs,F$3,FALSE)/$G65,"")</f>
        <v>7.6699299972984934E-5</v>
      </c>
      <c r="G65" s="65">
        <f ca="1">IFERROR(VLOOKUP($A65,[1]!LOOKUP_MDAPs,G$3,FALSE),"")</f>
        <v>776.96928161000005</v>
      </c>
      <c r="H65" s="64" t="e">
        <f ca="1">VLOOKUP($A65,[1]!LOOKUP_SARS_2009_Change_Breakdown2,H$3,FALSE)+0</f>
        <v>#N/A</v>
      </c>
      <c r="I65" s="64" t="e">
        <f ca="1">VLOOKUP($A65,[1]!LOOKUP_SARS_2009_Change_Breakdown2,I$3,FALSE)+0</f>
        <v>#N/A</v>
      </c>
      <c r="J65" s="64" t="e">
        <f ca="1">VLOOKUP($A65,[1]!LOOKUP_SARS_2009_Change_Breakdown2,J$3,FALSE)+0</f>
        <v>#N/A</v>
      </c>
      <c r="K65" s="64" t="e">
        <f ca="1">VLOOKUP($A65,[1]!LOOKUP_SARS_2009_Change_Breakdown2,K$3,FALSE)+0</f>
        <v>#N/A</v>
      </c>
      <c r="L65" s="64" t="e">
        <f ca="1">VLOOKUP($A65,[1]!LOOKUP_SARS_2009_Change_Breakdown2,L$3,FALSE)+0</f>
        <v>#N/A</v>
      </c>
      <c r="M65" s="64" t="e">
        <f ca="1">VLOOKUP($A65,[1]!LOOKUP_SARS_2009_Change_Breakdown2,M$3,FALSE)+0</f>
        <v>#N/A</v>
      </c>
      <c r="N65" s="64" t="e">
        <f ca="1">VLOOKUP($A65,[1]!LOOKUP_SARS_2009_Change_Breakdown2,N$3,FALSE)+0</f>
        <v>#N/A</v>
      </c>
      <c r="O65" s="64" t="e">
        <f ca="1">VLOOKUP($A65,[1]!LOOKUP_SARS_2009_Change_Breakdown2,O$3,FALSE)+0</f>
        <v>#N/A</v>
      </c>
      <c r="P65" s="26">
        <f ca="1">VLOOKUP($A65,[1]!LOOKUP_SARS_Unified2,P$3,FALSE)</f>
        <v>8141.3</v>
      </c>
      <c r="Q65" s="1">
        <f t="shared" ca="1" si="19"/>
        <v>1.2283050618451598E-4</v>
      </c>
      <c r="R65" s="1">
        <v>1</v>
      </c>
      <c r="S65" s="37" t="e">
        <f t="shared" ca="1" si="26"/>
        <v>#N/A</v>
      </c>
      <c r="T65" s="73">
        <f t="shared" ca="1" si="27"/>
        <v>6766.1977064017201</v>
      </c>
      <c r="CL65" s="37"/>
      <c r="CM65" s="37"/>
      <c r="CN65" s="37"/>
      <c r="CO65" s="37"/>
      <c r="CP65" s="37"/>
      <c r="CQ65" s="37"/>
      <c r="CR65" s="37"/>
      <c r="CS65" s="37"/>
      <c r="CT65" s="63"/>
      <c r="CU65" s="62"/>
      <c r="CV65" s="19"/>
    </row>
    <row r="66" spans="1:100" s="1" customFormat="1" x14ac:dyDescent="0.25">
      <c r="A66" s="92" t="s">
        <v>34</v>
      </c>
      <c r="B66" s="66">
        <f ca="1">IFERROR(VLOOKUP($A66,[1]!LOOKUP_MDAPs,B$3,FALSE)/$G66,"")</f>
        <v>0.40862787354496372</v>
      </c>
      <c r="C66" s="66">
        <f ca="1">IFERROR(VLOOKUP($A66,[1]!LOOKUP_MDAPs,C$3,FALSE)/$G66,"")</f>
        <v>0</v>
      </c>
      <c r="D66" s="66">
        <f ca="1">IFERROR(VLOOKUP($A66,[1]!LOOKUP_MDAPs,D$3,FALSE)/$G66,"")</f>
        <v>1.4128536839496199E-2</v>
      </c>
      <c r="E66" s="66">
        <f ca="1">IFERROR(VLOOKUP($A66,[1]!LOOKUP_MDAPs,E$3,FALSE)/$G66,"")</f>
        <v>2.9047710094370797E-2</v>
      </c>
      <c r="F66" s="66">
        <f ca="1">IFERROR(VLOOKUP($A66,[1]!LOOKUP_MDAPs,F$3,FALSE)/$G66,"")</f>
        <v>1.8779605625527851E-5</v>
      </c>
      <c r="G66" s="65">
        <f ca="1">IFERROR(VLOOKUP($A66,[1]!LOOKUP_MDAPs,G$3,FALSE),"")</f>
        <v>5446.6</v>
      </c>
      <c r="H66" s="64">
        <f ca="1">VLOOKUP($A66,[1]!LOOKUP_SARS_2009_Change_Breakdown2,H$3,FALSE)+0</f>
        <v>3145.7</v>
      </c>
      <c r="I66" s="64" t="e">
        <f ca="1">VLOOKUP($A66,[1]!LOOKUP_SARS_2009_Change_Breakdown2,I$3,FALSE)+0</f>
        <v>#REF!</v>
      </c>
      <c r="J66" s="64" t="e">
        <f ca="1">VLOOKUP($A66,[1]!LOOKUP_SARS_2009_Change_Breakdown2,J$3,FALSE)+0</f>
        <v>#REF!</v>
      </c>
      <c r="K66" s="64" t="e">
        <f ca="1">VLOOKUP($A66,[1]!LOOKUP_SARS_2009_Change_Breakdown2,K$3,FALSE)+0</f>
        <v>#REF!</v>
      </c>
      <c r="L66" s="64" t="e">
        <f ca="1">VLOOKUP($A66,[1]!LOOKUP_SARS_2009_Change_Breakdown2,L$3,FALSE)+0</f>
        <v>#REF!</v>
      </c>
      <c r="M66" s="64" t="e">
        <f ca="1">VLOOKUP($A66,[1]!LOOKUP_SARS_2009_Change_Breakdown2,M$3,FALSE)+0</f>
        <v>#REF!</v>
      </c>
      <c r="N66" s="64" t="e">
        <f ca="1">VLOOKUP($A66,[1]!LOOKUP_SARS_2009_Change_Breakdown2,N$3,FALSE)+0</f>
        <v>#REF!</v>
      </c>
      <c r="O66" s="64" t="e">
        <f ca="1">VLOOKUP($A66,[1]!LOOKUP_SARS_2009_Change_Breakdown2,O$3,FALSE)+0</f>
        <v>#REF!</v>
      </c>
      <c r="P66" s="26">
        <f ca="1">VLOOKUP($A66,[1]!LOOKUP_SARS_Unified2,P$3,FALSE)</f>
        <v>2606.6999999999998</v>
      </c>
      <c r="Q66" s="1">
        <f t="shared" ca="1" si="19"/>
        <v>3.83626807841332E-4</v>
      </c>
      <c r="R66" s="1">
        <v>1</v>
      </c>
      <c r="S66" s="37" t="e">
        <f t="shared" ca="1" si="26"/>
        <v>#REF!</v>
      </c>
      <c r="T66" s="73">
        <f t="shared" ca="1" si="27"/>
        <v>1065.1702779696568</v>
      </c>
      <c r="CL66" s="37"/>
      <c r="CM66" s="37"/>
      <c r="CN66" s="37"/>
      <c r="CO66" s="37"/>
      <c r="CP66" s="37"/>
      <c r="CQ66" s="37"/>
      <c r="CR66" s="37"/>
      <c r="CS66" s="37"/>
      <c r="CT66" s="63"/>
      <c r="CU66" s="62"/>
      <c r="CV66" s="19"/>
    </row>
    <row r="67" spans="1:100" s="1" customFormat="1" x14ac:dyDescent="0.25">
      <c r="A67" s="92" t="s">
        <v>181</v>
      </c>
      <c r="B67" s="66">
        <f ca="1">IFERROR(VLOOKUP($A67,[1]!LOOKUP_MDAPs,B$3,FALSE)/$G67,"")</f>
        <v>0</v>
      </c>
      <c r="C67" s="66">
        <f ca="1">IFERROR(VLOOKUP($A67,[1]!LOOKUP_MDAPs,C$3,FALSE)/$G67,"")</f>
        <v>0</v>
      </c>
      <c r="D67" s="66">
        <f ca="1">IFERROR(VLOOKUP($A67,[1]!LOOKUP_MDAPs,D$3,FALSE)/$G67,"")</f>
        <v>0</v>
      </c>
      <c r="E67" s="66">
        <f ca="1">IFERROR(VLOOKUP($A67,[1]!LOOKUP_MDAPs,E$3,FALSE)/$G67,"")</f>
        <v>0</v>
      </c>
      <c r="F67" s="66">
        <f ca="1">IFERROR(VLOOKUP($A67,[1]!LOOKUP_MDAPs,F$3,FALSE)/$G67,"")</f>
        <v>0</v>
      </c>
      <c r="G67" s="65">
        <f ca="1">IFERROR(VLOOKUP($A67,[1]!LOOKUP_MDAPs,G$3,FALSE),"")</f>
        <v>1450</v>
      </c>
      <c r="H67" s="64" t="e">
        <f ca="1">VLOOKUP($A67,[1]!LOOKUP_SARS_2009_Change_Breakdown2,H$3,FALSE)+0</f>
        <v>#N/A</v>
      </c>
      <c r="I67" s="64" t="e">
        <f ca="1">VLOOKUP($A67,[1]!LOOKUP_SARS_2009_Change_Breakdown2,I$3,FALSE)+0</f>
        <v>#N/A</v>
      </c>
      <c r="J67" s="64" t="e">
        <f ca="1">VLOOKUP($A67,[1]!LOOKUP_SARS_2009_Change_Breakdown2,J$3,FALSE)+0</f>
        <v>#N/A</v>
      </c>
      <c r="K67" s="64" t="e">
        <f ca="1">VLOOKUP($A67,[1]!LOOKUP_SARS_2009_Change_Breakdown2,K$3,FALSE)+0</f>
        <v>#N/A</v>
      </c>
      <c r="L67" s="64" t="e">
        <f ca="1">VLOOKUP($A67,[1]!LOOKUP_SARS_2009_Change_Breakdown2,L$3,FALSE)+0</f>
        <v>#N/A</v>
      </c>
      <c r="M67" s="64" t="e">
        <f ca="1">VLOOKUP($A67,[1]!LOOKUP_SARS_2009_Change_Breakdown2,M$3,FALSE)+0</f>
        <v>#N/A</v>
      </c>
      <c r="N67" s="64" t="e">
        <f ca="1">VLOOKUP($A67,[1]!LOOKUP_SARS_2009_Change_Breakdown2,N$3,FALSE)+0</f>
        <v>#N/A</v>
      </c>
      <c r="O67" s="64" t="e">
        <f ca="1">VLOOKUP($A67,[1]!LOOKUP_SARS_2009_Change_Breakdown2,O$3,FALSE)+0</f>
        <v>#N/A</v>
      </c>
      <c r="P67" s="26">
        <f ca="1">VLOOKUP($A67,[1]!LOOKUP_SARS_Unified2,P$3,FALSE)</f>
        <v>3892.3</v>
      </c>
      <c r="Q67" s="1">
        <f t="shared" ca="1" si="19"/>
        <v>2.5691750378953316E-4</v>
      </c>
      <c r="R67" s="1">
        <v>1</v>
      </c>
      <c r="S67" s="37" t="e">
        <f t="shared" ca="1" si="26"/>
        <v>#N/A</v>
      </c>
      <c r="T67" s="73">
        <f t="shared" ca="1" si="27"/>
        <v>0</v>
      </c>
      <c r="CL67" s="37"/>
      <c r="CM67" s="37"/>
      <c r="CN67" s="37"/>
      <c r="CO67" s="37"/>
      <c r="CP67" s="37"/>
      <c r="CQ67" s="37"/>
      <c r="CR67" s="37"/>
      <c r="CS67" s="37"/>
      <c r="CT67" s="63"/>
      <c r="CU67" s="62"/>
      <c r="CV67" s="19"/>
    </row>
    <row r="68" spans="1:100" s="1" customFormat="1" x14ac:dyDescent="0.25">
      <c r="A68" s="92" t="s">
        <v>78</v>
      </c>
      <c r="B68" s="66">
        <f ca="1">IFERROR(VLOOKUP($A68,[1]!LOOKUP_MDAPs,B$3,FALSE)/$G68,"")</f>
        <v>1.621271004723741E-2</v>
      </c>
      <c r="C68" s="66">
        <f ca="1">IFERROR(VLOOKUP($A68,[1]!LOOKUP_MDAPs,C$3,FALSE)/$G68,"")</f>
        <v>0</v>
      </c>
      <c r="D68" s="66">
        <f ca="1">IFERROR(VLOOKUP($A68,[1]!LOOKUP_MDAPs,D$3,FALSE)/$G68,"")</f>
        <v>5.1312297648744762E-4</v>
      </c>
      <c r="E68" s="66">
        <f ca="1">IFERROR(VLOOKUP($A68,[1]!LOOKUP_MDAPs,E$3,FALSE)/$G68,"")</f>
        <v>6.249398850910249E-2</v>
      </c>
      <c r="F68" s="66">
        <f ca="1">IFERROR(VLOOKUP($A68,[1]!LOOKUP_MDAPs,F$3,FALSE)/$G68,"")</f>
        <v>1.8904447746934876E-3</v>
      </c>
      <c r="G68" s="65">
        <f ca="1">IFERROR(VLOOKUP($A68,[1]!LOOKUP_MDAPs,G$3,FALSE),"")</f>
        <v>1884.1</v>
      </c>
      <c r="H68" s="64">
        <f ca="1">VLOOKUP($A68,[1]!LOOKUP_SARS_2009_Change_Breakdown2,H$3,FALSE)+0</f>
        <v>912.8</v>
      </c>
      <c r="I68" s="64" t="e">
        <f ca="1">VLOOKUP($A68,[1]!LOOKUP_SARS_2009_Change_Breakdown2,I$3,FALSE)+0</f>
        <v>#REF!</v>
      </c>
      <c r="J68" s="64" t="e">
        <f ca="1">VLOOKUP($A68,[1]!LOOKUP_SARS_2009_Change_Breakdown2,J$3,FALSE)+0</f>
        <v>#REF!</v>
      </c>
      <c r="K68" s="64" t="e">
        <f ca="1">VLOOKUP($A68,[1]!LOOKUP_SARS_2009_Change_Breakdown2,K$3,FALSE)+0</f>
        <v>#REF!</v>
      </c>
      <c r="L68" s="64" t="e">
        <f ca="1">VLOOKUP($A68,[1]!LOOKUP_SARS_2009_Change_Breakdown2,L$3,FALSE)+0</f>
        <v>#REF!</v>
      </c>
      <c r="M68" s="64" t="e">
        <f ca="1">VLOOKUP($A68,[1]!LOOKUP_SARS_2009_Change_Breakdown2,M$3,FALSE)+0</f>
        <v>#REF!</v>
      </c>
      <c r="N68" s="64" t="e">
        <f ca="1">VLOOKUP($A68,[1]!LOOKUP_SARS_2009_Change_Breakdown2,N$3,FALSE)+0</f>
        <v>#REF!</v>
      </c>
      <c r="O68" s="64" t="e">
        <f ca="1">VLOOKUP($A68,[1]!LOOKUP_SARS_2009_Change_Breakdown2,O$3,FALSE)+0</f>
        <v>#REF!</v>
      </c>
      <c r="P68" s="26">
        <f ca="1">VLOOKUP($A68,[1]!LOOKUP_SARS_Unified2,P$3,FALSE)</f>
        <v>7151</v>
      </c>
      <c r="Q68" s="1">
        <f t="shared" ca="1" si="19"/>
        <v>1.3984058173682003E-4</v>
      </c>
      <c r="R68" s="1">
        <v>1</v>
      </c>
      <c r="S68" s="37" t="e">
        <f t="shared" ca="1" si="26"/>
        <v>#REF!</v>
      </c>
      <c r="T68" s="73">
        <f t="shared" ca="1" si="27"/>
        <v>115.93708954779471</v>
      </c>
      <c r="CL68" s="37"/>
      <c r="CM68" s="37"/>
      <c r="CN68" s="37"/>
      <c r="CO68" s="37"/>
      <c r="CP68" s="37"/>
      <c r="CQ68" s="37"/>
      <c r="CR68" s="37"/>
      <c r="CS68" s="37"/>
      <c r="CT68" s="63"/>
      <c r="CU68" s="62"/>
      <c r="CV68" s="19"/>
    </row>
    <row r="69" spans="1:100" s="1" customFormat="1" x14ac:dyDescent="0.25">
      <c r="A69" s="92" t="s">
        <v>6</v>
      </c>
      <c r="B69" s="66">
        <f ca="1">IFERROR(VLOOKUP($A69,[1]!LOOKUP_MDAPs,B$3,FALSE)/$G69,"")</f>
        <v>0</v>
      </c>
      <c r="C69" s="66">
        <f ca="1">IFERROR(VLOOKUP($A69,[1]!LOOKUP_MDAPs,C$3,FALSE)/$G69,"")</f>
        <v>0</v>
      </c>
      <c r="D69" s="66">
        <f ca="1">IFERROR(VLOOKUP($A69,[1]!LOOKUP_MDAPs,D$3,FALSE)/$G69,"")</f>
        <v>0</v>
      </c>
      <c r="E69" s="66">
        <f ca="1">IFERROR(VLOOKUP($A69,[1]!LOOKUP_MDAPs,E$3,FALSE)/$G69,"")</f>
        <v>0</v>
      </c>
      <c r="F69" s="66">
        <f ca="1">IFERROR(VLOOKUP($A69,[1]!LOOKUP_MDAPs,F$3,FALSE)/$G69,"")</f>
        <v>0</v>
      </c>
      <c r="G69" s="65">
        <f ca="1">IFERROR(VLOOKUP($A69,[1]!LOOKUP_MDAPs,G$3,FALSE),"")</f>
        <v>35532.699999999997</v>
      </c>
      <c r="H69" s="64">
        <f ca="1">VLOOKUP($A69,[1]!LOOKUP_SARS_2009_Change_Breakdown2,H$3,FALSE)+0</f>
        <v>13876.6</v>
      </c>
      <c r="I69" s="64" t="e">
        <f ca="1">VLOOKUP($A69,[1]!LOOKUP_SARS_2009_Change_Breakdown2,I$3,FALSE)+0</f>
        <v>#REF!</v>
      </c>
      <c r="J69" s="64" t="e">
        <f ca="1">VLOOKUP($A69,[1]!LOOKUP_SARS_2009_Change_Breakdown2,J$3,FALSE)+0</f>
        <v>#REF!</v>
      </c>
      <c r="K69" s="64" t="e">
        <f ca="1">VLOOKUP($A69,[1]!LOOKUP_SARS_2009_Change_Breakdown2,K$3,FALSE)+0</f>
        <v>#REF!</v>
      </c>
      <c r="L69" s="64" t="e">
        <f ca="1">VLOOKUP($A69,[1]!LOOKUP_SARS_2009_Change_Breakdown2,L$3,FALSE)+0</f>
        <v>#REF!</v>
      </c>
      <c r="M69" s="64" t="e">
        <f ca="1">VLOOKUP($A69,[1]!LOOKUP_SARS_2009_Change_Breakdown2,M$3,FALSE)+0</f>
        <v>#REF!</v>
      </c>
      <c r="N69" s="64" t="e">
        <f ca="1">VLOOKUP($A69,[1]!LOOKUP_SARS_2009_Change_Breakdown2,N$3,FALSE)+0</f>
        <v>#REF!</v>
      </c>
      <c r="O69" s="64" t="e">
        <f ca="1">VLOOKUP($A69,[1]!LOOKUP_SARS_2009_Change_Breakdown2,O$3,FALSE)+0</f>
        <v>#REF!</v>
      </c>
      <c r="P69" s="26">
        <f ca="1">VLOOKUP($A69,[1]!LOOKUP_SARS_Unified2,P$3,FALSE)</f>
        <v>22415</v>
      </c>
      <c r="Q69" s="1">
        <f t="shared" ca="1" si="19"/>
        <v>4.4612982377871961E-5</v>
      </c>
      <c r="R69" s="1">
        <v>1</v>
      </c>
      <c r="S69" s="37" t="e">
        <f t="shared" ca="1" si="26"/>
        <v>#REF!</v>
      </c>
      <c r="T69" s="73">
        <f t="shared" ca="1" si="27"/>
        <v>0</v>
      </c>
      <c r="CL69" s="37"/>
      <c r="CM69" s="37"/>
      <c r="CN69" s="37"/>
      <c r="CO69" s="37"/>
      <c r="CP69" s="37"/>
      <c r="CQ69" s="37"/>
      <c r="CR69" s="37"/>
      <c r="CS69" s="37"/>
      <c r="CT69" s="63"/>
      <c r="CU69" s="62"/>
      <c r="CV69" s="19"/>
    </row>
    <row r="70" spans="1:100" s="1" customFormat="1" x14ac:dyDescent="0.25">
      <c r="A70" s="92" t="s">
        <v>182</v>
      </c>
      <c r="B70" s="66">
        <f ca="1">IFERROR(VLOOKUP($A70,[1]!LOOKUP_MDAPs,B$3,FALSE)/$G70,"")</f>
        <v>2.6109758362147413E-2</v>
      </c>
      <c r="C70" s="66">
        <f ca="1">IFERROR(VLOOKUP($A70,[1]!LOOKUP_MDAPs,C$3,FALSE)/$G70,"")</f>
        <v>0</v>
      </c>
      <c r="D70" s="66">
        <f ca="1">IFERROR(VLOOKUP($A70,[1]!LOOKUP_MDAPs,D$3,FALSE)/$G70,"")</f>
        <v>2.0025880764331209E-2</v>
      </c>
      <c r="E70" s="66">
        <f ca="1">IFERROR(VLOOKUP($A70,[1]!LOOKUP_MDAPs,E$3,FALSE)/$G70,"")</f>
        <v>8.5705255777979994E-2</v>
      </c>
      <c r="F70" s="66">
        <f ca="1">IFERROR(VLOOKUP($A70,[1]!LOOKUP_MDAPs,F$3,FALSE)/$G70,"")</f>
        <v>5.4544438580527745E-4</v>
      </c>
      <c r="G70" s="65">
        <f ca="1">IFERROR(VLOOKUP($A70,[1]!LOOKUP_MDAPs,G$3,FALSE),"")</f>
        <v>549.5</v>
      </c>
      <c r="H70" s="64" t="e">
        <f ca="1">VLOOKUP($A70,[1]!LOOKUP_SARS_2009_Change_Breakdown2,H$3,FALSE)+0</f>
        <v>#N/A</v>
      </c>
      <c r="I70" s="64" t="e">
        <f ca="1">VLOOKUP($A70,[1]!LOOKUP_SARS_2009_Change_Breakdown2,I$3,FALSE)+0</f>
        <v>#N/A</v>
      </c>
      <c r="J70" s="64" t="e">
        <f ca="1">VLOOKUP($A70,[1]!LOOKUP_SARS_2009_Change_Breakdown2,J$3,FALSE)+0</f>
        <v>#N/A</v>
      </c>
      <c r="K70" s="64" t="e">
        <f ca="1">VLOOKUP($A70,[1]!LOOKUP_SARS_2009_Change_Breakdown2,K$3,FALSE)+0</f>
        <v>#N/A</v>
      </c>
      <c r="L70" s="64" t="e">
        <f ca="1">VLOOKUP($A70,[1]!LOOKUP_SARS_2009_Change_Breakdown2,L$3,FALSE)+0</f>
        <v>#N/A</v>
      </c>
      <c r="M70" s="64" t="e">
        <f ca="1">VLOOKUP($A70,[1]!LOOKUP_SARS_2009_Change_Breakdown2,M$3,FALSE)+0</f>
        <v>#N/A</v>
      </c>
      <c r="N70" s="64" t="e">
        <f ca="1">VLOOKUP($A70,[1]!LOOKUP_SARS_2009_Change_Breakdown2,N$3,FALSE)+0</f>
        <v>#N/A</v>
      </c>
      <c r="O70" s="64" t="e">
        <f ca="1">VLOOKUP($A70,[1]!LOOKUP_SARS_2009_Change_Breakdown2,O$3,FALSE)+0</f>
        <v>#N/A</v>
      </c>
      <c r="P70" s="26">
        <f ca="1">VLOOKUP($A70,[1]!LOOKUP_SARS_Unified2,P$3,FALSE)</f>
        <v>1031.9000000000001</v>
      </c>
      <c r="Q70" s="1">
        <f t="shared" ca="1" si="19"/>
        <v>9.6908615175889123E-4</v>
      </c>
      <c r="R70" s="1">
        <v>1</v>
      </c>
      <c r="S70" s="37" t="e">
        <f t="shared" ca="1" si="26"/>
        <v>#N/A</v>
      </c>
      <c r="T70" s="73">
        <f t="shared" ca="1" si="27"/>
        <v>26.942659653899916</v>
      </c>
      <c r="CL70" s="37"/>
      <c r="CM70" s="37"/>
      <c r="CN70" s="37"/>
      <c r="CO70" s="37"/>
      <c r="CP70" s="37"/>
      <c r="CQ70" s="37"/>
      <c r="CR70" s="37"/>
      <c r="CS70" s="37"/>
      <c r="CT70" s="63"/>
      <c r="CU70" s="62"/>
      <c r="CV70" s="19"/>
    </row>
    <row r="71" spans="1:100" s="1" customFormat="1" x14ac:dyDescent="0.25">
      <c r="A71" s="92" t="s">
        <v>21</v>
      </c>
      <c r="B71" s="66">
        <f ca="1">IFERROR(VLOOKUP($A71,[1]!LOOKUP_MDAPs,B$3,FALSE)/$G71,"")</f>
        <v>0.64327204094848278</v>
      </c>
      <c r="C71" s="66">
        <f ca="1">IFERROR(VLOOKUP($A71,[1]!LOOKUP_MDAPs,C$3,FALSE)/$G71,"")</f>
        <v>-1.8375345848672625E-6</v>
      </c>
      <c r="D71" s="66">
        <f ca="1">IFERROR(VLOOKUP($A71,[1]!LOOKUP_MDAPs,D$3,FALSE)/$G71,"")</f>
        <v>5.2288775569935744E-3</v>
      </c>
      <c r="E71" s="66">
        <f ca="1">IFERROR(VLOOKUP($A71,[1]!LOOKUP_MDAPs,E$3,FALSE)/$G71,"")</f>
        <v>2.7784298730935447E-2</v>
      </c>
      <c r="F71" s="66">
        <f ca="1">IFERROR(VLOOKUP($A71,[1]!LOOKUP_MDAPs,F$3,FALSE)/$G71,"")</f>
        <v>-1.2214131205268332E-5</v>
      </c>
      <c r="G71" s="65">
        <f ca="1">IFERROR(VLOOKUP($A71,[1]!LOOKUP_MDAPs,G$3,FALSE),"")</f>
        <v>4373.3</v>
      </c>
      <c r="H71" s="64">
        <f ca="1">VLOOKUP($A71,[1]!LOOKUP_SARS_2009_Change_Breakdown2,H$3,FALSE)+0</f>
        <v>413.3</v>
      </c>
      <c r="I71" s="64" t="e">
        <f ca="1">VLOOKUP($A71,[1]!LOOKUP_SARS_2009_Change_Breakdown2,I$3,FALSE)+0</f>
        <v>#REF!</v>
      </c>
      <c r="J71" s="64" t="e">
        <f ca="1">VLOOKUP($A71,[1]!LOOKUP_SARS_2009_Change_Breakdown2,J$3,FALSE)+0</f>
        <v>#REF!</v>
      </c>
      <c r="K71" s="64" t="e">
        <f ca="1">VLOOKUP($A71,[1]!LOOKUP_SARS_2009_Change_Breakdown2,K$3,FALSE)+0</f>
        <v>#REF!</v>
      </c>
      <c r="L71" s="64" t="e">
        <f ca="1">VLOOKUP($A71,[1]!LOOKUP_SARS_2009_Change_Breakdown2,L$3,FALSE)+0</f>
        <v>#REF!</v>
      </c>
      <c r="M71" s="64" t="e">
        <f ca="1">VLOOKUP($A71,[1]!LOOKUP_SARS_2009_Change_Breakdown2,M$3,FALSE)+0</f>
        <v>#REF!</v>
      </c>
      <c r="N71" s="64" t="e">
        <f ca="1">VLOOKUP($A71,[1]!LOOKUP_SARS_2009_Change_Breakdown2,N$3,FALSE)+0</f>
        <v>#REF!</v>
      </c>
      <c r="O71" s="64" t="e">
        <f ca="1">VLOOKUP($A71,[1]!LOOKUP_SARS_2009_Change_Breakdown2,O$3,FALSE)+0</f>
        <v>#REF!</v>
      </c>
      <c r="P71" s="26">
        <f ca="1">VLOOKUP($A71,[1]!LOOKUP_SARS_Unified2,P$3,FALSE)</f>
        <v>5041.1000000000004</v>
      </c>
      <c r="Q71" s="1">
        <f t="shared" ca="1" si="19"/>
        <v>1.9836940350320364E-4</v>
      </c>
      <c r="R71" s="1">
        <v>1</v>
      </c>
      <c r="S71" s="37" t="e">
        <f t="shared" ca="1" si="26"/>
        <v>#REF!</v>
      </c>
      <c r="T71" s="73">
        <f t="shared" ca="1" si="27"/>
        <v>3242.798685625397</v>
      </c>
      <c r="CL71" s="37"/>
      <c r="CM71" s="37"/>
      <c r="CN71" s="37"/>
      <c r="CO71" s="37"/>
      <c r="CP71" s="37"/>
      <c r="CQ71" s="37"/>
      <c r="CR71" s="37"/>
      <c r="CS71" s="37"/>
      <c r="CT71" s="63"/>
      <c r="CU71" s="62"/>
      <c r="CV71" s="19"/>
    </row>
    <row r="72" spans="1:100" s="1" customFormat="1" x14ac:dyDescent="0.25">
      <c r="A72" s="92" t="s">
        <v>220</v>
      </c>
      <c r="B72" s="66">
        <f ca="1">IFERROR(VLOOKUP($A72,[1]!LOOKUP_MDAPs,B$3,FALSE)/$G72,"")</f>
        <v>0.99999651656951771</v>
      </c>
      <c r="C72" s="66">
        <f ca="1">IFERROR(VLOOKUP($A72,[1]!LOOKUP_MDAPs,C$3,FALSE)/$G72,"")</f>
        <v>0</v>
      </c>
      <c r="D72" s="66">
        <f ca="1">IFERROR(VLOOKUP($A72,[1]!LOOKUP_MDAPs,D$3,FALSE)/$G72,"")</f>
        <v>0</v>
      </c>
      <c r="E72" s="66">
        <f ca="1">IFERROR(VLOOKUP($A72,[1]!LOOKUP_MDAPs,E$3,FALSE)/$G72,"")</f>
        <v>0.88750527159146331</v>
      </c>
      <c r="F72" s="66">
        <f ca="1">IFERROR(VLOOKUP($A72,[1]!LOOKUP_MDAPs,F$3,FALSE)/$G72,"")</f>
        <v>0</v>
      </c>
      <c r="G72" s="65">
        <f ca="1">IFERROR(VLOOKUP($A72,[1]!LOOKUP_MDAPs,G$3,FALSE),"")</f>
        <v>0.86121999999999999</v>
      </c>
      <c r="H72" s="64" t="e">
        <f ca="1">VLOOKUP($A72,[1]!LOOKUP_SARS_2009_Change_Breakdown2,H$3,FALSE)+0</f>
        <v>#N/A</v>
      </c>
      <c r="I72" s="64" t="e">
        <f ca="1">VLOOKUP($A72,[1]!LOOKUP_SARS_2009_Change_Breakdown2,I$3,FALSE)+0</f>
        <v>#N/A</v>
      </c>
      <c r="J72" s="64" t="e">
        <f ca="1">VLOOKUP($A72,[1]!LOOKUP_SARS_2009_Change_Breakdown2,J$3,FALSE)+0</f>
        <v>#N/A</v>
      </c>
      <c r="K72" s="64" t="e">
        <f ca="1">VLOOKUP($A72,[1]!LOOKUP_SARS_2009_Change_Breakdown2,K$3,FALSE)+0</f>
        <v>#N/A</v>
      </c>
      <c r="L72" s="64" t="e">
        <f ca="1">VLOOKUP($A72,[1]!LOOKUP_SARS_2009_Change_Breakdown2,L$3,FALSE)+0</f>
        <v>#N/A</v>
      </c>
      <c r="M72" s="64" t="e">
        <f ca="1">VLOOKUP($A72,[1]!LOOKUP_SARS_2009_Change_Breakdown2,M$3,FALSE)+0</f>
        <v>#N/A</v>
      </c>
      <c r="N72" s="64" t="e">
        <f ca="1">VLOOKUP($A72,[1]!LOOKUP_SARS_2009_Change_Breakdown2,N$3,FALSE)+0</f>
        <v>#N/A</v>
      </c>
      <c r="O72" s="64" t="e">
        <f ca="1">VLOOKUP($A72,[1]!LOOKUP_SARS_2009_Change_Breakdown2,O$3,FALSE)+0</f>
        <v>#N/A</v>
      </c>
      <c r="P72" s="26">
        <f ca="1">VLOOKUP($A72,[1]!LOOKUP_SARS_Unified2,P$3,FALSE)</f>
        <v>1316.7</v>
      </c>
      <c r="Q72" s="1">
        <f t="shared" ca="1" si="19"/>
        <v>7.5947444368496995E-4</v>
      </c>
      <c r="R72" s="1">
        <v>1</v>
      </c>
      <c r="S72" s="37" t="e">
        <f t="shared" ca="1" si="26"/>
        <v>#N/A</v>
      </c>
      <c r="T72" s="73">
        <f t="shared" ca="1" si="27"/>
        <v>1316.695413367084</v>
      </c>
      <c r="CL72" s="37"/>
      <c r="CM72" s="37"/>
      <c r="CN72" s="37"/>
      <c r="CO72" s="37"/>
      <c r="CP72" s="37"/>
      <c r="CQ72" s="37"/>
      <c r="CR72" s="37"/>
      <c r="CS72" s="37"/>
      <c r="CT72" s="63"/>
      <c r="CU72" s="62"/>
      <c r="CV72" s="19"/>
    </row>
    <row r="73" spans="1:100" s="1" customFormat="1" x14ac:dyDescent="0.25">
      <c r="A73" s="92" t="s">
        <v>33</v>
      </c>
      <c r="B73" s="66">
        <f ca="1">IFERROR(VLOOKUP($A73,[1]!LOOKUP_MDAPs,B$3,FALSE)/$G73,"")</f>
        <v>0.87760165696294823</v>
      </c>
      <c r="C73" s="66">
        <f ca="1">IFERROR(VLOOKUP($A73,[1]!LOOKUP_MDAPs,C$3,FALSE)/$G73,"")</f>
        <v>1.9122665339994845E-2</v>
      </c>
      <c r="D73" s="66">
        <f ca="1">IFERROR(VLOOKUP($A73,[1]!LOOKUP_MDAPs,D$3,FALSE)/$G73,"")</f>
        <v>6.6598675024122089E-2</v>
      </c>
      <c r="E73" s="66">
        <f ca="1">IFERROR(VLOOKUP($A73,[1]!LOOKUP_MDAPs,E$3,FALSE)/$G73,"")</f>
        <v>0.67892230480413351</v>
      </c>
      <c r="F73" s="66">
        <f ca="1">IFERROR(VLOOKUP($A73,[1]!LOOKUP_MDAPs,F$3,FALSE)/$G73,"")</f>
        <v>3.2564125594712295E-3</v>
      </c>
      <c r="G73" s="65">
        <f ca="1">IFERROR(VLOOKUP($A73,[1]!LOOKUP_MDAPs,G$3,FALSE),"")</f>
        <v>507.89541244999992</v>
      </c>
      <c r="H73" s="64" t="e">
        <f ca="1">VLOOKUP($A73,[1]!LOOKUP_SARS_2009_Change_Breakdown2,H$3,FALSE)+0</f>
        <v>#N/A</v>
      </c>
      <c r="I73" s="64" t="e">
        <f ca="1">VLOOKUP($A73,[1]!LOOKUP_SARS_2009_Change_Breakdown2,I$3,FALSE)+0</f>
        <v>#N/A</v>
      </c>
      <c r="J73" s="64" t="e">
        <f ca="1">VLOOKUP($A73,[1]!LOOKUP_SARS_2009_Change_Breakdown2,J$3,FALSE)+0</f>
        <v>#N/A</v>
      </c>
      <c r="K73" s="64" t="e">
        <f ca="1">VLOOKUP($A73,[1]!LOOKUP_SARS_2009_Change_Breakdown2,K$3,FALSE)+0</f>
        <v>#N/A</v>
      </c>
      <c r="L73" s="64" t="e">
        <f ca="1">VLOOKUP($A73,[1]!LOOKUP_SARS_2009_Change_Breakdown2,L$3,FALSE)+0</f>
        <v>#N/A</v>
      </c>
      <c r="M73" s="64" t="e">
        <f ca="1">VLOOKUP($A73,[1]!LOOKUP_SARS_2009_Change_Breakdown2,M$3,FALSE)+0</f>
        <v>#N/A</v>
      </c>
      <c r="N73" s="64" t="e">
        <f ca="1">VLOOKUP($A73,[1]!LOOKUP_SARS_2009_Change_Breakdown2,N$3,FALSE)+0</f>
        <v>#N/A</v>
      </c>
      <c r="O73" s="64" t="e">
        <f ca="1">VLOOKUP($A73,[1]!LOOKUP_SARS_2009_Change_Breakdown2,O$3,FALSE)+0</f>
        <v>#N/A</v>
      </c>
      <c r="P73" s="26">
        <f ca="1">VLOOKUP($A73,[1]!LOOKUP_SARS_Unified2,P$3,FALSE)</f>
        <v>7873.5</v>
      </c>
      <c r="Q73" s="1">
        <f t="shared" ca="1" si="19"/>
        <v>1.2700831904489745E-4</v>
      </c>
      <c r="R73" s="1">
        <v>1</v>
      </c>
      <c r="S73" s="37" t="e">
        <f t="shared" ca="1" si="26"/>
        <v>#N/A</v>
      </c>
      <c r="T73" s="73">
        <f t="shared" ca="1" si="27"/>
        <v>6909.7966460977732</v>
      </c>
      <c r="CL73" s="37"/>
      <c r="CM73" s="37"/>
      <c r="CN73" s="37"/>
      <c r="CO73" s="37"/>
      <c r="CP73" s="37"/>
      <c r="CQ73" s="37"/>
      <c r="CR73" s="37"/>
      <c r="CS73" s="37"/>
      <c r="CT73" s="63"/>
      <c r="CU73" s="62"/>
      <c r="CV73" s="19"/>
    </row>
    <row r="74" spans="1:100" s="1" customFormat="1" x14ac:dyDescent="0.25">
      <c r="A74" s="92" t="s">
        <v>68</v>
      </c>
      <c r="B74" s="66">
        <f ca="1">IFERROR(VLOOKUP($A74,[1]!LOOKUP_MDAPs,B$3,FALSE)/$G74,"")</f>
        <v>0.62275474279395959</v>
      </c>
      <c r="C74" s="66">
        <f ca="1">IFERROR(VLOOKUP($A74,[1]!LOOKUP_MDAPs,C$3,FALSE)/$G74,"")</f>
        <v>-3.6014405762304921E-7</v>
      </c>
      <c r="D74" s="66">
        <f ca="1">IFERROR(VLOOKUP($A74,[1]!LOOKUP_MDAPs,D$3,FALSE)/$G74,"")</f>
        <v>0.19965876600113727</v>
      </c>
      <c r="E74" s="66">
        <f ca="1">IFERROR(VLOOKUP($A74,[1]!LOOKUP_MDAPs,E$3,FALSE)/$G74,"")</f>
        <v>9.0792241991533452E-3</v>
      </c>
      <c r="F74" s="66">
        <f ca="1">IFERROR(VLOOKUP($A74,[1]!LOOKUP_MDAPs,F$3,FALSE)/$G74,"")</f>
        <v>8.5220288115246089E-3</v>
      </c>
      <c r="G74" s="65">
        <f ca="1">IFERROR(VLOOKUP($A74,[1]!LOOKUP_MDAPs,G$3,FALSE),"")</f>
        <v>1582.7</v>
      </c>
      <c r="H74" s="64">
        <f ca="1">VLOOKUP($A74,[1]!LOOKUP_SARS_2009_Change_Breakdown2,H$3,FALSE)+0</f>
        <v>17.8</v>
      </c>
      <c r="I74" s="64" t="e">
        <f ca="1">VLOOKUP($A74,[1]!LOOKUP_SARS_2009_Change_Breakdown2,I$3,FALSE)+0</f>
        <v>#REF!</v>
      </c>
      <c r="J74" s="64" t="e">
        <f ca="1">VLOOKUP($A74,[1]!LOOKUP_SARS_2009_Change_Breakdown2,J$3,FALSE)+0</f>
        <v>#REF!</v>
      </c>
      <c r="K74" s="64" t="e">
        <f ca="1">VLOOKUP($A74,[1]!LOOKUP_SARS_2009_Change_Breakdown2,K$3,FALSE)+0</f>
        <v>#REF!</v>
      </c>
      <c r="L74" s="64" t="e">
        <f ca="1">VLOOKUP($A74,[1]!LOOKUP_SARS_2009_Change_Breakdown2,L$3,FALSE)+0</f>
        <v>#REF!</v>
      </c>
      <c r="M74" s="64" t="e">
        <f ca="1">VLOOKUP($A74,[1]!LOOKUP_SARS_2009_Change_Breakdown2,M$3,FALSE)+0</f>
        <v>#REF!</v>
      </c>
      <c r="N74" s="64" t="e">
        <f ca="1">VLOOKUP($A74,[1]!LOOKUP_SARS_2009_Change_Breakdown2,N$3,FALSE)+0</f>
        <v>#REF!</v>
      </c>
      <c r="O74" s="64" t="e">
        <f ca="1">VLOOKUP($A74,[1]!LOOKUP_SARS_2009_Change_Breakdown2,O$3,FALSE)+0</f>
        <v>#REF!</v>
      </c>
      <c r="P74" s="26">
        <f ca="1">VLOOKUP($A74,[1]!LOOKUP_SARS_Unified2,P$3,FALSE)</f>
        <v>19112.900000000001</v>
      </c>
      <c r="Q74" s="1">
        <f t="shared" ca="1" si="19"/>
        <v>5.2320683935980408E-5</v>
      </c>
      <c r="R74" s="1">
        <v>1</v>
      </c>
      <c r="S74" s="37" t="e">
        <f t="shared" ca="1" si="26"/>
        <v>#REF!</v>
      </c>
      <c r="T74" s="73">
        <f t="shared" ca="1" si="27"/>
        <v>11902.649123546671</v>
      </c>
      <c r="CL74" s="37"/>
      <c r="CM74" s="37"/>
      <c r="CN74" s="37"/>
      <c r="CO74" s="37"/>
      <c r="CP74" s="37"/>
      <c r="CQ74" s="37"/>
      <c r="CR74" s="37"/>
      <c r="CS74" s="37"/>
      <c r="CT74" s="63"/>
      <c r="CU74" s="62"/>
      <c r="CV74" s="19"/>
    </row>
    <row r="75" spans="1:100" s="1" customFormat="1" x14ac:dyDescent="0.25">
      <c r="A75" s="92" t="s">
        <v>76</v>
      </c>
      <c r="B75" s="66">
        <f ca="1">IFERROR(VLOOKUP($A75,[1]!LOOKUP_MDAPs,B$3,FALSE)/$G75,"")</f>
        <v>0</v>
      </c>
      <c r="C75" s="66">
        <f ca="1">IFERROR(VLOOKUP($A75,[1]!LOOKUP_MDAPs,C$3,FALSE)/$G75,"")</f>
        <v>0</v>
      </c>
      <c r="D75" s="66">
        <f ca="1">IFERROR(VLOOKUP($A75,[1]!LOOKUP_MDAPs,D$3,FALSE)/$G75,"")</f>
        <v>0</v>
      </c>
      <c r="E75" s="66">
        <f ca="1">IFERROR(VLOOKUP($A75,[1]!LOOKUP_MDAPs,E$3,FALSE)/$G75,"")</f>
        <v>0</v>
      </c>
      <c r="F75" s="66">
        <f ca="1">IFERROR(VLOOKUP($A75,[1]!LOOKUP_MDAPs,F$3,FALSE)/$G75,"")</f>
        <v>0</v>
      </c>
      <c r="G75" s="65">
        <f ca="1">IFERROR(VLOOKUP($A75,[1]!LOOKUP_MDAPs,G$3,FALSE),"")</f>
        <v>951</v>
      </c>
      <c r="H75" s="64">
        <f ca="1">VLOOKUP($A75,[1]!LOOKUP_SARS_2009_Change_Breakdown2,H$3,FALSE)+0</f>
        <v>-5476.6</v>
      </c>
      <c r="I75" s="64" t="e">
        <f ca="1">VLOOKUP($A75,[1]!LOOKUP_SARS_2009_Change_Breakdown2,I$3,FALSE)+0</f>
        <v>#REF!</v>
      </c>
      <c r="J75" s="64" t="e">
        <f ca="1">VLOOKUP($A75,[1]!LOOKUP_SARS_2009_Change_Breakdown2,J$3,FALSE)+0</f>
        <v>#REF!</v>
      </c>
      <c r="K75" s="64" t="e">
        <f ca="1">VLOOKUP($A75,[1]!LOOKUP_SARS_2009_Change_Breakdown2,K$3,FALSE)+0</f>
        <v>#REF!</v>
      </c>
      <c r="L75" s="64" t="e">
        <f ca="1">VLOOKUP($A75,[1]!LOOKUP_SARS_2009_Change_Breakdown2,L$3,FALSE)+0</f>
        <v>#REF!</v>
      </c>
      <c r="M75" s="64" t="e">
        <f ca="1">VLOOKUP($A75,[1]!LOOKUP_SARS_2009_Change_Breakdown2,M$3,FALSE)+0</f>
        <v>#REF!</v>
      </c>
      <c r="N75" s="64" t="e">
        <f ca="1">VLOOKUP($A75,[1]!LOOKUP_SARS_2009_Change_Breakdown2,N$3,FALSE)+0</f>
        <v>#REF!</v>
      </c>
      <c r="O75" s="64" t="e">
        <f ca="1">VLOOKUP($A75,[1]!LOOKUP_SARS_2009_Change_Breakdown2,O$3,FALSE)+0</f>
        <v>#REF!</v>
      </c>
      <c r="P75" s="26">
        <f ca="1">VLOOKUP($A75,[1]!LOOKUP_SARS_Unified2,P$3,FALSE)</f>
        <v>10717</v>
      </c>
      <c r="Q75" s="1">
        <f t="shared" ca="1" si="19"/>
        <v>9.3309694877297749E-5</v>
      </c>
      <c r="R75" s="1">
        <v>1</v>
      </c>
      <c r="S75" s="37" t="e">
        <f t="shared" ca="1" si="26"/>
        <v>#REF!</v>
      </c>
      <c r="T75" s="73">
        <f t="shared" ca="1" si="27"/>
        <v>0</v>
      </c>
      <c r="CL75" s="37"/>
      <c r="CM75" s="37"/>
      <c r="CN75" s="37"/>
      <c r="CO75" s="37"/>
      <c r="CP75" s="37"/>
      <c r="CQ75" s="37"/>
      <c r="CR75" s="37"/>
      <c r="CS75" s="37"/>
      <c r="CT75" s="63"/>
      <c r="CU75" s="62"/>
      <c r="CV75" s="19"/>
    </row>
    <row r="76" spans="1:100" s="1" customFormat="1" x14ac:dyDescent="0.25">
      <c r="A76" s="92" t="s">
        <v>70</v>
      </c>
      <c r="B76" s="66">
        <f ca="1">IFERROR(VLOOKUP($A76,[1]!LOOKUP_MDAPs,B$3,FALSE)/$G76,"")</f>
        <v>5.0457326119725705E-2</v>
      </c>
      <c r="C76" s="66">
        <f ca="1">IFERROR(VLOOKUP($A76,[1]!LOOKUP_MDAPs,C$3,FALSE)/$G76,"")</f>
        <v>4.5287384320751222E-3</v>
      </c>
      <c r="D76" s="66">
        <f ca="1">IFERROR(VLOOKUP($A76,[1]!LOOKUP_MDAPs,D$3,FALSE)/$G76,"")</f>
        <v>5.4808707981713722E-2</v>
      </c>
      <c r="E76" s="66">
        <f ca="1">IFERROR(VLOOKUP($A76,[1]!LOOKUP_MDAPs,E$3,FALSE)/$G76,"")</f>
        <v>0.27944418425897322</v>
      </c>
      <c r="F76" s="66">
        <f ca="1">IFERROR(VLOOKUP($A76,[1]!LOOKUP_MDAPs,F$3,FALSE)/$G76,"")</f>
        <v>4.9562331006363133E-2</v>
      </c>
      <c r="G76" s="65">
        <f ca="1">IFERROR(VLOOKUP($A76,[1]!LOOKUP_MDAPs,G$3,FALSE),"")</f>
        <v>1618.7</v>
      </c>
      <c r="H76" s="64">
        <f ca="1">VLOOKUP($A76,[1]!LOOKUP_SARS_2009_Change_Breakdown2,H$3,FALSE)+0</f>
        <v>1024.5999999999999</v>
      </c>
      <c r="I76" s="64" t="e">
        <f ca="1">VLOOKUP($A76,[1]!LOOKUP_SARS_2009_Change_Breakdown2,I$3,FALSE)+0</f>
        <v>#REF!</v>
      </c>
      <c r="J76" s="64" t="e">
        <f ca="1">VLOOKUP($A76,[1]!LOOKUP_SARS_2009_Change_Breakdown2,J$3,FALSE)+0</f>
        <v>#REF!</v>
      </c>
      <c r="K76" s="64" t="e">
        <f ca="1">VLOOKUP($A76,[1]!LOOKUP_SARS_2009_Change_Breakdown2,K$3,FALSE)+0</f>
        <v>#REF!</v>
      </c>
      <c r="L76" s="64" t="e">
        <f ca="1">VLOOKUP($A76,[1]!LOOKUP_SARS_2009_Change_Breakdown2,L$3,FALSE)+0</f>
        <v>#REF!</v>
      </c>
      <c r="M76" s="64" t="e">
        <f ca="1">VLOOKUP($A76,[1]!LOOKUP_SARS_2009_Change_Breakdown2,M$3,FALSE)+0</f>
        <v>#REF!</v>
      </c>
      <c r="N76" s="64" t="e">
        <f ca="1">VLOOKUP($A76,[1]!LOOKUP_SARS_2009_Change_Breakdown2,N$3,FALSE)+0</f>
        <v>#REF!</v>
      </c>
      <c r="O76" s="64" t="e">
        <f ca="1">VLOOKUP($A76,[1]!LOOKUP_SARS_2009_Change_Breakdown2,O$3,FALSE)+0</f>
        <v>#REF!</v>
      </c>
      <c r="P76" s="26">
        <f ca="1">VLOOKUP($A76,[1]!LOOKUP_SARS_Unified2,P$3,FALSE)</f>
        <v>914.4</v>
      </c>
      <c r="Q76" s="1">
        <f t="shared" ca="1" si="19"/>
        <v>1.0936132983377078E-3</v>
      </c>
      <c r="R76" s="1">
        <v>1</v>
      </c>
      <c r="S76" s="37" t="e">
        <f t="shared" ref="S76:S96" ca="1" si="30">SUM(O76)*Q76</f>
        <v>#REF!</v>
      </c>
      <c r="T76" s="73">
        <f t="shared" ref="T76:T96" ca="1" si="31">P76*B76</f>
        <v>46.138179003877184</v>
      </c>
      <c r="CL76" s="37"/>
      <c r="CM76" s="37"/>
      <c r="CN76" s="37"/>
      <c r="CO76" s="37"/>
      <c r="CP76" s="37"/>
      <c r="CQ76" s="37"/>
      <c r="CR76" s="37"/>
      <c r="CS76" s="37"/>
      <c r="CT76" s="63"/>
      <c r="CU76" s="62"/>
      <c r="CV76" s="19"/>
    </row>
    <row r="77" spans="1:100" s="1" customFormat="1" x14ac:dyDescent="0.25">
      <c r="A77" s="92" t="s">
        <v>45</v>
      </c>
      <c r="B77" s="66">
        <f ca="1">IFERROR(VLOOKUP($A77,[1]!LOOKUP_MDAPs,B$3,FALSE)/$G77,"")</f>
        <v>0</v>
      </c>
      <c r="C77" s="66">
        <f ca="1">IFERROR(VLOOKUP($A77,[1]!LOOKUP_MDAPs,C$3,FALSE)/$G77,"")</f>
        <v>0</v>
      </c>
      <c r="D77" s="66">
        <f ca="1">IFERROR(VLOOKUP($A77,[1]!LOOKUP_MDAPs,D$3,FALSE)/$G77,"")</f>
        <v>3.5707912250431355E-4</v>
      </c>
      <c r="E77" s="66">
        <f ca="1">IFERROR(VLOOKUP($A77,[1]!LOOKUP_MDAPs,E$3,FALSE)/$G77,"")</f>
        <v>0</v>
      </c>
      <c r="F77" s="66">
        <f ca="1">IFERROR(VLOOKUP($A77,[1]!LOOKUP_MDAPs,F$3,FALSE)/$G77,"")</f>
        <v>0</v>
      </c>
      <c r="G77" s="65">
        <f ca="1">IFERROR(VLOOKUP($A77,[1]!LOOKUP_MDAPs,G$3,FALSE),"")</f>
        <v>405.7</v>
      </c>
      <c r="H77" s="64">
        <f ca="1">VLOOKUP($A77,[1]!LOOKUP_SARS_2009_Change_Breakdown2,H$3,FALSE)+0</f>
        <v>49.4</v>
      </c>
      <c r="I77" s="64" t="e">
        <f ca="1">VLOOKUP($A77,[1]!LOOKUP_SARS_2009_Change_Breakdown2,I$3,FALSE)+0</f>
        <v>#REF!</v>
      </c>
      <c r="J77" s="64" t="e">
        <f ca="1">VLOOKUP($A77,[1]!LOOKUP_SARS_2009_Change_Breakdown2,J$3,FALSE)+0</f>
        <v>#REF!</v>
      </c>
      <c r="K77" s="64" t="e">
        <f ca="1">VLOOKUP($A77,[1]!LOOKUP_SARS_2009_Change_Breakdown2,K$3,FALSE)+0</f>
        <v>#REF!</v>
      </c>
      <c r="L77" s="64" t="e">
        <f ca="1">VLOOKUP($A77,[1]!LOOKUP_SARS_2009_Change_Breakdown2,L$3,FALSE)+0</f>
        <v>#REF!</v>
      </c>
      <c r="M77" s="64" t="e">
        <f ca="1">VLOOKUP($A77,[1]!LOOKUP_SARS_2009_Change_Breakdown2,M$3,FALSE)+0</f>
        <v>#REF!</v>
      </c>
      <c r="N77" s="64" t="e">
        <f ca="1">VLOOKUP($A77,[1]!LOOKUP_SARS_2009_Change_Breakdown2,N$3,FALSE)+0</f>
        <v>#REF!</v>
      </c>
      <c r="O77" s="64" t="e">
        <f ca="1">VLOOKUP($A77,[1]!LOOKUP_SARS_2009_Change_Breakdown2,O$3,FALSE)+0</f>
        <v>#REF!</v>
      </c>
      <c r="P77" s="26">
        <f ca="1">VLOOKUP($A77,[1]!LOOKUP_SARS_Unified2,P$3,FALSE)</f>
        <v>366</v>
      </c>
      <c r="Q77" s="1">
        <f t="shared" ref="Q77:Q115" ca="1" si="32">1/P77</f>
        <v>2.7322404371584699E-3</v>
      </c>
      <c r="R77" s="1">
        <v>1</v>
      </c>
      <c r="S77" s="37" t="e">
        <f t="shared" ca="1" si="30"/>
        <v>#REF!</v>
      </c>
      <c r="T77" s="73">
        <f t="shared" ca="1" si="31"/>
        <v>0</v>
      </c>
      <c r="CL77" s="37"/>
      <c r="CM77" s="37"/>
      <c r="CN77" s="37"/>
      <c r="CO77" s="37"/>
      <c r="CP77" s="37"/>
      <c r="CQ77" s="37"/>
      <c r="CR77" s="37"/>
      <c r="CS77" s="37"/>
      <c r="CT77" s="63"/>
      <c r="CU77" s="62"/>
      <c r="CV77" s="19"/>
    </row>
    <row r="78" spans="1:100" s="1" customFormat="1" x14ac:dyDescent="0.25">
      <c r="A78" s="92" t="s">
        <v>221</v>
      </c>
      <c r="B78" s="66">
        <f ca="1">IFERROR(VLOOKUP($A78,[1]!LOOKUP_MDAPs,B$3,FALSE)/$G78,"")</f>
        <v>0</v>
      </c>
      <c r="C78" s="66">
        <f ca="1">IFERROR(VLOOKUP($A78,[1]!LOOKUP_MDAPs,C$3,FALSE)/$G78,"")</f>
        <v>0</v>
      </c>
      <c r="D78" s="66">
        <f ca="1">IFERROR(VLOOKUP($A78,[1]!LOOKUP_MDAPs,D$3,FALSE)/$G78,"")</f>
        <v>0</v>
      </c>
      <c r="E78" s="66">
        <f ca="1">IFERROR(VLOOKUP($A78,[1]!LOOKUP_MDAPs,E$3,FALSE)/$G78,"")</f>
        <v>0</v>
      </c>
      <c r="F78" s="66">
        <f ca="1">IFERROR(VLOOKUP($A78,[1]!LOOKUP_MDAPs,F$3,FALSE)/$G78,"")</f>
        <v>0</v>
      </c>
      <c r="G78" s="65">
        <f ca="1">IFERROR(VLOOKUP($A78,[1]!LOOKUP_MDAPs,G$3,FALSE),"")</f>
        <v>671.4</v>
      </c>
      <c r="H78" s="64" t="e">
        <f ca="1">VLOOKUP($A78,[1]!LOOKUP_SARS_2009_Change_Breakdown2,H$3,FALSE)+0</f>
        <v>#N/A</v>
      </c>
      <c r="I78" s="64" t="e">
        <f ca="1">VLOOKUP($A78,[1]!LOOKUP_SARS_2009_Change_Breakdown2,I$3,FALSE)+0</f>
        <v>#N/A</v>
      </c>
      <c r="J78" s="64" t="e">
        <f ca="1">VLOOKUP($A78,[1]!LOOKUP_SARS_2009_Change_Breakdown2,J$3,FALSE)+0</f>
        <v>#N/A</v>
      </c>
      <c r="K78" s="64" t="e">
        <f ca="1">VLOOKUP($A78,[1]!LOOKUP_SARS_2009_Change_Breakdown2,K$3,FALSE)+0</f>
        <v>#N/A</v>
      </c>
      <c r="L78" s="64" t="e">
        <f ca="1">VLOOKUP($A78,[1]!LOOKUP_SARS_2009_Change_Breakdown2,L$3,FALSE)+0</f>
        <v>#N/A</v>
      </c>
      <c r="M78" s="64" t="e">
        <f ca="1">VLOOKUP($A78,[1]!LOOKUP_SARS_2009_Change_Breakdown2,M$3,FALSE)+0</f>
        <v>#N/A</v>
      </c>
      <c r="N78" s="64" t="e">
        <f ca="1">VLOOKUP($A78,[1]!LOOKUP_SARS_2009_Change_Breakdown2,N$3,FALSE)+0</f>
        <v>#N/A</v>
      </c>
      <c r="O78" s="64" t="e">
        <f ca="1">VLOOKUP($A78,[1]!LOOKUP_SARS_2009_Change_Breakdown2,O$3,FALSE)+0</f>
        <v>#N/A</v>
      </c>
      <c r="P78" s="26">
        <f ca="1">VLOOKUP($A78,[1]!LOOKUP_SARS_Unified2,P$3,FALSE)</f>
        <v>2844.4</v>
      </c>
      <c r="Q78" s="1">
        <f t="shared" ca="1" si="32"/>
        <v>3.515679932498945E-4</v>
      </c>
      <c r="R78" s="1">
        <v>1</v>
      </c>
      <c r="S78" s="37" t="e">
        <f t="shared" ca="1" si="30"/>
        <v>#N/A</v>
      </c>
      <c r="T78" s="73">
        <f t="shared" ca="1" si="31"/>
        <v>0</v>
      </c>
      <c r="CL78" s="37"/>
      <c r="CM78" s="37"/>
      <c r="CN78" s="37"/>
      <c r="CO78" s="37"/>
      <c r="CP78" s="37"/>
      <c r="CQ78" s="37"/>
      <c r="CR78" s="37"/>
      <c r="CS78" s="37"/>
      <c r="CT78" s="63"/>
      <c r="CU78" s="62"/>
      <c r="CV78" s="19"/>
    </row>
    <row r="79" spans="1:100" s="1" customFormat="1" x14ac:dyDescent="0.25">
      <c r="A79" s="92" t="s">
        <v>62</v>
      </c>
      <c r="B79" s="66">
        <f ca="1">IFERROR(VLOOKUP($A79,[1]!LOOKUP_MDAPs,B$3,FALSE)/$G79,"")</f>
        <v>3.9191730605926574E-3</v>
      </c>
      <c r="C79" s="66">
        <f ca="1">IFERROR(VLOOKUP($A79,[1]!LOOKUP_MDAPs,C$3,FALSE)/$G79,"")</f>
        <v>0</v>
      </c>
      <c r="D79" s="66">
        <f ca="1">IFERROR(VLOOKUP($A79,[1]!LOOKUP_MDAPs,D$3,FALSE)/$G79,"")</f>
        <v>0</v>
      </c>
      <c r="E79" s="66">
        <f ca="1">IFERROR(VLOOKUP($A79,[1]!LOOKUP_MDAPs,E$3,FALSE)/$G79,"")</f>
        <v>7.6070820654577626E-2</v>
      </c>
      <c r="F79" s="66">
        <f ca="1">IFERROR(VLOOKUP($A79,[1]!LOOKUP_MDAPs,F$3,FALSE)/$G79,"")</f>
        <v>0.17300046815568335</v>
      </c>
      <c r="G79" s="65">
        <f ca="1">IFERROR(VLOOKUP($A79,[1]!LOOKUP_MDAPs,G$3,FALSE),"")</f>
        <v>4522</v>
      </c>
      <c r="H79" s="64">
        <f ca="1">VLOOKUP($A79,[1]!LOOKUP_SARS_2009_Change_Breakdown2,H$3,FALSE)+0</f>
        <v>3733.3</v>
      </c>
      <c r="I79" s="64" t="e">
        <f ca="1">VLOOKUP($A79,[1]!LOOKUP_SARS_2009_Change_Breakdown2,I$3,FALSE)+0</f>
        <v>#REF!</v>
      </c>
      <c r="J79" s="64" t="e">
        <f ca="1">VLOOKUP($A79,[1]!LOOKUP_SARS_2009_Change_Breakdown2,J$3,FALSE)+0</f>
        <v>#REF!</v>
      </c>
      <c r="K79" s="64" t="e">
        <f ca="1">VLOOKUP($A79,[1]!LOOKUP_SARS_2009_Change_Breakdown2,K$3,FALSE)+0</f>
        <v>#REF!</v>
      </c>
      <c r="L79" s="64" t="e">
        <f ca="1">VLOOKUP($A79,[1]!LOOKUP_SARS_2009_Change_Breakdown2,L$3,FALSE)+0</f>
        <v>#REF!</v>
      </c>
      <c r="M79" s="64" t="e">
        <f ca="1">VLOOKUP($A79,[1]!LOOKUP_SARS_2009_Change_Breakdown2,M$3,FALSE)+0</f>
        <v>#REF!</v>
      </c>
      <c r="N79" s="64" t="e">
        <f ca="1">VLOOKUP($A79,[1]!LOOKUP_SARS_2009_Change_Breakdown2,N$3,FALSE)+0</f>
        <v>#REF!</v>
      </c>
      <c r="O79" s="64" t="e">
        <f ca="1">VLOOKUP($A79,[1]!LOOKUP_SARS_2009_Change_Breakdown2,O$3,FALSE)+0</f>
        <v>#REF!</v>
      </c>
      <c r="P79" s="26">
        <f ca="1">VLOOKUP($A79,[1]!LOOKUP_SARS_Unified2,P$3,FALSE)</f>
        <v>3093.5</v>
      </c>
      <c r="Q79" s="1">
        <f t="shared" ca="1" si="32"/>
        <v>3.2325844512687892E-4</v>
      </c>
      <c r="R79" s="1">
        <v>1</v>
      </c>
      <c r="S79" s="37" t="e">
        <f t="shared" ca="1" si="30"/>
        <v>#REF!</v>
      </c>
      <c r="T79" s="73">
        <f t="shared" ca="1" si="31"/>
        <v>12.123961862943386</v>
      </c>
      <c r="CL79" s="37"/>
      <c r="CM79" s="37"/>
      <c r="CN79" s="37"/>
      <c r="CO79" s="37"/>
      <c r="CP79" s="37"/>
      <c r="CQ79" s="37"/>
      <c r="CR79" s="37"/>
      <c r="CS79" s="37"/>
      <c r="CT79" s="63"/>
      <c r="CU79" s="62"/>
      <c r="CV79" s="19"/>
    </row>
    <row r="80" spans="1:100" s="1" customFormat="1" x14ac:dyDescent="0.25">
      <c r="A80" s="92" t="s">
        <v>245</v>
      </c>
      <c r="B80" s="66">
        <f ca="1">IFERROR(VLOOKUP($A80,[1]!LOOKUP_MDAPs,B$3,FALSE)/$G80,"")</f>
        <v>3.9638508885999138E-4</v>
      </c>
      <c r="C80" s="66">
        <f ca="1">IFERROR(VLOOKUP($A80,[1]!LOOKUP_MDAPs,C$3,FALSE)/$G80,"")</f>
        <v>0</v>
      </c>
      <c r="D80" s="66">
        <f ca="1">IFERROR(VLOOKUP($A80,[1]!LOOKUP_MDAPs,D$3,FALSE)/$G80,"")</f>
        <v>5.6226480809740001E-4</v>
      </c>
      <c r="E80" s="66">
        <f ca="1">IFERROR(VLOOKUP($A80,[1]!LOOKUP_MDAPs,E$3,FALSE)/$G80,"")</f>
        <v>5.3654126647350925E-4</v>
      </c>
      <c r="F80" s="66">
        <f ca="1">IFERROR(VLOOKUP($A80,[1]!LOOKUP_MDAPs,F$3,FALSE)/$G80,"")</f>
        <v>0</v>
      </c>
      <c r="G80" s="65">
        <f ca="1">IFERROR(VLOOKUP($A80,[1]!LOOKUP_MDAPs,G$3,FALSE),"")</f>
        <v>13149.9</v>
      </c>
      <c r="H80" s="64" t="e">
        <f ca="1">VLOOKUP($A80,[1]!LOOKUP_SARS_2009_Change_Breakdown2,H$3,FALSE)+0</f>
        <v>#N/A</v>
      </c>
      <c r="I80" s="64" t="e">
        <f ca="1">VLOOKUP($A80,[1]!LOOKUP_SARS_2009_Change_Breakdown2,I$3,FALSE)+0</f>
        <v>#N/A</v>
      </c>
      <c r="J80" s="64" t="e">
        <f ca="1">VLOOKUP($A80,[1]!LOOKUP_SARS_2009_Change_Breakdown2,J$3,FALSE)+0</f>
        <v>#N/A</v>
      </c>
      <c r="K80" s="64" t="e">
        <f ca="1">VLOOKUP($A80,[1]!LOOKUP_SARS_2009_Change_Breakdown2,K$3,FALSE)+0</f>
        <v>#N/A</v>
      </c>
      <c r="L80" s="64" t="e">
        <f ca="1">VLOOKUP($A80,[1]!LOOKUP_SARS_2009_Change_Breakdown2,L$3,FALSE)+0</f>
        <v>#N/A</v>
      </c>
      <c r="M80" s="64" t="e">
        <f ca="1">VLOOKUP($A80,[1]!LOOKUP_SARS_2009_Change_Breakdown2,M$3,FALSE)+0</f>
        <v>#N/A</v>
      </c>
      <c r="N80" s="64" t="e">
        <f ca="1">VLOOKUP($A80,[1]!LOOKUP_SARS_2009_Change_Breakdown2,N$3,FALSE)+0</f>
        <v>#N/A</v>
      </c>
      <c r="O80" s="64" t="e">
        <f ca="1">VLOOKUP($A80,[1]!LOOKUP_SARS_2009_Change_Breakdown2,O$3,FALSE)+0</f>
        <v>#N/A</v>
      </c>
      <c r="P80" s="26">
        <f ca="1">VLOOKUP($A80,[1]!LOOKUP_SARS_Unified2,P$3,FALSE)</f>
        <v>7027.8</v>
      </c>
      <c r="Q80" s="1">
        <f t="shared" ca="1" si="32"/>
        <v>1.4229204018327215E-4</v>
      </c>
      <c r="R80" s="1">
        <v>1</v>
      </c>
      <c r="S80" s="37" t="e">
        <f t="shared" ca="1" si="30"/>
        <v>#N/A</v>
      </c>
      <c r="T80" s="73">
        <f t="shared" ca="1" si="31"/>
        <v>2.7857151274902474</v>
      </c>
      <c r="CL80" s="37"/>
      <c r="CM80" s="37"/>
      <c r="CN80" s="37"/>
      <c r="CO80" s="37"/>
      <c r="CP80" s="37"/>
      <c r="CQ80" s="37"/>
      <c r="CR80" s="37"/>
      <c r="CS80" s="37"/>
      <c r="CT80" s="63"/>
      <c r="CU80" s="62"/>
      <c r="CV80" s="19"/>
    </row>
    <row r="81" spans="1:100" s="1" customFormat="1" x14ac:dyDescent="0.25">
      <c r="A81" s="92" t="s">
        <v>37</v>
      </c>
      <c r="B81" s="66">
        <f ca="1">IFERROR(VLOOKUP($A81,[1]!LOOKUP_MDAPs,B$3,FALSE)/$G81,"")</f>
        <v>0.15202421034161154</v>
      </c>
      <c r="C81" s="66">
        <f ca="1">IFERROR(VLOOKUP($A81,[1]!LOOKUP_MDAPs,C$3,FALSE)/$G81,"")</f>
        <v>0</v>
      </c>
      <c r="D81" s="66">
        <f ca="1">IFERROR(VLOOKUP($A81,[1]!LOOKUP_MDAPs,D$3,FALSE)/$G81,"")</f>
        <v>6.8431677620911218E-3</v>
      </c>
      <c r="E81" s="66">
        <f ca="1">IFERROR(VLOOKUP($A81,[1]!LOOKUP_MDAPs,E$3,FALSE)/$G81,"")</f>
        <v>2.3943341487753435E-2</v>
      </c>
      <c r="F81" s="66">
        <f ca="1">IFERROR(VLOOKUP($A81,[1]!LOOKUP_MDAPs,F$3,FALSE)/$G81,"")</f>
        <v>6.5873606665813267E-2</v>
      </c>
      <c r="G81" s="65">
        <f ca="1">IFERROR(VLOOKUP($A81,[1]!LOOKUP_MDAPs,G$3,FALSE),"")</f>
        <v>16404.599999999999</v>
      </c>
      <c r="H81" s="64">
        <f ca="1">VLOOKUP($A81,[1]!LOOKUP_SARS_2009_Change_Breakdown2,H$3,FALSE)+0</f>
        <v>7897.4</v>
      </c>
      <c r="I81" s="64" t="e">
        <f ca="1">VLOOKUP($A81,[1]!LOOKUP_SARS_2009_Change_Breakdown2,I$3,FALSE)+0</f>
        <v>#REF!</v>
      </c>
      <c r="J81" s="64" t="e">
        <f ca="1">VLOOKUP($A81,[1]!LOOKUP_SARS_2009_Change_Breakdown2,J$3,FALSE)+0</f>
        <v>#REF!</v>
      </c>
      <c r="K81" s="64" t="e">
        <f ca="1">VLOOKUP($A81,[1]!LOOKUP_SARS_2009_Change_Breakdown2,K$3,FALSE)+0</f>
        <v>#REF!</v>
      </c>
      <c r="L81" s="64" t="e">
        <f ca="1">VLOOKUP($A81,[1]!LOOKUP_SARS_2009_Change_Breakdown2,L$3,FALSE)+0</f>
        <v>#REF!</v>
      </c>
      <c r="M81" s="64" t="e">
        <f ca="1">VLOOKUP($A81,[1]!LOOKUP_SARS_2009_Change_Breakdown2,M$3,FALSE)+0</f>
        <v>#REF!</v>
      </c>
      <c r="N81" s="64" t="e">
        <f ca="1">VLOOKUP($A81,[1]!LOOKUP_SARS_2009_Change_Breakdown2,N$3,FALSE)+0</f>
        <v>#REF!</v>
      </c>
      <c r="O81" s="64" t="e">
        <f ca="1">VLOOKUP($A81,[1]!LOOKUP_SARS_2009_Change_Breakdown2,O$3,FALSE)+0</f>
        <v>#REF!</v>
      </c>
      <c r="P81" s="26">
        <f ca="1">VLOOKUP($A81,[1]!LOOKUP_SARS_Unified2,P$3,FALSE)</f>
        <v>10761.8</v>
      </c>
      <c r="Q81" s="1">
        <f t="shared" ca="1" si="32"/>
        <v>9.2921258525525477E-5</v>
      </c>
      <c r="R81" s="1">
        <v>1</v>
      </c>
      <c r="S81" s="37" t="e">
        <f t="shared" ca="1" si="30"/>
        <v>#REF!</v>
      </c>
      <c r="T81" s="73">
        <f t="shared" ca="1" si="31"/>
        <v>1636.0541468543549</v>
      </c>
      <c r="CL81" s="37"/>
      <c r="CM81" s="37"/>
      <c r="CN81" s="37"/>
      <c r="CO81" s="37"/>
      <c r="CP81" s="37"/>
      <c r="CQ81" s="37"/>
      <c r="CR81" s="37"/>
      <c r="CS81" s="37"/>
      <c r="CT81" s="63"/>
      <c r="CU81" s="62"/>
      <c r="CV81" s="19"/>
    </row>
    <row r="82" spans="1:100" s="18" customFormat="1" ht="12.75" customHeight="1" x14ac:dyDescent="0.25">
      <c r="A82" s="92" t="s">
        <v>58</v>
      </c>
      <c r="B82" s="66">
        <f ca="1">IFERROR(VLOOKUP($A82,[1]!LOOKUP_MDAPs,B$3,FALSE)/$G82,"")</f>
        <v>0.79489257568594007</v>
      </c>
      <c r="C82" s="66">
        <f ca="1">IFERROR(VLOOKUP($A82,[1]!LOOKUP_MDAPs,C$3,FALSE)/$G82,"")</f>
        <v>0</v>
      </c>
      <c r="D82" s="66">
        <f ca="1">IFERROR(VLOOKUP($A82,[1]!LOOKUP_MDAPs,D$3,FALSE)/$G82,"")</f>
        <v>0</v>
      </c>
      <c r="E82" s="66">
        <f ca="1">IFERROR(VLOOKUP($A82,[1]!LOOKUP_MDAPs,E$3,FALSE)/$G82,"")</f>
        <v>0</v>
      </c>
      <c r="F82" s="66">
        <f ca="1">IFERROR(VLOOKUP($A82,[1]!LOOKUP_MDAPs,F$3,FALSE)/$G82,"")</f>
        <v>0</v>
      </c>
      <c r="G82" s="65">
        <f ca="1">IFERROR(VLOOKUP($A82,[1]!LOOKUP_MDAPs,G$3,FALSE),"")</f>
        <v>1290.2</v>
      </c>
      <c r="H82" s="64">
        <f ca="1">VLOOKUP($A82,[1]!LOOKUP_SARS_2009_Change_Breakdown2,H$3,FALSE)+0</f>
        <v>120.6</v>
      </c>
      <c r="I82" s="64" t="e">
        <f ca="1">VLOOKUP($A82,[1]!LOOKUP_SARS_2009_Change_Breakdown2,I$3,FALSE)+0</f>
        <v>#REF!</v>
      </c>
      <c r="J82" s="64" t="e">
        <f ca="1">VLOOKUP($A82,[1]!LOOKUP_SARS_2009_Change_Breakdown2,J$3,FALSE)+0</f>
        <v>#REF!</v>
      </c>
      <c r="K82" s="64" t="e">
        <f ca="1">VLOOKUP($A82,[1]!LOOKUP_SARS_2009_Change_Breakdown2,K$3,FALSE)+0</f>
        <v>#REF!</v>
      </c>
      <c r="L82" s="64" t="e">
        <f ca="1">VLOOKUP($A82,[1]!LOOKUP_SARS_2009_Change_Breakdown2,L$3,FALSE)+0</f>
        <v>#REF!</v>
      </c>
      <c r="M82" s="64" t="e">
        <f ca="1">VLOOKUP($A82,[1]!LOOKUP_SARS_2009_Change_Breakdown2,M$3,FALSE)+0</f>
        <v>#REF!</v>
      </c>
      <c r="N82" s="64" t="e">
        <f ca="1">VLOOKUP($A82,[1]!LOOKUP_SARS_2009_Change_Breakdown2,N$3,FALSE)+0</f>
        <v>#REF!</v>
      </c>
      <c r="O82" s="64" t="e">
        <f ca="1">VLOOKUP($A82,[1]!LOOKUP_SARS_2009_Change_Breakdown2,O$3,FALSE)+0</f>
        <v>#REF!</v>
      </c>
      <c r="P82" s="26">
        <f ca="1">VLOOKUP($A82,[1]!LOOKUP_SARS_Unified2,P$3,FALSE)</f>
        <v>1883</v>
      </c>
      <c r="Q82" s="1">
        <f t="shared" ca="1" si="32"/>
        <v>5.3106744556558679E-4</v>
      </c>
      <c r="R82" s="1">
        <v>1</v>
      </c>
      <c r="S82" s="37" t="e">
        <f t="shared" ca="1" si="30"/>
        <v>#REF!</v>
      </c>
      <c r="T82" s="73">
        <f t="shared" ca="1" si="31"/>
        <v>1496.7827200166253</v>
      </c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37"/>
      <c r="CM82" s="37"/>
      <c r="CN82" s="37"/>
      <c r="CO82" s="37"/>
      <c r="CP82" s="37"/>
      <c r="CQ82" s="37"/>
      <c r="CR82" s="37"/>
      <c r="CS82" s="37"/>
      <c r="CT82" s="63"/>
      <c r="CU82" s="62"/>
      <c r="CV82" s="19"/>
    </row>
    <row r="83" spans="1:100" s="1" customFormat="1" x14ac:dyDescent="0.25">
      <c r="A83" s="92" t="s">
        <v>41</v>
      </c>
      <c r="B83" s="66">
        <f ca="1">IFERROR(VLOOKUP($A83,[1]!LOOKUP_MDAPs,B$3,FALSE)/$G83,"")</f>
        <v>0.28277345396819936</v>
      </c>
      <c r="C83" s="66">
        <f ca="1">IFERROR(VLOOKUP($A83,[1]!LOOKUP_MDAPs,C$3,FALSE)/$G83,"")</f>
        <v>3.1506076968050354E-5</v>
      </c>
      <c r="D83" s="66">
        <f ca="1">IFERROR(VLOOKUP($A83,[1]!LOOKUP_MDAPs,D$3,FALSE)/$G83,"")</f>
        <v>1.650123537733145E-2</v>
      </c>
      <c r="E83" s="66">
        <f ca="1">IFERROR(VLOOKUP($A83,[1]!LOOKUP_MDAPs,E$3,FALSE)/$G83,"")</f>
        <v>5.5594791147642472E-2</v>
      </c>
      <c r="F83" s="66">
        <f ca="1">IFERROR(VLOOKUP($A83,[1]!LOOKUP_MDAPs,F$3,FALSE)/$G83,"")</f>
        <v>1.9274627139434375E-4</v>
      </c>
      <c r="G83" s="65">
        <f ca="1">IFERROR(VLOOKUP($A83,[1]!LOOKUP_MDAPs,G$3,FALSE),"")</f>
        <v>8723.1</v>
      </c>
      <c r="H83" s="64">
        <f ca="1">VLOOKUP($A83,[1]!LOOKUP_SARS_2009_Change_Breakdown2,H$3,FALSE)+0</f>
        <v>2816.3</v>
      </c>
      <c r="I83" s="64" t="e">
        <f ca="1">VLOOKUP($A83,[1]!LOOKUP_SARS_2009_Change_Breakdown2,I$3,FALSE)+0</f>
        <v>#REF!</v>
      </c>
      <c r="J83" s="64" t="e">
        <f ca="1">VLOOKUP($A83,[1]!LOOKUP_SARS_2009_Change_Breakdown2,J$3,FALSE)+0</f>
        <v>#REF!</v>
      </c>
      <c r="K83" s="64" t="e">
        <f ca="1">VLOOKUP($A83,[1]!LOOKUP_SARS_2009_Change_Breakdown2,K$3,FALSE)+0</f>
        <v>#REF!</v>
      </c>
      <c r="L83" s="64" t="e">
        <f ca="1">VLOOKUP($A83,[1]!LOOKUP_SARS_2009_Change_Breakdown2,L$3,FALSE)+0</f>
        <v>#REF!</v>
      </c>
      <c r="M83" s="64" t="e">
        <f ca="1">VLOOKUP($A83,[1]!LOOKUP_SARS_2009_Change_Breakdown2,M$3,FALSE)+0</f>
        <v>#REF!</v>
      </c>
      <c r="N83" s="64" t="e">
        <f ca="1">VLOOKUP($A83,[1]!LOOKUP_SARS_2009_Change_Breakdown2,N$3,FALSE)+0</f>
        <v>#REF!</v>
      </c>
      <c r="O83" s="64" t="e">
        <f ca="1">VLOOKUP($A83,[1]!LOOKUP_SARS_2009_Change_Breakdown2,O$3,FALSE)+0</f>
        <v>#REF!</v>
      </c>
      <c r="P83" s="26">
        <f ca="1">VLOOKUP($A83,[1]!LOOKUP_SARS_Unified2,P$3,FALSE)</f>
        <v>11424.7</v>
      </c>
      <c r="Q83" s="1">
        <f t="shared" ca="1" si="32"/>
        <v>8.7529650669164173E-5</v>
      </c>
      <c r="R83" s="1">
        <v>1</v>
      </c>
      <c r="S83" s="37" t="e">
        <f t="shared" ca="1" si="30"/>
        <v>#REF!</v>
      </c>
      <c r="T83" s="73">
        <f t="shared" ca="1" si="31"/>
        <v>3230.6018795504874</v>
      </c>
      <c r="CL83" s="37"/>
      <c r="CM83" s="37"/>
      <c r="CN83" s="37"/>
      <c r="CO83" s="37"/>
      <c r="CP83" s="37"/>
      <c r="CQ83" s="37"/>
      <c r="CR83" s="37"/>
      <c r="CS83" s="37"/>
      <c r="CT83" s="63"/>
      <c r="CU83" s="62"/>
      <c r="CV83" s="19"/>
    </row>
    <row r="84" spans="1:100" s="1" customFormat="1" x14ac:dyDescent="0.25">
      <c r="A84" s="92" t="s">
        <v>44</v>
      </c>
      <c r="B84" s="66">
        <f ca="1">IFERROR(VLOOKUP($A84,[1]!LOOKUP_MDAPs,B$3,FALSE)/$G84,"")</f>
        <v>0.1572108104282206</v>
      </c>
      <c r="C84" s="66">
        <f ca="1">IFERROR(VLOOKUP($A84,[1]!LOOKUP_MDAPs,C$3,FALSE)/$G84,"")</f>
        <v>6.6464159903719486E-3</v>
      </c>
      <c r="D84" s="66">
        <f ca="1">IFERROR(VLOOKUP($A84,[1]!LOOKUP_MDAPs,D$3,FALSE)/$G84,"")</f>
        <v>2.2021926877226084E-2</v>
      </c>
      <c r="E84" s="66">
        <f ca="1">IFERROR(VLOOKUP($A84,[1]!LOOKUP_MDAPs,E$3,FALSE)/$G84,"")</f>
        <v>5.5154637009449149E-2</v>
      </c>
      <c r="F84" s="66">
        <f ca="1">IFERROR(VLOOKUP($A84,[1]!LOOKUP_MDAPs,F$3,FALSE)/$G84,"")</f>
        <v>7.3279019304893726E-3</v>
      </c>
      <c r="G84" s="65">
        <f ca="1">IFERROR(VLOOKUP($A84,[1]!LOOKUP_MDAPs,G$3,FALSE),"")</f>
        <v>6148.7</v>
      </c>
      <c r="H84" s="64">
        <f ca="1">VLOOKUP($A84,[1]!LOOKUP_SARS_2009_Change_Breakdown2,H$3,FALSE)+0</f>
        <v>1881.9</v>
      </c>
      <c r="I84" s="64" t="e">
        <f ca="1">VLOOKUP($A84,[1]!LOOKUP_SARS_2009_Change_Breakdown2,I$3,FALSE)+0</f>
        <v>#REF!</v>
      </c>
      <c r="J84" s="64" t="e">
        <f ca="1">VLOOKUP($A84,[1]!LOOKUP_SARS_2009_Change_Breakdown2,J$3,FALSE)+0</f>
        <v>#REF!</v>
      </c>
      <c r="K84" s="64" t="e">
        <f ca="1">VLOOKUP($A84,[1]!LOOKUP_SARS_2009_Change_Breakdown2,K$3,FALSE)+0</f>
        <v>#REF!</v>
      </c>
      <c r="L84" s="64" t="e">
        <f ca="1">VLOOKUP($A84,[1]!LOOKUP_SARS_2009_Change_Breakdown2,L$3,FALSE)+0</f>
        <v>#REF!</v>
      </c>
      <c r="M84" s="64" t="e">
        <f ca="1">VLOOKUP($A84,[1]!LOOKUP_SARS_2009_Change_Breakdown2,M$3,FALSE)+0</f>
        <v>#REF!</v>
      </c>
      <c r="N84" s="64" t="e">
        <f ca="1">VLOOKUP($A84,[1]!LOOKUP_SARS_2009_Change_Breakdown2,N$3,FALSE)+0</f>
        <v>#REF!</v>
      </c>
      <c r="O84" s="64" t="e">
        <f ca="1">VLOOKUP($A84,[1]!LOOKUP_SARS_2009_Change_Breakdown2,O$3,FALSE)+0</f>
        <v>#REF!</v>
      </c>
      <c r="P84" s="26">
        <f ca="1">VLOOKUP($A84,[1]!LOOKUP_SARS_Unified2,P$3,FALSE)</f>
        <v>6093.8</v>
      </c>
      <c r="Q84" s="1">
        <f t="shared" ca="1" si="32"/>
        <v>1.6410121763103482E-4</v>
      </c>
      <c r="R84" s="1">
        <v>1</v>
      </c>
      <c r="S84" s="37" t="e">
        <f t="shared" ca="1" si="30"/>
        <v>#REF!</v>
      </c>
      <c r="T84" s="73">
        <f t="shared" ca="1" si="31"/>
        <v>958.01123658749077</v>
      </c>
      <c r="CL84" s="37"/>
      <c r="CM84" s="37"/>
      <c r="CN84" s="37"/>
      <c r="CO84" s="37"/>
      <c r="CP84" s="37"/>
      <c r="CQ84" s="37"/>
      <c r="CR84" s="37"/>
      <c r="CS84" s="37"/>
      <c r="CT84" s="63"/>
      <c r="CU84" s="62"/>
      <c r="CV84" s="19"/>
    </row>
    <row r="85" spans="1:100" s="1" customFormat="1" x14ac:dyDescent="0.25">
      <c r="A85" s="92" t="s">
        <v>183</v>
      </c>
      <c r="B85" s="66">
        <f ca="1">IFERROR(VLOOKUP($A85,[1]!LOOKUP_MDAPs,B$3,FALSE)/$G85,"")</f>
        <v>0.68114430488250333</v>
      </c>
      <c r="C85" s="66">
        <f ca="1">IFERROR(VLOOKUP($A85,[1]!LOOKUP_MDAPs,C$3,FALSE)/$G85,"")</f>
        <v>0</v>
      </c>
      <c r="D85" s="66">
        <f ca="1">IFERROR(VLOOKUP($A85,[1]!LOOKUP_MDAPs,D$3,FALSE)/$G85,"")</f>
        <v>2.6641887962378596E-2</v>
      </c>
      <c r="E85" s="66">
        <f ca="1">IFERROR(VLOOKUP($A85,[1]!LOOKUP_MDAPs,E$3,FALSE)/$G85,"")</f>
        <v>0.38295767560586669</v>
      </c>
      <c r="F85" s="66">
        <f ca="1">IFERROR(VLOOKUP($A85,[1]!LOOKUP_MDAPs,F$3,FALSE)/$G85,"")</f>
        <v>6.8752478682703724E-3</v>
      </c>
      <c r="G85" s="65">
        <f ca="1">IFERROR(VLOOKUP($A85,[1]!LOOKUP_MDAPs,G$3,FALSE),"")</f>
        <v>2803.4873330100004</v>
      </c>
      <c r="H85" s="64">
        <f ca="1">VLOOKUP($A85,[1]!LOOKUP_SARS_2009_Change_Breakdown2,H$3,FALSE)+0</f>
        <v>800.4</v>
      </c>
      <c r="I85" s="64" t="e">
        <f ca="1">VLOOKUP($A85,[1]!LOOKUP_SARS_2009_Change_Breakdown2,I$3,FALSE)+0</f>
        <v>#REF!</v>
      </c>
      <c r="J85" s="64" t="e">
        <f ca="1">VLOOKUP($A85,[1]!LOOKUP_SARS_2009_Change_Breakdown2,J$3,FALSE)+0</f>
        <v>#REF!</v>
      </c>
      <c r="K85" s="64" t="e">
        <f ca="1">VLOOKUP($A85,[1]!LOOKUP_SARS_2009_Change_Breakdown2,K$3,FALSE)+0</f>
        <v>#REF!</v>
      </c>
      <c r="L85" s="64" t="e">
        <f ca="1">VLOOKUP($A85,[1]!LOOKUP_SARS_2009_Change_Breakdown2,L$3,FALSE)+0</f>
        <v>#REF!</v>
      </c>
      <c r="M85" s="64" t="e">
        <f ca="1">VLOOKUP($A85,[1]!LOOKUP_SARS_2009_Change_Breakdown2,M$3,FALSE)+0</f>
        <v>#REF!</v>
      </c>
      <c r="N85" s="64" t="e">
        <f ca="1">VLOOKUP($A85,[1]!LOOKUP_SARS_2009_Change_Breakdown2,N$3,FALSE)+0</f>
        <v>#REF!</v>
      </c>
      <c r="O85" s="64" t="e">
        <f ca="1">VLOOKUP($A85,[1]!LOOKUP_SARS_2009_Change_Breakdown2,O$3,FALSE)+0</f>
        <v>#REF!</v>
      </c>
      <c r="P85" s="26">
        <f ca="1">VLOOKUP($A85,[1]!LOOKUP_SARS_Unified2,P$3,FALSE)</f>
        <v>1818.9</v>
      </c>
      <c r="Q85" s="1">
        <f t="shared" ca="1" si="32"/>
        <v>5.4978283577986693E-4</v>
      </c>
      <c r="R85" s="1">
        <v>1</v>
      </c>
      <c r="S85" s="37" t="e">
        <f t="shared" ca="1" si="30"/>
        <v>#REF!</v>
      </c>
      <c r="T85" s="73">
        <f t="shared" ca="1" si="31"/>
        <v>1238.9333761507853</v>
      </c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37"/>
      <c r="CM85" s="37"/>
      <c r="CN85" s="37"/>
      <c r="CO85" s="37"/>
      <c r="CP85" s="37"/>
      <c r="CQ85" s="37"/>
      <c r="CR85" s="37"/>
      <c r="CS85" s="37"/>
      <c r="CT85" s="63"/>
      <c r="CU85" s="62"/>
      <c r="CV85" s="19"/>
    </row>
    <row r="86" spans="1:100" s="1" customFormat="1" x14ac:dyDescent="0.25">
      <c r="A86" s="92" t="s">
        <v>66</v>
      </c>
      <c r="B86" s="66">
        <f ca="1">IFERROR(VLOOKUP($A86,[1]!LOOKUP_MDAPs,B$3,FALSE)/$G86,"")</f>
        <v>3.4645103114302411E-2</v>
      </c>
      <c r="C86" s="66">
        <f ca="1">IFERROR(VLOOKUP($A86,[1]!LOOKUP_MDAPs,C$3,FALSE)/$G86,"")</f>
        <v>0</v>
      </c>
      <c r="D86" s="66">
        <f ca="1">IFERROR(VLOOKUP($A86,[1]!LOOKUP_MDAPs,D$3,FALSE)/$G86,"")</f>
        <v>6.6995073891625613E-6</v>
      </c>
      <c r="E86" s="66">
        <f ca="1">IFERROR(VLOOKUP($A86,[1]!LOOKUP_MDAPs,E$3,FALSE)/$G86,"")</f>
        <v>7.2472238457042663E-4</v>
      </c>
      <c r="F86" s="66">
        <f ca="1">IFERROR(VLOOKUP($A86,[1]!LOOKUP_MDAPs,F$3,FALSE)/$G86,"")</f>
        <v>0</v>
      </c>
      <c r="G86" s="65">
        <f ca="1">IFERROR(VLOOKUP($A86,[1]!LOOKUP_MDAPs,G$3,FALSE),"")</f>
        <v>1197.7</v>
      </c>
      <c r="H86" s="64">
        <f ca="1">VLOOKUP($A86,[1]!LOOKUP_SARS_2009_Change_Breakdown2,H$3,FALSE)+0</f>
        <v>-321.89999999999998</v>
      </c>
      <c r="I86" s="64" t="e">
        <f ca="1">VLOOKUP($A86,[1]!LOOKUP_SARS_2009_Change_Breakdown2,I$3,FALSE)+0</f>
        <v>#REF!</v>
      </c>
      <c r="J86" s="64" t="e">
        <f ca="1">VLOOKUP($A86,[1]!LOOKUP_SARS_2009_Change_Breakdown2,J$3,FALSE)+0</f>
        <v>#REF!</v>
      </c>
      <c r="K86" s="64" t="e">
        <f ca="1">VLOOKUP($A86,[1]!LOOKUP_SARS_2009_Change_Breakdown2,K$3,FALSE)+0</f>
        <v>#REF!</v>
      </c>
      <c r="L86" s="64" t="e">
        <f ca="1">VLOOKUP($A86,[1]!LOOKUP_SARS_2009_Change_Breakdown2,L$3,FALSE)+0</f>
        <v>#REF!</v>
      </c>
      <c r="M86" s="64" t="e">
        <f ca="1">VLOOKUP($A86,[1]!LOOKUP_SARS_2009_Change_Breakdown2,M$3,FALSE)+0</f>
        <v>#REF!</v>
      </c>
      <c r="N86" s="64" t="e">
        <f ca="1">VLOOKUP($A86,[1]!LOOKUP_SARS_2009_Change_Breakdown2,N$3,FALSE)+0</f>
        <v>#REF!</v>
      </c>
      <c r="O86" s="64" t="e">
        <f ca="1">VLOOKUP($A86,[1]!LOOKUP_SARS_2009_Change_Breakdown2,O$3,FALSE)+0</f>
        <v>#REF!</v>
      </c>
      <c r="P86" s="26">
        <f ca="1">VLOOKUP($A86,[1]!LOOKUP_SARS_Unified2,P$3,FALSE)</f>
        <v>1568.4</v>
      </c>
      <c r="Q86" s="1">
        <f t="shared" ca="1" si="32"/>
        <v>6.3759245090538126E-4</v>
      </c>
      <c r="R86" s="1">
        <v>1</v>
      </c>
      <c r="S86" s="37" t="e">
        <f t="shared" ca="1" si="30"/>
        <v>#REF!</v>
      </c>
      <c r="T86" s="73">
        <f t="shared" ca="1" si="31"/>
        <v>54.337379724471909</v>
      </c>
      <c r="CL86" s="37"/>
      <c r="CM86" s="37"/>
      <c r="CN86" s="37"/>
      <c r="CO86" s="37"/>
      <c r="CP86" s="37"/>
      <c r="CQ86" s="37"/>
      <c r="CR86" s="37"/>
      <c r="CS86" s="37"/>
      <c r="CT86" s="63"/>
      <c r="CU86" s="62"/>
      <c r="CV86" s="19"/>
    </row>
    <row r="87" spans="1:100" s="1" customFormat="1" x14ac:dyDescent="0.25">
      <c r="A87" s="92" t="s">
        <v>65</v>
      </c>
      <c r="B87" s="66">
        <f ca="1">IFERROR(VLOOKUP($A87,[1]!LOOKUP_MDAPs,B$3,FALSE)/$G87,"")</f>
        <v>5.9858880357729231E-2</v>
      </c>
      <c r="C87" s="66">
        <f ca="1">IFERROR(VLOOKUP($A87,[1]!LOOKUP_MDAPs,C$3,FALSE)/$G87,"")</f>
        <v>0</v>
      </c>
      <c r="D87" s="66">
        <f ca="1">IFERROR(VLOOKUP($A87,[1]!LOOKUP_MDAPs,D$3,FALSE)/$G87,"")</f>
        <v>0.1569321582121265</v>
      </c>
      <c r="E87" s="66">
        <f ca="1">IFERROR(VLOOKUP($A87,[1]!LOOKUP_MDAPs,E$3,FALSE)/$G87,"")</f>
        <v>0.26819083651658265</v>
      </c>
      <c r="F87" s="66">
        <f ca="1">IFERROR(VLOOKUP($A87,[1]!LOOKUP_MDAPs,F$3,FALSE)/$G87,"")</f>
        <v>0</v>
      </c>
      <c r="G87" s="65">
        <f ca="1">IFERROR(VLOOKUP($A87,[1]!LOOKUP_MDAPs,G$3,FALSE),"")</f>
        <v>5177.1000000000004</v>
      </c>
      <c r="H87" s="64">
        <f ca="1">VLOOKUP($A87,[1]!LOOKUP_SARS_2009_Change_Breakdown2,H$3,FALSE)+0</f>
        <v>407.4</v>
      </c>
      <c r="I87" s="64" t="e">
        <f ca="1">VLOOKUP($A87,[1]!LOOKUP_SARS_2009_Change_Breakdown2,I$3,FALSE)+0</f>
        <v>#REF!</v>
      </c>
      <c r="J87" s="64" t="e">
        <f ca="1">VLOOKUP($A87,[1]!LOOKUP_SARS_2009_Change_Breakdown2,J$3,FALSE)+0</f>
        <v>#REF!</v>
      </c>
      <c r="K87" s="64" t="e">
        <f ca="1">VLOOKUP($A87,[1]!LOOKUP_SARS_2009_Change_Breakdown2,K$3,FALSE)+0</f>
        <v>#REF!</v>
      </c>
      <c r="L87" s="64" t="e">
        <f ca="1">VLOOKUP($A87,[1]!LOOKUP_SARS_2009_Change_Breakdown2,L$3,FALSE)+0</f>
        <v>#REF!</v>
      </c>
      <c r="M87" s="64" t="e">
        <f ca="1">VLOOKUP($A87,[1]!LOOKUP_SARS_2009_Change_Breakdown2,M$3,FALSE)+0</f>
        <v>#REF!</v>
      </c>
      <c r="N87" s="64" t="e">
        <f ca="1">VLOOKUP($A87,[1]!LOOKUP_SARS_2009_Change_Breakdown2,N$3,FALSE)+0</f>
        <v>#REF!</v>
      </c>
      <c r="O87" s="64" t="e">
        <f ca="1">VLOOKUP($A87,[1]!LOOKUP_SARS_2009_Change_Breakdown2,O$3,FALSE)+0</f>
        <v>#REF!</v>
      </c>
      <c r="P87" s="26">
        <f ca="1">VLOOKUP($A87,[1]!LOOKUP_SARS_Unified2,P$3,FALSE)</f>
        <v>6810.6</v>
      </c>
      <c r="Q87" s="1">
        <f t="shared" ca="1" si="32"/>
        <v>1.4682994156168326E-4</v>
      </c>
      <c r="R87" s="1">
        <v>1</v>
      </c>
      <c r="S87" s="37" t="e">
        <f t="shared" ca="1" si="30"/>
        <v>#REF!</v>
      </c>
      <c r="T87" s="73">
        <f t="shared" ca="1" si="31"/>
        <v>407.67489056435073</v>
      </c>
      <c r="CL87" s="37"/>
      <c r="CM87" s="37"/>
      <c r="CN87" s="37"/>
      <c r="CO87" s="37"/>
      <c r="CP87" s="37"/>
      <c r="CQ87" s="37"/>
      <c r="CR87" s="37"/>
      <c r="CS87" s="37"/>
      <c r="CT87" s="63"/>
      <c r="CU87" s="62"/>
      <c r="CV87" s="19"/>
    </row>
    <row r="88" spans="1:100" s="1" customFormat="1" x14ac:dyDescent="0.25">
      <c r="A88" s="92" t="s">
        <v>46</v>
      </c>
      <c r="B88" s="66">
        <f ca="1">IFERROR(VLOOKUP($A88,[1]!LOOKUP_MDAPs,B$3,FALSE)/$G88,"")</f>
        <v>4.554162754814467E-2</v>
      </c>
      <c r="C88" s="66">
        <f ca="1">IFERROR(VLOOKUP($A88,[1]!LOOKUP_MDAPs,C$3,FALSE)/$G88,"")</f>
        <v>0</v>
      </c>
      <c r="D88" s="66">
        <f ca="1">IFERROR(VLOOKUP($A88,[1]!LOOKUP_MDAPs,D$3,FALSE)/$G88,"")</f>
        <v>4.6144155550336616E-3</v>
      </c>
      <c r="E88" s="66">
        <f ca="1">IFERROR(VLOOKUP($A88,[1]!LOOKUP_MDAPs,E$3,FALSE)/$G88,"")</f>
        <v>9.4114576092061992E-3</v>
      </c>
      <c r="F88" s="66">
        <f ca="1">IFERROR(VLOOKUP($A88,[1]!LOOKUP_MDAPs,F$3,FALSE)/$G88,"")</f>
        <v>0</v>
      </c>
      <c r="G88" s="65">
        <f ca="1">IFERROR(VLOOKUP($A88,[1]!LOOKUP_MDAPs,G$3,FALSE),"")</f>
        <v>1277.4000000000001</v>
      </c>
      <c r="H88" s="64">
        <f ca="1">VLOOKUP($A88,[1]!LOOKUP_SARS_2009_Change_Breakdown2,H$3,FALSE)+0</f>
        <v>55.2</v>
      </c>
      <c r="I88" s="64" t="e">
        <f ca="1">VLOOKUP($A88,[1]!LOOKUP_SARS_2009_Change_Breakdown2,I$3,FALSE)+0</f>
        <v>#REF!</v>
      </c>
      <c r="J88" s="64" t="e">
        <f ca="1">VLOOKUP($A88,[1]!LOOKUP_SARS_2009_Change_Breakdown2,J$3,FALSE)+0</f>
        <v>#REF!</v>
      </c>
      <c r="K88" s="64" t="e">
        <f ca="1">VLOOKUP($A88,[1]!LOOKUP_SARS_2009_Change_Breakdown2,K$3,FALSE)+0</f>
        <v>#REF!</v>
      </c>
      <c r="L88" s="64" t="e">
        <f ca="1">VLOOKUP($A88,[1]!LOOKUP_SARS_2009_Change_Breakdown2,L$3,FALSE)+0</f>
        <v>#REF!</v>
      </c>
      <c r="M88" s="64" t="e">
        <f ca="1">VLOOKUP($A88,[1]!LOOKUP_SARS_2009_Change_Breakdown2,M$3,FALSE)+0</f>
        <v>#REF!</v>
      </c>
      <c r="N88" s="64" t="e">
        <f ca="1">VLOOKUP($A88,[1]!LOOKUP_SARS_2009_Change_Breakdown2,N$3,FALSE)+0</f>
        <v>#REF!</v>
      </c>
      <c r="O88" s="64" t="e">
        <f ca="1">VLOOKUP($A88,[1]!LOOKUP_SARS_2009_Change_Breakdown2,O$3,FALSE)+0</f>
        <v>#REF!</v>
      </c>
      <c r="P88" s="26">
        <f ca="1">VLOOKUP($A88,[1]!LOOKUP_SARS_Unified2,P$3,FALSE)</f>
        <v>1421.1</v>
      </c>
      <c r="Q88" s="1">
        <f t="shared" ca="1" si="32"/>
        <v>7.036802476954472E-4</v>
      </c>
      <c r="R88" s="1">
        <v>1</v>
      </c>
      <c r="S88" s="37" t="e">
        <f t="shared" ca="1" si="30"/>
        <v>#REF!</v>
      </c>
      <c r="T88" s="73">
        <f t="shared" ca="1" si="31"/>
        <v>64.719206908668383</v>
      </c>
      <c r="CL88" s="37"/>
      <c r="CM88" s="37"/>
      <c r="CN88" s="37"/>
      <c r="CO88" s="37"/>
      <c r="CP88" s="37"/>
      <c r="CQ88" s="37"/>
      <c r="CR88" s="37"/>
      <c r="CS88" s="37"/>
      <c r="CT88" s="63"/>
      <c r="CU88" s="62"/>
      <c r="CV88" s="19"/>
    </row>
    <row r="89" spans="1:100" s="1" customFormat="1" x14ac:dyDescent="0.25">
      <c r="A89" s="92" t="s">
        <v>63</v>
      </c>
      <c r="B89" s="66">
        <f ca="1">IFERROR(VLOOKUP($A89,[1]!LOOKUP_MDAPs,B$3,FALSE)/$G89,"")</f>
        <v>0.89040850855313503</v>
      </c>
      <c r="C89" s="66">
        <f ca="1">IFERROR(VLOOKUP($A89,[1]!LOOKUP_MDAPs,C$3,FALSE)/$G89,"")</f>
        <v>0</v>
      </c>
      <c r="D89" s="66">
        <f ca="1">IFERROR(VLOOKUP($A89,[1]!LOOKUP_MDAPs,D$3,FALSE)/$G89,"")</f>
        <v>0.71237920118427722</v>
      </c>
      <c r="E89" s="66">
        <f ca="1">IFERROR(VLOOKUP($A89,[1]!LOOKUP_MDAPs,E$3,FALSE)/$G89,"")</f>
        <v>0.61629294088516928</v>
      </c>
      <c r="F89" s="66">
        <f ca="1">IFERROR(VLOOKUP($A89,[1]!LOOKUP_MDAPs,F$3,FALSE)/$G89,"")</f>
        <v>5.6532205225456019E-3</v>
      </c>
      <c r="G89" s="65">
        <f ca="1">IFERROR(VLOOKUP($A89,[1]!LOOKUP_MDAPs,G$3,FALSE),"")</f>
        <v>1685.5687659799999</v>
      </c>
      <c r="H89" s="64" t="e">
        <f ca="1">VLOOKUP($A89,[1]!LOOKUP_SARS_2009_Change_Breakdown2,H$3,FALSE)+0</f>
        <v>#N/A</v>
      </c>
      <c r="I89" s="64" t="e">
        <f ca="1">VLOOKUP($A89,[1]!LOOKUP_SARS_2009_Change_Breakdown2,I$3,FALSE)+0</f>
        <v>#N/A</v>
      </c>
      <c r="J89" s="64" t="e">
        <f ca="1">VLOOKUP($A89,[1]!LOOKUP_SARS_2009_Change_Breakdown2,J$3,FALSE)+0</f>
        <v>#N/A</v>
      </c>
      <c r="K89" s="64" t="e">
        <f ca="1">VLOOKUP($A89,[1]!LOOKUP_SARS_2009_Change_Breakdown2,K$3,FALSE)+0</f>
        <v>#N/A</v>
      </c>
      <c r="L89" s="64" t="e">
        <f ca="1">VLOOKUP($A89,[1]!LOOKUP_SARS_2009_Change_Breakdown2,L$3,FALSE)+0</f>
        <v>#N/A</v>
      </c>
      <c r="M89" s="64" t="e">
        <f ca="1">VLOOKUP($A89,[1]!LOOKUP_SARS_2009_Change_Breakdown2,M$3,FALSE)+0</f>
        <v>#N/A</v>
      </c>
      <c r="N89" s="64" t="e">
        <f ca="1">VLOOKUP($A89,[1]!LOOKUP_SARS_2009_Change_Breakdown2,N$3,FALSE)+0</f>
        <v>#N/A</v>
      </c>
      <c r="O89" s="64" t="e">
        <f ca="1">VLOOKUP($A89,[1]!LOOKUP_SARS_2009_Change_Breakdown2,O$3,FALSE)+0</f>
        <v>#N/A</v>
      </c>
      <c r="P89" s="26">
        <f ca="1">VLOOKUP($A89,[1]!LOOKUP_SARS_Unified2,P$3,FALSE)</f>
        <v>5995.3</v>
      </c>
      <c r="Q89" s="1">
        <f t="shared" ca="1" si="32"/>
        <v>1.6679732457091387E-4</v>
      </c>
      <c r="R89" s="1">
        <v>1</v>
      </c>
      <c r="S89" s="37" t="e">
        <f t="shared" ca="1" si="30"/>
        <v>#N/A</v>
      </c>
      <c r="T89" s="73">
        <f t="shared" ca="1" si="31"/>
        <v>5338.2661313286108</v>
      </c>
      <c r="CL89" s="37"/>
      <c r="CM89" s="37"/>
      <c r="CN89" s="37"/>
      <c r="CO89" s="37"/>
      <c r="CP89" s="37"/>
      <c r="CQ89" s="37"/>
      <c r="CR89" s="37"/>
      <c r="CS89" s="37"/>
      <c r="CT89" s="63"/>
      <c r="CU89" s="62"/>
      <c r="CV89" s="19"/>
    </row>
    <row r="90" spans="1:100" s="1" customFormat="1" x14ac:dyDescent="0.25">
      <c r="A90" s="92" t="s">
        <v>71</v>
      </c>
      <c r="B90" s="66">
        <f ca="1">IFERROR(VLOOKUP($A90,[1]!LOOKUP_MDAPs,B$3,FALSE)/$G90,"")</f>
        <v>0</v>
      </c>
      <c r="C90" s="66">
        <f ca="1">IFERROR(VLOOKUP($A90,[1]!LOOKUP_MDAPs,C$3,FALSE)/$G90,"")</f>
        <v>0</v>
      </c>
      <c r="D90" s="66">
        <f ca="1">IFERROR(VLOOKUP($A90,[1]!LOOKUP_MDAPs,D$3,FALSE)/$G90,"")</f>
        <v>0</v>
      </c>
      <c r="E90" s="66">
        <f ca="1">IFERROR(VLOOKUP($A90,[1]!LOOKUP_MDAPs,E$3,FALSE)/$G90,"")</f>
        <v>0</v>
      </c>
      <c r="F90" s="66">
        <f ca="1">IFERROR(VLOOKUP($A90,[1]!LOOKUP_MDAPs,F$3,FALSE)/$G90,"")</f>
        <v>0</v>
      </c>
      <c r="G90" s="65">
        <f ca="1">IFERROR(VLOOKUP($A90,[1]!LOOKUP_MDAPs,G$3,FALSE),"")</f>
        <v>761.3</v>
      </c>
      <c r="H90" s="64">
        <f ca="1">VLOOKUP($A90,[1]!LOOKUP_SARS_2009_Change_Breakdown2,H$3,FALSE)+0</f>
        <v>-250.7</v>
      </c>
      <c r="I90" s="64" t="e">
        <f ca="1">VLOOKUP($A90,[1]!LOOKUP_SARS_2009_Change_Breakdown2,I$3,FALSE)+0</f>
        <v>#REF!</v>
      </c>
      <c r="J90" s="64" t="e">
        <f ca="1">VLOOKUP($A90,[1]!LOOKUP_SARS_2009_Change_Breakdown2,J$3,FALSE)+0</f>
        <v>#REF!</v>
      </c>
      <c r="K90" s="64" t="e">
        <f ca="1">VLOOKUP($A90,[1]!LOOKUP_SARS_2009_Change_Breakdown2,K$3,FALSE)+0</f>
        <v>#REF!</v>
      </c>
      <c r="L90" s="64" t="e">
        <f ca="1">VLOOKUP($A90,[1]!LOOKUP_SARS_2009_Change_Breakdown2,L$3,FALSE)+0</f>
        <v>#REF!</v>
      </c>
      <c r="M90" s="64" t="e">
        <f ca="1">VLOOKUP($A90,[1]!LOOKUP_SARS_2009_Change_Breakdown2,M$3,FALSE)+0</f>
        <v>#REF!</v>
      </c>
      <c r="N90" s="64" t="e">
        <f ca="1">VLOOKUP($A90,[1]!LOOKUP_SARS_2009_Change_Breakdown2,N$3,FALSE)+0</f>
        <v>#REF!</v>
      </c>
      <c r="O90" s="64" t="e">
        <f ca="1">VLOOKUP($A90,[1]!LOOKUP_SARS_2009_Change_Breakdown2,O$3,FALSE)+0</f>
        <v>#REF!</v>
      </c>
      <c r="P90" s="26">
        <f ca="1">VLOOKUP($A90,[1]!LOOKUP_SARS_Unified2,P$3,FALSE)</f>
        <v>1853</v>
      </c>
      <c r="Q90" s="1">
        <f t="shared" ca="1" si="32"/>
        <v>5.3966540744738263E-4</v>
      </c>
      <c r="R90" s="1">
        <v>1</v>
      </c>
      <c r="S90" s="37" t="e">
        <f t="shared" ca="1" si="30"/>
        <v>#REF!</v>
      </c>
      <c r="T90" s="73">
        <f t="shared" ca="1" si="31"/>
        <v>0</v>
      </c>
      <c r="CL90" s="37"/>
      <c r="CM90" s="37"/>
      <c r="CN90" s="37"/>
      <c r="CO90" s="37"/>
      <c r="CP90" s="37"/>
      <c r="CQ90" s="37"/>
      <c r="CR90" s="37"/>
      <c r="CS90" s="37"/>
      <c r="CT90" s="63"/>
      <c r="CU90" s="62"/>
      <c r="CV90" s="19"/>
    </row>
    <row r="91" spans="1:100" s="1" customFormat="1" x14ac:dyDescent="0.25">
      <c r="A91" s="92" t="s">
        <v>69</v>
      </c>
      <c r="B91" s="66">
        <f ca="1">IFERROR(VLOOKUP($A91,[1]!LOOKUP_MDAPs,B$3,FALSE)/$G91,"")</f>
        <v>1.9507846029278404E-3</v>
      </c>
      <c r="C91" s="66">
        <f ca="1">IFERROR(VLOOKUP($A91,[1]!LOOKUP_MDAPs,C$3,FALSE)/$G91,"")</f>
        <v>0</v>
      </c>
      <c r="D91" s="66">
        <f ca="1">IFERROR(VLOOKUP($A91,[1]!LOOKUP_MDAPs,D$3,FALSE)/$G91,"")</f>
        <v>2.6458090426221015E-5</v>
      </c>
      <c r="E91" s="66">
        <f ca="1">IFERROR(VLOOKUP($A91,[1]!LOOKUP_MDAPs,E$3,FALSE)/$G91,"")</f>
        <v>3.0438887031998961E-3</v>
      </c>
      <c r="F91" s="66">
        <f ca="1">IFERROR(VLOOKUP($A91,[1]!LOOKUP_MDAPs,F$3,FALSE)/$G91,"")</f>
        <v>2.9148853478429849E-5</v>
      </c>
      <c r="G91" s="65">
        <f ca="1">IFERROR(VLOOKUP($A91,[1]!LOOKUP_MDAPs,G$3,FALSE),"")</f>
        <v>3087.6</v>
      </c>
      <c r="H91" s="64">
        <f ca="1">VLOOKUP($A91,[1]!LOOKUP_SARS_2009_Change_Breakdown2,H$3,FALSE)+0</f>
        <v>-308</v>
      </c>
      <c r="I91" s="64" t="e">
        <f ca="1">VLOOKUP($A91,[1]!LOOKUP_SARS_2009_Change_Breakdown2,I$3,FALSE)+0</f>
        <v>#REF!</v>
      </c>
      <c r="J91" s="64" t="e">
        <f ca="1">VLOOKUP($A91,[1]!LOOKUP_SARS_2009_Change_Breakdown2,J$3,FALSE)+0</f>
        <v>#REF!</v>
      </c>
      <c r="K91" s="64" t="e">
        <f ca="1">VLOOKUP($A91,[1]!LOOKUP_SARS_2009_Change_Breakdown2,K$3,FALSE)+0</f>
        <v>#REF!</v>
      </c>
      <c r="L91" s="64" t="e">
        <f ca="1">VLOOKUP($A91,[1]!LOOKUP_SARS_2009_Change_Breakdown2,L$3,FALSE)+0</f>
        <v>#REF!</v>
      </c>
      <c r="M91" s="64" t="e">
        <f ca="1">VLOOKUP($A91,[1]!LOOKUP_SARS_2009_Change_Breakdown2,M$3,FALSE)+0</f>
        <v>#REF!</v>
      </c>
      <c r="N91" s="64" t="e">
        <f ca="1">VLOOKUP($A91,[1]!LOOKUP_SARS_2009_Change_Breakdown2,N$3,FALSE)+0</f>
        <v>#REF!</v>
      </c>
      <c r="O91" s="64" t="e">
        <f ca="1">VLOOKUP($A91,[1]!LOOKUP_SARS_2009_Change_Breakdown2,O$3,FALSE)+0</f>
        <v>#REF!</v>
      </c>
      <c r="P91" s="26">
        <f ca="1">VLOOKUP($A91,[1]!LOOKUP_SARS_Unified2,P$3,FALSE)</f>
        <v>6117.6</v>
      </c>
      <c r="Q91" s="1">
        <f t="shared" ca="1" si="32"/>
        <v>1.634627958676605E-4</v>
      </c>
      <c r="R91" s="1">
        <v>1</v>
      </c>
      <c r="S91" s="37" t="e">
        <f t="shared" ca="1" si="30"/>
        <v>#REF!</v>
      </c>
      <c r="T91" s="73">
        <f t="shared" ca="1" si="31"/>
        <v>11.934119886871358</v>
      </c>
      <c r="CL91" s="37"/>
      <c r="CM91" s="37"/>
      <c r="CN91" s="37"/>
      <c r="CO91" s="37"/>
      <c r="CP91" s="37"/>
      <c r="CQ91" s="37"/>
      <c r="CR91" s="37"/>
      <c r="CS91" s="37"/>
      <c r="CT91" s="63"/>
      <c r="CU91" s="62"/>
      <c r="CV91" s="19"/>
    </row>
    <row r="92" spans="1:100" s="1" customFormat="1" x14ac:dyDescent="0.25">
      <c r="A92" s="92" t="s">
        <v>72</v>
      </c>
      <c r="B92" s="66">
        <f ca="1">IFERROR(VLOOKUP($A92,[1]!LOOKUP_MDAPs,B$3,FALSE)/$G92,"")</f>
        <v>0.41519942359537865</v>
      </c>
      <c r="C92" s="66">
        <f ca="1">IFERROR(VLOOKUP($A92,[1]!LOOKUP_MDAPs,C$3,FALSE)/$G92,"")</f>
        <v>0</v>
      </c>
      <c r="D92" s="66">
        <f ca="1">IFERROR(VLOOKUP($A92,[1]!LOOKUP_MDAPs,D$3,FALSE)/$G92,"")</f>
        <v>5.7394640610770327E-2</v>
      </c>
      <c r="E92" s="66">
        <f ca="1">IFERROR(VLOOKUP($A92,[1]!LOOKUP_MDAPs,E$3,FALSE)/$G92,"")</f>
        <v>7.9492088960599103E-2</v>
      </c>
      <c r="F92" s="66">
        <f ca="1">IFERROR(VLOOKUP($A92,[1]!LOOKUP_MDAPs,F$3,FALSE)/$G92,"")</f>
        <v>6.0693184811650924E-5</v>
      </c>
      <c r="G92" s="65">
        <f ca="1">IFERROR(VLOOKUP($A92,[1]!LOOKUP_MDAPs,G$3,FALSE),"")</f>
        <v>10629.2</v>
      </c>
      <c r="H92" s="64">
        <f ca="1">VLOOKUP($A92,[1]!LOOKUP_SARS_2009_Change_Breakdown2,H$3,FALSE)+0</f>
        <v>2712.3</v>
      </c>
      <c r="I92" s="64" t="e">
        <f ca="1">VLOOKUP($A92,[1]!LOOKUP_SARS_2009_Change_Breakdown2,I$3,FALSE)+0</f>
        <v>#REF!</v>
      </c>
      <c r="J92" s="64" t="e">
        <f ca="1">VLOOKUP($A92,[1]!LOOKUP_SARS_2009_Change_Breakdown2,J$3,FALSE)+0</f>
        <v>#REF!</v>
      </c>
      <c r="K92" s="64" t="e">
        <f ca="1">VLOOKUP($A92,[1]!LOOKUP_SARS_2009_Change_Breakdown2,K$3,FALSE)+0</f>
        <v>#REF!</v>
      </c>
      <c r="L92" s="64" t="e">
        <f ca="1">VLOOKUP($A92,[1]!LOOKUP_SARS_2009_Change_Breakdown2,L$3,FALSE)+0</f>
        <v>#REF!</v>
      </c>
      <c r="M92" s="64" t="e">
        <f ca="1">VLOOKUP($A92,[1]!LOOKUP_SARS_2009_Change_Breakdown2,M$3,FALSE)+0</f>
        <v>#REF!</v>
      </c>
      <c r="N92" s="64" t="e">
        <f ca="1">VLOOKUP($A92,[1]!LOOKUP_SARS_2009_Change_Breakdown2,N$3,FALSE)+0</f>
        <v>#REF!</v>
      </c>
      <c r="O92" s="64" t="e">
        <f ca="1">VLOOKUP($A92,[1]!LOOKUP_SARS_2009_Change_Breakdown2,O$3,FALSE)+0</f>
        <v>#REF!</v>
      </c>
      <c r="P92" s="26">
        <f ca="1">VLOOKUP($A92,[1]!LOOKUP_SARS_Unified2,P$3,FALSE)</f>
        <v>34500.699999999997</v>
      </c>
      <c r="Q92" s="1">
        <f t="shared" ca="1" si="32"/>
        <v>2.8984919146568043E-5</v>
      </c>
      <c r="R92" s="1">
        <v>1</v>
      </c>
      <c r="S92" s="37" t="e">
        <f t="shared" ca="1" si="30"/>
        <v>#REF!</v>
      </c>
      <c r="T92" s="73">
        <f t="shared" ca="1" si="31"/>
        <v>14324.67075363708</v>
      </c>
      <c r="CL92" s="37"/>
      <c r="CM92" s="37"/>
      <c r="CN92" s="37"/>
      <c r="CO92" s="37"/>
      <c r="CP92" s="37"/>
      <c r="CQ92" s="37"/>
      <c r="CR92" s="37"/>
      <c r="CS92" s="37"/>
      <c r="CT92" s="63"/>
      <c r="CU92" s="62"/>
      <c r="CV92" s="19"/>
    </row>
    <row r="93" spans="1:100" s="1" customFormat="1" x14ac:dyDescent="0.25">
      <c r="A93" s="92" t="s">
        <v>252</v>
      </c>
      <c r="B93" s="66">
        <f ca="1">IFERROR(VLOOKUP($A93,[1]!LOOKUP_MDAPs,B$3,FALSE)/$G93,"")</f>
        <v>0.12517296971680317</v>
      </c>
      <c r="C93" s="66">
        <f ca="1">IFERROR(VLOOKUP($A93,[1]!LOOKUP_MDAPs,C$3,FALSE)/$G93,"")</f>
        <v>0</v>
      </c>
      <c r="D93" s="66">
        <f ca="1">IFERROR(VLOOKUP($A93,[1]!LOOKUP_MDAPs,D$3,FALSE)/$G93,"")</f>
        <v>3.0386371876350377E-4</v>
      </c>
      <c r="E93" s="66">
        <f ca="1">IFERROR(VLOOKUP($A93,[1]!LOOKUP_MDAPs,E$3,FALSE)/$G93,"")</f>
        <v>3.6930183888238953E-2</v>
      </c>
      <c r="F93" s="66">
        <f ca="1">IFERROR(VLOOKUP($A93,[1]!LOOKUP_MDAPs,F$3,FALSE)/$G93,"")</f>
        <v>1.1050095382637197E-3</v>
      </c>
      <c r="G93" s="65">
        <f ca="1">IFERROR(VLOOKUP($A93,[1]!LOOKUP_MDAPs,G$3,FALSE),"")</f>
        <v>9488.1</v>
      </c>
      <c r="H93" s="64">
        <f ca="1">VLOOKUP($A93,[1]!LOOKUP_SARS_2009_Change_Breakdown2,H$3,FALSE)+0</f>
        <v>120.3</v>
      </c>
      <c r="I93" s="64" t="e">
        <f ca="1">VLOOKUP($A93,[1]!LOOKUP_SARS_2009_Change_Breakdown2,I$3,FALSE)+0</f>
        <v>#REF!</v>
      </c>
      <c r="J93" s="64" t="e">
        <f ca="1">VLOOKUP($A93,[1]!LOOKUP_SARS_2009_Change_Breakdown2,J$3,FALSE)+0</f>
        <v>#REF!</v>
      </c>
      <c r="K93" s="64" t="e">
        <f ca="1">VLOOKUP($A93,[1]!LOOKUP_SARS_2009_Change_Breakdown2,K$3,FALSE)+0</f>
        <v>#REF!</v>
      </c>
      <c r="L93" s="64" t="e">
        <f ca="1">VLOOKUP($A93,[1]!LOOKUP_SARS_2009_Change_Breakdown2,L$3,FALSE)+0</f>
        <v>#REF!</v>
      </c>
      <c r="M93" s="64" t="e">
        <f ca="1">VLOOKUP($A93,[1]!LOOKUP_SARS_2009_Change_Breakdown2,M$3,FALSE)+0</f>
        <v>#REF!</v>
      </c>
      <c r="N93" s="64" t="e">
        <f ca="1">VLOOKUP($A93,[1]!LOOKUP_SARS_2009_Change_Breakdown2,N$3,FALSE)+0</f>
        <v>#REF!</v>
      </c>
      <c r="O93" s="64" t="e">
        <f ca="1">VLOOKUP($A93,[1]!LOOKUP_SARS_2009_Change_Breakdown2,O$3,FALSE)+0</f>
        <v>#REF!</v>
      </c>
      <c r="P93" s="26">
        <f ca="1">VLOOKUP($A93,[1]!LOOKUP_SARS_Unified2,P$3,FALSE)</f>
        <v>9205.7999999999993</v>
      </c>
      <c r="Q93" s="1">
        <f t="shared" ca="1" si="32"/>
        <v>1.0862716982771732E-4</v>
      </c>
      <c r="R93" s="1">
        <v>1</v>
      </c>
      <c r="S93" s="37" t="e">
        <f t="shared" ca="1" si="30"/>
        <v>#REF!</v>
      </c>
      <c r="T93" s="73">
        <f t="shared" ca="1" si="31"/>
        <v>1152.3173246189465</v>
      </c>
      <c r="CL93" s="37"/>
      <c r="CM93" s="37"/>
      <c r="CN93" s="37"/>
      <c r="CO93" s="37"/>
      <c r="CP93" s="37"/>
      <c r="CQ93" s="37"/>
      <c r="CR93" s="37"/>
      <c r="CS93" s="37"/>
      <c r="CT93" s="63"/>
      <c r="CU93" s="62"/>
      <c r="CV93" s="19"/>
    </row>
    <row r="94" spans="1:100" s="1" customFormat="1" x14ac:dyDescent="0.25">
      <c r="A94" s="92" t="s">
        <v>77</v>
      </c>
      <c r="B94" s="66">
        <f ca="1">IFERROR(VLOOKUP($A94,[1]!LOOKUP_MDAPs,B$3,FALSE)/$G94,"")</f>
        <v>0</v>
      </c>
      <c r="C94" s="66">
        <f ca="1">IFERROR(VLOOKUP($A94,[1]!LOOKUP_MDAPs,C$3,FALSE)/$G94,"")</f>
        <v>0</v>
      </c>
      <c r="D94" s="66">
        <f ca="1">IFERROR(VLOOKUP($A94,[1]!LOOKUP_MDAPs,D$3,FALSE)/$G94,"")</f>
        <v>0</v>
      </c>
      <c r="E94" s="66">
        <f ca="1">IFERROR(VLOOKUP($A94,[1]!LOOKUP_MDAPs,E$3,FALSE)/$G94,"")</f>
        <v>2.5588847494553376E-3</v>
      </c>
      <c r="F94" s="66">
        <f ca="1">IFERROR(VLOOKUP($A94,[1]!LOOKUP_MDAPs,F$3,FALSE)/$G94,"")</f>
        <v>0</v>
      </c>
      <c r="G94" s="65">
        <f ca="1">IFERROR(VLOOKUP($A94,[1]!LOOKUP_MDAPs,G$3,FALSE),"")</f>
        <v>780.3</v>
      </c>
      <c r="H94" s="64" t="e">
        <f ca="1">VLOOKUP($A94,[1]!LOOKUP_SARS_2009_Change_Breakdown2,H$3,FALSE)+0</f>
        <v>#N/A</v>
      </c>
      <c r="I94" s="64" t="e">
        <f ca="1">VLOOKUP($A94,[1]!LOOKUP_SARS_2009_Change_Breakdown2,I$3,FALSE)+0</f>
        <v>#N/A</v>
      </c>
      <c r="J94" s="64" t="e">
        <f ca="1">VLOOKUP($A94,[1]!LOOKUP_SARS_2009_Change_Breakdown2,J$3,FALSE)+0</f>
        <v>#N/A</v>
      </c>
      <c r="K94" s="64" t="e">
        <f ca="1">VLOOKUP($A94,[1]!LOOKUP_SARS_2009_Change_Breakdown2,K$3,FALSE)+0</f>
        <v>#N/A</v>
      </c>
      <c r="L94" s="64" t="e">
        <f ca="1">VLOOKUP($A94,[1]!LOOKUP_SARS_2009_Change_Breakdown2,L$3,FALSE)+0</f>
        <v>#N/A</v>
      </c>
      <c r="M94" s="64" t="e">
        <f ca="1">VLOOKUP($A94,[1]!LOOKUP_SARS_2009_Change_Breakdown2,M$3,FALSE)+0</f>
        <v>#N/A</v>
      </c>
      <c r="N94" s="64" t="e">
        <f ca="1">VLOOKUP($A94,[1]!LOOKUP_SARS_2009_Change_Breakdown2,N$3,FALSE)+0</f>
        <v>#N/A</v>
      </c>
      <c r="O94" s="64" t="e">
        <f ca="1">VLOOKUP($A94,[1]!LOOKUP_SARS_2009_Change_Breakdown2,O$3,FALSE)+0</f>
        <v>#N/A</v>
      </c>
      <c r="P94" s="26">
        <f ca="1">VLOOKUP($A94,[1]!LOOKUP_SARS_Unified2,P$3,FALSE)</f>
        <v>29895.4</v>
      </c>
      <c r="Q94" s="1">
        <f t="shared" ca="1" si="32"/>
        <v>3.344996220154271E-5</v>
      </c>
      <c r="R94" s="1">
        <v>1</v>
      </c>
      <c r="S94" s="37" t="e">
        <f t="shared" ca="1" si="30"/>
        <v>#N/A</v>
      </c>
      <c r="T94" s="73">
        <f t="shared" ca="1" si="31"/>
        <v>0</v>
      </c>
      <c r="CL94" s="37"/>
      <c r="CM94" s="37"/>
      <c r="CN94" s="37"/>
      <c r="CO94" s="37"/>
      <c r="CP94" s="37"/>
      <c r="CQ94" s="37"/>
      <c r="CR94" s="37"/>
      <c r="CS94" s="37"/>
      <c r="CT94" s="63"/>
      <c r="CU94" s="62"/>
      <c r="CV94" s="19"/>
    </row>
    <row r="95" spans="1:100" s="1" customFormat="1" x14ac:dyDescent="0.25">
      <c r="A95" s="92" t="s">
        <v>246</v>
      </c>
      <c r="B95" s="66" t="str">
        <f ca="1">IFERROR(VLOOKUP($A95,[1]!LOOKUP_MDAPs,B$3,FALSE)/$G95,"")</f>
        <v/>
      </c>
      <c r="C95" s="66" t="str">
        <f ca="1">IFERROR(VLOOKUP($A95,[1]!LOOKUP_MDAPs,C$3,FALSE)/$G95,"")</f>
        <v/>
      </c>
      <c r="D95" s="66" t="str">
        <f ca="1">IFERROR(VLOOKUP($A95,[1]!LOOKUP_MDAPs,D$3,FALSE)/$G95,"")</f>
        <v/>
      </c>
      <c r="E95" s="66" t="str">
        <f ca="1">IFERROR(VLOOKUP($A95,[1]!LOOKUP_MDAPs,E$3,FALSE)/$G95,"")</f>
        <v/>
      </c>
      <c r="F95" s="66" t="str">
        <f ca="1">IFERROR(VLOOKUP($A95,[1]!LOOKUP_MDAPs,F$3,FALSE)/$G95,"")</f>
        <v/>
      </c>
      <c r="G95" s="65" t="str">
        <f ca="1">IFERROR(VLOOKUP($A95,[1]!LOOKUP_MDAPs,G$3,FALSE),"")</f>
        <v/>
      </c>
      <c r="H95" s="64" t="e">
        <f ca="1">VLOOKUP($A95,[1]!LOOKUP_SARS_2009_Change_Breakdown2,H$3,FALSE)+0</f>
        <v>#N/A</v>
      </c>
      <c r="I95" s="64" t="e">
        <f ca="1">VLOOKUP($A95,[1]!LOOKUP_SARS_2009_Change_Breakdown2,I$3,FALSE)+0</f>
        <v>#N/A</v>
      </c>
      <c r="J95" s="64" t="e">
        <f ca="1">VLOOKUP($A95,[1]!LOOKUP_SARS_2009_Change_Breakdown2,J$3,FALSE)+0</f>
        <v>#N/A</v>
      </c>
      <c r="K95" s="64" t="e">
        <f ca="1">VLOOKUP($A95,[1]!LOOKUP_SARS_2009_Change_Breakdown2,K$3,FALSE)+0</f>
        <v>#N/A</v>
      </c>
      <c r="L95" s="64" t="e">
        <f ca="1">VLOOKUP($A95,[1]!LOOKUP_SARS_2009_Change_Breakdown2,L$3,FALSE)+0</f>
        <v>#N/A</v>
      </c>
      <c r="M95" s="64" t="e">
        <f ca="1">VLOOKUP($A95,[1]!LOOKUP_SARS_2009_Change_Breakdown2,M$3,FALSE)+0</f>
        <v>#N/A</v>
      </c>
      <c r="N95" s="64" t="e">
        <f ca="1">VLOOKUP($A95,[1]!LOOKUP_SARS_2009_Change_Breakdown2,N$3,FALSE)+0</f>
        <v>#N/A</v>
      </c>
      <c r="O95" s="64" t="e">
        <f ca="1">VLOOKUP($A95,[1]!LOOKUP_SARS_2009_Change_Breakdown2,O$3,FALSE)+0</f>
        <v>#N/A</v>
      </c>
      <c r="P95" s="26" t="str">
        <f ca="1">VLOOKUP($A95,[1]!LOOKUP_SARS_Unified2,P$3,FALSE)</f>
        <v/>
      </c>
      <c r="Q95" s="1" t="e">
        <f t="shared" ca="1" si="32"/>
        <v>#VALUE!</v>
      </c>
      <c r="R95" s="1">
        <v>1</v>
      </c>
      <c r="S95" s="37" t="e">
        <f t="shared" ca="1" si="30"/>
        <v>#N/A</v>
      </c>
      <c r="T95" s="73" t="e">
        <f t="shared" ca="1" si="31"/>
        <v>#VALUE!</v>
      </c>
      <c r="CL95" s="37"/>
      <c r="CM95" s="37"/>
      <c r="CN95" s="37"/>
      <c r="CO95" s="37"/>
      <c r="CP95" s="37"/>
      <c r="CQ95" s="37"/>
      <c r="CR95" s="37"/>
      <c r="CS95" s="37"/>
      <c r="CT95" s="63"/>
      <c r="CU95" s="62"/>
      <c r="CV95" s="19"/>
    </row>
    <row r="96" spans="1:100" s="1" customFormat="1" x14ac:dyDescent="0.25">
      <c r="A96" s="92" t="s">
        <v>247</v>
      </c>
      <c r="B96" s="66">
        <f ca="1">IFERROR(VLOOKUP($A96,[1]!LOOKUP_MDAPs,B$3,FALSE)/$G96,"")</f>
        <v>0</v>
      </c>
      <c r="C96" s="66">
        <f ca="1">IFERROR(VLOOKUP($A96,[1]!LOOKUP_MDAPs,C$3,FALSE)/$G96,"")</f>
        <v>0</v>
      </c>
      <c r="D96" s="66">
        <f ca="1">IFERROR(VLOOKUP($A96,[1]!LOOKUP_MDAPs,D$3,FALSE)/$G96,"")</f>
        <v>0</v>
      </c>
      <c r="E96" s="66">
        <f ca="1">IFERROR(VLOOKUP($A96,[1]!LOOKUP_MDAPs,E$3,FALSE)/$G96,"")</f>
        <v>0</v>
      </c>
      <c r="F96" s="66">
        <f ca="1">IFERROR(VLOOKUP($A96,[1]!LOOKUP_MDAPs,F$3,FALSE)/$G96,"")</f>
        <v>0</v>
      </c>
      <c r="G96" s="65">
        <f ca="1">IFERROR(VLOOKUP($A96,[1]!LOOKUP_MDAPs,G$3,FALSE),"")</f>
        <v>3364.7</v>
      </c>
      <c r="H96" s="64" t="e">
        <f ca="1">VLOOKUP($A96,[1]!LOOKUP_SARS_2009_Change_Breakdown2,H$3,FALSE)+0</f>
        <v>#N/A</v>
      </c>
      <c r="I96" s="64" t="e">
        <f ca="1">VLOOKUP($A96,[1]!LOOKUP_SARS_2009_Change_Breakdown2,I$3,FALSE)+0</f>
        <v>#N/A</v>
      </c>
      <c r="J96" s="64" t="e">
        <f ca="1">VLOOKUP($A96,[1]!LOOKUP_SARS_2009_Change_Breakdown2,J$3,FALSE)+0</f>
        <v>#N/A</v>
      </c>
      <c r="K96" s="64" t="e">
        <f ca="1">VLOOKUP($A96,[1]!LOOKUP_SARS_2009_Change_Breakdown2,K$3,FALSE)+0</f>
        <v>#N/A</v>
      </c>
      <c r="L96" s="64" t="e">
        <f ca="1">VLOOKUP($A96,[1]!LOOKUP_SARS_2009_Change_Breakdown2,L$3,FALSE)+0</f>
        <v>#N/A</v>
      </c>
      <c r="M96" s="64" t="e">
        <f ca="1">VLOOKUP($A96,[1]!LOOKUP_SARS_2009_Change_Breakdown2,M$3,FALSE)+0</f>
        <v>#N/A</v>
      </c>
      <c r="N96" s="64" t="e">
        <f ca="1">VLOOKUP($A96,[1]!LOOKUP_SARS_2009_Change_Breakdown2,N$3,FALSE)+0</f>
        <v>#N/A</v>
      </c>
      <c r="O96" s="64" t="e">
        <f ca="1">VLOOKUP($A96,[1]!LOOKUP_SARS_2009_Change_Breakdown2,O$3,FALSE)+0</f>
        <v>#N/A</v>
      </c>
      <c r="P96" s="26">
        <f ca="1">VLOOKUP($A96,[1]!LOOKUP_SARS_Unified2,P$3,FALSE)</f>
        <v>11834.8</v>
      </c>
      <c r="Q96" s="1">
        <f t="shared" ca="1" si="32"/>
        <v>8.4496569439280775E-5</v>
      </c>
      <c r="R96" s="1">
        <v>1</v>
      </c>
      <c r="S96" s="37" t="e">
        <f t="shared" ca="1" si="30"/>
        <v>#N/A</v>
      </c>
      <c r="T96" s="73">
        <f t="shared" ca="1" si="31"/>
        <v>0</v>
      </c>
      <c r="CL96" s="37"/>
      <c r="CM96" s="37"/>
      <c r="CN96" s="37"/>
      <c r="CO96" s="37"/>
      <c r="CP96" s="37"/>
      <c r="CQ96" s="37"/>
      <c r="CR96" s="37"/>
      <c r="CS96" s="37"/>
      <c r="CT96" s="63"/>
      <c r="CU96" s="62"/>
      <c r="CV96" s="19"/>
    </row>
    <row r="97" spans="1:98" s="1" customFormat="1" x14ac:dyDescent="0.25">
      <c r="A97" s="92" t="s">
        <v>50</v>
      </c>
      <c r="B97" s="66">
        <f ca="1">IFERROR(VLOOKUP($A97,[1]!LOOKUP_MDAPs,B$3,FALSE)/$G97,"")</f>
        <v>0</v>
      </c>
      <c r="C97" s="66">
        <f ca="1">IFERROR(VLOOKUP($A97,[1]!LOOKUP_MDAPs,C$3,FALSE)/$G97,"")</f>
        <v>0</v>
      </c>
      <c r="D97" s="66">
        <f ca="1">IFERROR(VLOOKUP($A97,[1]!LOOKUP_MDAPs,D$3,FALSE)/$G97,"")</f>
        <v>0</v>
      </c>
      <c r="E97" s="66">
        <f ca="1">IFERROR(VLOOKUP($A97,[1]!LOOKUP_MDAPs,E$3,FALSE)/$G97,"")</f>
        <v>0</v>
      </c>
      <c r="F97" s="66">
        <f ca="1">IFERROR(VLOOKUP($A97,[1]!LOOKUP_MDAPs,F$3,FALSE)/$G97,"")</f>
        <v>0</v>
      </c>
      <c r="G97" s="65">
        <f ca="1">IFERROR(VLOOKUP($A97,[1]!LOOKUP_MDAPs,G$3,FALSE),"")</f>
        <v>544.20000000000005</v>
      </c>
      <c r="H97" s="64">
        <f ca="1">VLOOKUP($A97,[1]!LOOKUP_SARS_2009_Change_Breakdown2,H$3,FALSE)+0</f>
        <v>-92.9</v>
      </c>
      <c r="I97" s="64" t="e">
        <f ca="1">VLOOKUP($A97,[1]!LOOKUP_SARS_2009_Change_Breakdown2,I$3,FALSE)+0</f>
        <v>#REF!</v>
      </c>
      <c r="J97" s="64" t="e">
        <f ca="1">VLOOKUP($A97,[1]!LOOKUP_SARS_2009_Change_Breakdown2,J$3,FALSE)+0</f>
        <v>#REF!</v>
      </c>
      <c r="K97" s="64" t="e">
        <f ca="1">VLOOKUP($A97,[1]!LOOKUP_SARS_2009_Change_Breakdown2,K$3,FALSE)+0</f>
        <v>#REF!</v>
      </c>
      <c r="L97" s="64" t="e">
        <f ca="1">VLOOKUP($A97,[1]!LOOKUP_SARS_2009_Change_Breakdown2,L$3,FALSE)+0</f>
        <v>#REF!</v>
      </c>
      <c r="M97" s="64" t="e">
        <f ca="1">VLOOKUP($A97,[1]!LOOKUP_SARS_2009_Change_Breakdown2,M$3,FALSE)+0</f>
        <v>#REF!</v>
      </c>
      <c r="N97" s="64" t="e">
        <f ca="1">VLOOKUP($A97,[1]!LOOKUP_SARS_2009_Change_Breakdown2,N$3,FALSE)+0</f>
        <v>#REF!</v>
      </c>
      <c r="O97" s="64" t="e">
        <f ca="1">VLOOKUP($A97,[1]!LOOKUP_SARS_2009_Change_Breakdown2,O$3,FALSE)+0</f>
        <v>#REF!</v>
      </c>
      <c r="P97" s="26">
        <f ca="1">VLOOKUP($A97,[1]!LOOKUP_SARS_Unified2,P$3,FALSE)</f>
        <v>1449.4</v>
      </c>
      <c r="Q97" s="1">
        <f t="shared" ca="1" si="32"/>
        <v>6.8994066510280107E-4</v>
      </c>
      <c r="R97" s="1">
        <v>1</v>
      </c>
      <c r="S97" s="37" t="e">
        <f t="shared" ref="S97:S115" ca="1" si="33">SUM(O97)*Q97</f>
        <v>#REF!</v>
      </c>
      <c r="T97" s="73">
        <f t="shared" ref="T97:T115" ca="1" si="34">P97*B97</f>
        <v>0</v>
      </c>
      <c r="U97" s="13"/>
      <c r="CL97" s="37"/>
      <c r="CM97" s="37"/>
      <c r="CN97" s="37"/>
      <c r="CO97" s="37"/>
      <c r="CP97" s="37"/>
      <c r="CQ97" s="37"/>
      <c r="CR97" s="37"/>
      <c r="CS97" s="37"/>
    </row>
    <row r="98" spans="1:98" s="1" customFormat="1" x14ac:dyDescent="0.25">
      <c r="A98" s="92" t="s">
        <v>248</v>
      </c>
      <c r="B98" s="66">
        <f ca="1">IFERROR(VLOOKUP($A98,[1]!LOOKUP_MDAPs,B$3,FALSE)/$G98,"")</f>
        <v>0.2297135495800362</v>
      </c>
      <c r="C98" s="66">
        <f ca="1">IFERROR(VLOOKUP($A98,[1]!LOOKUP_MDAPs,C$3,FALSE)/$G98,"")</f>
        <v>1.6024675966186837E-3</v>
      </c>
      <c r="D98" s="66">
        <f ca="1">IFERROR(VLOOKUP($A98,[1]!LOOKUP_MDAPs,D$3,FALSE)/$G98,"")</f>
        <v>2.8978434655791718E-3</v>
      </c>
      <c r="E98" s="66">
        <f ca="1">IFERROR(VLOOKUP($A98,[1]!LOOKUP_MDAPs,E$3,FALSE)/$G98,"")</f>
        <v>5.9672065576471221E-2</v>
      </c>
      <c r="F98" s="66">
        <f ca="1">IFERROR(VLOOKUP($A98,[1]!LOOKUP_MDAPs,F$3,FALSE)/$G98,"")</f>
        <v>1.9212174494287952E-3</v>
      </c>
      <c r="G98" s="65">
        <f ca="1">IFERROR(VLOOKUP($A98,[1]!LOOKUP_MDAPs,G$3,FALSE),"")</f>
        <v>7405.4</v>
      </c>
      <c r="H98" s="64">
        <f ca="1">VLOOKUP($A98,[1]!LOOKUP_SARS_2009_Change_Breakdown2,H$3,FALSE)+0</f>
        <v>8314.2999999999993</v>
      </c>
      <c r="I98" s="64" t="e">
        <f ca="1">VLOOKUP($A98,[1]!LOOKUP_SARS_2009_Change_Breakdown2,I$3,FALSE)+0</f>
        <v>#REF!</v>
      </c>
      <c r="J98" s="64" t="e">
        <f ca="1">VLOOKUP($A98,[1]!LOOKUP_SARS_2009_Change_Breakdown2,J$3,FALSE)+0</f>
        <v>#REF!</v>
      </c>
      <c r="K98" s="64" t="e">
        <f ca="1">VLOOKUP($A98,[1]!LOOKUP_SARS_2009_Change_Breakdown2,K$3,FALSE)+0</f>
        <v>#REF!</v>
      </c>
      <c r="L98" s="64" t="e">
        <f ca="1">VLOOKUP($A98,[1]!LOOKUP_SARS_2009_Change_Breakdown2,L$3,FALSE)+0</f>
        <v>#REF!</v>
      </c>
      <c r="M98" s="64" t="e">
        <f ca="1">VLOOKUP($A98,[1]!LOOKUP_SARS_2009_Change_Breakdown2,M$3,FALSE)+0</f>
        <v>#REF!</v>
      </c>
      <c r="N98" s="64" t="e">
        <f ca="1">VLOOKUP($A98,[1]!LOOKUP_SARS_2009_Change_Breakdown2,N$3,FALSE)+0</f>
        <v>#REF!</v>
      </c>
      <c r="O98" s="64" t="e">
        <f ca="1">VLOOKUP($A98,[1]!LOOKUP_SARS_2009_Change_Breakdown2,O$3,FALSE)+0</f>
        <v>#REF!</v>
      </c>
      <c r="P98" s="26">
        <f ca="1">VLOOKUP($A98,[1]!LOOKUP_SARS_Unified2,P$3,FALSE)</f>
        <v>5394</v>
      </c>
      <c r="Q98" s="1">
        <f t="shared" ca="1" si="32"/>
        <v>1.853911753800519E-4</v>
      </c>
      <c r="R98" s="1">
        <v>1</v>
      </c>
      <c r="S98" s="37" t="e">
        <f t="shared" ca="1" si="33"/>
        <v>#REF!</v>
      </c>
      <c r="T98" s="73">
        <f t="shared" ca="1" si="34"/>
        <v>1239.0748864347154</v>
      </c>
      <c r="CL98" s="37"/>
      <c r="CM98" s="37"/>
      <c r="CN98" s="37"/>
      <c r="CO98" s="37"/>
      <c r="CP98" s="37">
        <f>SUM(CP12:CP96)/ROW(CP12:CP96)</f>
        <v>0</v>
      </c>
      <c r="CQ98" s="37">
        <f>SUM(CQ12:CQ96)/ROW(CQ12:CQ96)</f>
        <v>0</v>
      </c>
      <c r="CR98" s="37">
        <f>SUM(CR12:CR96)/ROW(CR12:CR96)</f>
        <v>0</v>
      </c>
      <c r="CS98" s="37">
        <f>SUM(CS12:CS96)/ROW(CS12:CS96)</f>
        <v>0</v>
      </c>
      <c r="CT98" s="37">
        <f>SUM(CT12:CT96)</f>
        <v>0</v>
      </c>
    </row>
    <row r="99" spans="1:98" s="1" customFormat="1" x14ac:dyDescent="0.25">
      <c r="A99" s="92" t="s">
        <v>64</v>
      </c>
      <c r="B99" s="66">
        <f ca="1">IFERROR(VLOOKUP($A99,[1]!LOOKUP_MDAPs,B$3,FALSE)/$G99,"")</f>
        <v>5.6049175672912517E-2</v>
      </c>
      <c r="C99" s="66">
        <f ca="1">IFERROR(VLOOKUP($A99,[1]!LOOKUP_MDAPs,C$3,FALSE)/$G99,"")</f>
        <v>0</v>
      </c>
      <c r="D99" s="66">
        <f ca="1">IFERROR(VLOOKUP($A99,[1]!LOOKUP_MDAPs,D$3,FALSE)/$G99,"")</f>
        <v>3.737450508892845E-2</v>
      </c>
      <c r="E99" s="66">
        <f ca="1">IFERROR(VLOOKUP($A99,[1]!LOOKUP_MDAPs,E$3,FALSE)/$G99,"")</f>
        <v>2.376395272690416E-2</v>
      </c>
      <c r="F99" s="66">
        <f ca="1">IFERROR(VLOOKUP($A99,[1]!LOOKUP_MDAPs,F$3,FALSE)/$G99,"")</f>
        <v>1.4850584336606088E-4</v>
      </c>
      <c r="G99" s="65">
        <f ca="1">IFERROR(VLOOKUP($A99,[1]!LOOKUP_MDAPs,G$3,FALSE),"")</f>
        <v>11346.2</v>
      </c>
      <c r="H99" s="64">
        <f ca="1">VLOOKUP($A99,[1]!LOOKUP_SARS_2009_Change_Breakdown2,H$3,FALSE)+0</f>
        <v>10968.3</v>
      </c>
      <c r="I99" s="64" t="e">
        <f ca="1">VLOOKUP($A99,[1]!LOOKUP_SARS_2009_Change_Breakdown2,I$3,FALSE)+0</f>
        <v>#REF!</v>
      </c>
      <c r="J99" s="64" t="e">
        <f ca="1">VLOOKUP($A99,[1]!LOOKUP_SARS_2009_Change_Breakdown2,J$3,FALSE)+0</f>
        <v>#REF!</v>
      </c>
      <c r="K99" s="64" t="e">
        <f ca="1">VLOOKUP($A99,[1]!LOOKUP_SARS_2009_Change_Breakdown2,K$3,FALSE)+0</f>
        <v>#REF!</v>
      </c>
      <c r="L99" s="64" t="e">
        <f ca="1">VLOOKUP($A99,[1]!LOOKUP_SARS_2009_Change_Breakdown2,L$3,FALSE)+0</f>
        <v>#REF!</v>
      </c>
      <c r="M99" s="64" t="e">
        <f ca="1">VLOOKUP($A99,[1]!LOOKUP_SARS_2009_Change_Breakdown2,M$3,FALSE)+0</f>
        <v>#REF!</v>
      </c>
      <c r="N99" s="64" t="e">
        <f ca="1">VLOOKUP($A99,[1]!LOOKUP_SARS_2009_Change_Breakdown2,N$3,FALSE)+0</f>
        <v>#REF!</v>
      </c>
      <c r="O99" s="64" t="e">
        <f ca="1">VLOOKUP($A99,[1]!LOOKUP_SARS_2009_Change_Breakdown2,O$3,FALSE)+0</f>
        <v>#REF!</v>
      </c>
      <c r="P99" s="26">
        <f ca="1">VLOOKUP($A99,[1]!LOOKUP_SARS_Unified2,P$3,FALSE)</f>
        <v>4147.3</v>
      </c>
      <c r="Q99" s="1">
        <f t="shared" ca="1" si="32"/>
        <v>2.4112072914908494E-4</v>
      </c>
      <c r="R99" s="1">
        <v>1</v>
      </c>
      <c r="S99" s="37" t="e">
        <f t="shared" ca="1" si="33"/>
        <v>#REF!</v>
      </c>
      <c r="T99" s="73">
        <f t="shared" ca="1" si="34"/>
        <v>232.45274626827009</v>
      </c>
      <c r="CL99" s="37"/>
      <c r="CM99" s="37"/>
      <c r="CN99" s="37">
        <f>SUM(CN12:CN97)/ROW(CN12:CN97)</f>
        <v>0</v>
      </c>
      <c r="CO99" s="37">
        <f>SUM(CO12:CO97)/ROW(CO12:CO97)</f>
        <v>0</v>
      </c>
      <c r="CP99" s="37"/>
      <c r="CQ99" s="37"/>
      <c r="CR99" s="37"/>
      <c r="CS99" s="37"/>
    </row>
    <row r="100" spans="1:98" s="1" customFormat="1" x14ac:dyDescent="0.25">
      <c r="A100" s="92" t="s">
        <v>79</v>
      </c>
      <c r="B100" s="66">
        <f ca="1">IFERROR(VLOOKUP($A100,[1]!LOOKUP_MDAPs,B$3,FALSE)/$G100,"")</f>
        <v>1.1909962231331709E-2</v>
      </c>
      <c r="C100" s="66">
        <f ca="1">IFERROR(VLOOKUP($A100,[1]!LOOKUP_MDAPs,C$3,FALSE)/$G100,"")</f>
        <v>0</v>
      </c>
      <c r="D100" s="66">
        <f ca="1">IFERROR(VLOOKUP($A100,[1]!LOOKUP_MDAPs,D$3,FALSE)/$G100,"")</f>
        <v>5.8724019499224462E-4</v>
      </c>
      <c r="E100" s="66">
        <f ca="1">IFERROR(VLOOKUP($A100,[1]!LOOKUP_MDAPs,E$3,FALSE)/$G100,"")</f>
        <v>0</v>
      </c>
      <c r="F100" s="66">
        <f ca="1">IFERROR(VLOOKUP($A100,[1]!LOOKUP_MDAPs,F$3,FALSE)/$G100,"")</f>
        <v>0</v>
      </c>
      <c r="G100" s="65">
        <f ca="1">IFERROR(VLOOKUP($A100,[1]!LOOKUP_MDAPs,G$3,FALSE),"")</f>
        <v>902.6</v>
      </c>
      <c r="H100" s="64">
        <f ca="1">VLOOKUP($A100,[1]!LOOKUP_SARS_2009_Change_Breakdown2,H$3,FALSE)+0</f>
        <v>55.9</v>
      </c>
      <c r="I100" s="64" t="e">
        <f ca="1">VLOOKUP($A100,[1]!LOOKUP_SARS_2009_Change_Breakdown2,I$3,FALSE)+0</f>
        <v>#REF!</v>
      </c>
      <c r="J100" s="64" t="e">
        <f ca="1">VLOOKUP($A100,[1]!LOOKUP_SARS_2009_Change_Breakdown2,J$3,FALSE)+0</f>
        <v>#REF!</v>
      </c>
      <c r="K100" s="64" t="e">
        <f ca="1">VLOOKUP($A100,[1]!LOOKUP_SARS_2009_Change_Breakdown2,K$3,FALSE)+0</f>
        <v>#REF!</v>
      </c>
      <c r="L100" s="64" t="e">
        <f ca="1">VLOOKUP($A100,[1]!LOOKUP_SARS_2009_Change_Breakdown2,L$3,FALSE)+0</f>
        <v>#REF!</v>
      </c>
      <c r="M100" s="64" t="e">
        <f ca="1">VLOOKUP($A100,[1]!LOOKUP_SARS_2009_Change_Breakdown2,M$3,FALSE)+0</f>
        <v>#REF!</v>
      </c>
      <c r="N100" s="64" t="e">
        <f ca="1">VLOOKUP($A100,[1]!LOOKUP_SARS_2009_Change_Breakdown2,N$3,FALSE)+0</f>
        <v>#REF!</v>
      </c>
      <c r="O100" s="64" t="e">
        <f ca="1">VLOOKUP($A100,[1]!LOOKUP_SARS_2009_Change_Breakdown2,O$3,FALSE)+0</f>
        <v>#REF!</v>
      </c>
      <c r="P100" s="26">
        <f ca="1">VLOOKUP($A100,[1]!LOOKUP_SARS_Unified2,P$3,FALSE)</f>
        <v>825.8</v>
      </c>
      <c r="Q100" s="1">
        <f t="shared" ca="1" si="32"/>
        <v>1.2109469605231292E-3</v>
      </c>
      <c r="R100" s="1">
        <v>1</v>
      </c>
      <c r="S100" s="37" t="e">
        <f t="shared" ca="1" si="33"/>
        <v>#REF!</v>
      </c>
      <c r="T100" s="73">
        <f t="shared" ca="1" si="34"/>
        <v>9.8352468106337252</v>
      </c>
      <c r="CL100" s="37"/>
      <c r="CM100" s="37"/>
      <c r="CN100" s="37"/>
      <c r="CO100" s="37"/>
      <c r="CP100" s="37"/>
      <c r="CQ100" s="37"/>
      <c r="CR100" s="37"/>
      <c r="CS100" s="37"/>
    </row>
    <row r="101" spans="1:98" s="1" customFormat="1" x14ac:dyDescent="0.25">
      <c r="A101" s="92" t="s">
        <v>67</v>
      </c>
      <c r="B101" s="66">
        <f ca="1">IFERROR(VLOOKUP($A101,[1]!LOOKUP_MDAPs,B$3,FALSE)/$G101,"")</f>
        <v>0</v>
      </c>
      <c r="C101" s="66">
        <f ca="1">IFERROR(VLOOKUP($A101,[1]!LOOKUP_MDAPs,C$3,FALSE)/$G101,"")</f>
        <v>0</v>
      </c>
      <c r="D101" s="66">
        <f ca="1">IFERROR(VLOOKUP($A101,[1]!LOOKUP_MDAPs,D$3,FALSE)/$G101,"")</f>
        <v>0</v>
      </c>
      <c r="E101" s="66">
        <f ca="1">IFERROR(VLOOKUP($A101,[1]!LOOKUP_MDAPs,E$3,FALSE)/$G101,"")</f>
        <v>0</v>
      </c>
      <c r="F101" s="66">
        <f ca="1">IFERROR(VLOOKUP($A101,[1]!LOOKUP_MDAPs,F$3,FALSE)/$G101,"")</f>
        <v>0</v>
      </c>
      <c r="G101" s="65">
        <f ca="1">IFERROR(VLOOKUP($A101,[1]!LOOKUP_MDAPs,G$3,FALSE),"")</f>
        <v>1378.7</v>
      </c>
      <c r="H101" s="64">
        <f ca="1">VLOOKUP($A101,[1]!LOOKUP_SARS_2009_Change_Breakdown2,H$3,FALSE)+0</f>
        <v>616.70000000000005</v>
      </c>
      <c r="I101" s="64" t="e">
        <f ca="1">VLOOKUP($A101,[1]!LOOKUP_SARS_2009_Change_Breakdown2,I$3,FALSE)+0</f>
        <v>#REF!</v>
      </c>
      <c r="J101" s="64" t="e">
        <f ca="1">VLOOKUP($A101,[1]!LOOKUP_SARS_2009_Change_Breakdown2,J$3,FALSE)+0</f>
        <v>#REF!</v>
      </c>
      <c r="K101" s="64" t="e">
        <f ca="1">VLOOKUP($A101,[1]!LOOKUP_SARS_2009_Change_Breakdown2,K$3,FALSE)+0</f>
        <v>#REF!</v>
      </c>
      <c r="L101" s="64" t="e">
        <f ca="1">VLOOKUP($A101,[1]!LOOKUP_SARS_2009_Change_Breakdown2,L$3,FALSE)+0</f>
        <v>#REF!</v>
      </c>
      <c r="M101" s="64" t="e">
        <f ca="1">VLOOKUP($A101,[1]!LOOKUP_SARS_2009_Change_Breakdown2,M$3,FALSE)+0</f>
        <v>#REF!</v>
      </c>
      <c r="N101" s="64" t="e">
        <f ca="1">VLOOKUP($A101,[1]!LOOKUP_SARS_2009_Change_Breakdown2,N$3,FALSE)+0</f>
        <v>#REF!</v>
      </c>
      <c r="O101" s="64" t="e">
        <f ca="1">VLOOKUP($A101,[1]!LOOKUP_SARS_2009_Change_Breakdown2,O$3,FALSE)+0</f>
        <v>#REF!</v>
      </c>
      <c r="P101" s="26">
        <f ca="1">VLOOKUP($A101,[1]!LOOKUP_SARS_Unified2,P$3,FALSE)</f>
        <v>6597.2</v>
      </c>
      <c r="Q101" s="1">
        <f t="shared" ca="1" si="32"/>
        <v>1.5157945795185837E-4</v>
      </c>
      <c r="R101" s="1">
        <v>1</v>
      </c>
      <c r="S101" s="37" t="e">
        <f t="shared" ca="1" si="33"/>
        <v>#REF!</v>
      </c>
      <c r="T101" s="73">
        <f t="shared" ca="1" si="34"/>
        <v>0</v>
      </c>
    </row>
    <row r="102" spans="1:98" s="1" customFormat="1" x14ac:dyDescent="0.25">
      <c r="A102" s="92" t="s">
        <v>75</v>
      </c>
      <c r="B102" s="66">
        <f ca="1">IFERROR(VLOOKUP($A102,[1]!LOOKUP_MDAPs,B$3,FALSE)/$G102,"")</f>
        <v>5.8409156893289724E-2</v>
      </c>
      <c r="C102" s="66">
        <f ca="1">IFERROR(VLOOKUP($A102,[1]!LOOKUP_MDAPs,C$3,FALSE)/$G102,"")</f>
        <v>7.3609466404385107E-2</v>
      </c>
      <c r="D102" s="66">
        <f ca="1">IFERROR(VLOOKUP($A102,[1]!LOOKUP_MDAPs,D$3,FALSE)/$G102,"")</f>
        <v>2.2094217045354081E-4</v>
      </c>
      <c r="E102" s="66">
        <f ca="1">IFERROR(VLOOKUP($A102,[1]!LOOKUP_MDAPs,E$3,FALSE)/$G102,"")</f>
        <v>1.1534224277473255E-2</v>
      </c>
      <c r="F102" s="66">
        <f ca="1">IFERROR(VLOOKUP($A102,[1]!LOOKUP_MDAPs,F$3,FALSE)/$G102,"")</f>
        <v>3.2546831403058971E-3</v>
      </c>
      <c r="G102" s="65">
        <f ca="1">IFERROR(VLOOKUP($A102,[1]!LOOKUP_MDAPs,G$3,FALSE),"")</f>
        <v>45244</v>
      </c>
      <c r="H102" s="64">
        <f ca="1">VLOOKUP($A102,[1]!LOOKUP_SARS_2009_Change_Breakdown2,H$3,FALSE)+0</f>
        <v>20313.099999999999</v>
      </c>
      <c r="I102" s="64" t="e">
        <f ca="1">VLOOKUP($A102,[1]!LOOKUP_SARS_2009_Change_Breakdown2,I$3,FALSE)+0</f>
        <v>#REF!</v>
      </c>
      <c r="J102" s="64" t="e">
        <f ca="1">VLOOKUP($A102,[1]!LOOKUP_SARS_2009_Change_Breakdown2,J$3,FALSE)+0</f>
        <v>#REF!</v>
      </c>
      <c r="K102" s="64" t="e">
        <f ca="1">VLOOKUP($A102,[1]!LOOKUP_SARS_2009_Change_Breakdown2,K$3,FALSE)+0</f>
        <v>#REF!</v>
      </c>
      <c r="L102" s="64" t="e">
        <f ca="1">VLOOKUP($A102,[1]!LOOKUP_SARS_2009_Change_Breakdown2,L$3,FALSE)+0</f>
        <v>#REF!</v>
      </c>
      <c r="M102" s="64" t="e">
        <f ca="1">VLOOKUP($A102,[1]!LOOKUP_SARS_2009_Change_Breakdown2,M$3,FALSE)+0</f>
        <v>#REF!</v>
      </c>
      <c r="N102" s="64" t="e">
        <f ca="1">VLOOKUP($A102,[1]!LOOKUP_SARS_2009_Change_Breakdown2,N$3,FALSE)+0</f>
        <v>#REF!</v>
      </c>
      <c r="O102" s="64" t="e">
        <f ca="1">VLOOKUP($A102,[1]!LOOKUP_SARS_2009_Change_Breakdown2,O$3,FALSE)+0</f>
        <v>#REF!</v>
      </c>
      <c r="P102" s="26">
        <f ca="1">VLOOKUP($A102,[1]!LOOKUP_SARS_Unified2,P$3,FALSE)</f>
        <v>93207.3</v>
      </c>
      <c r="Q102" s="1">
        <f t="shared" ca="1" si="32"/>
        <v>1.0728773390067087E-5</v>
      </c>
      <c r="R102" s="1">
        <v>1</v>
      </c>
      <c r="S102" s="37" t="e">
        <f t="shared" ca="1" si="33"/>
        <v>#REF!</v>
      </c>
      <c r="T102" s="73">
        <f t="shared" ca="1" si="34"/>
        <v>5444.1598092999238</v>
      </c>
    </row>
    <row r="103" spans="1:98" s="1" customFormat="1" x14ac:dyDescent="0.25">
      <c r="A103" s="92" t="s">
        <v>40</v>
      </c>
      <c r="B103" s="66">
        <f ca="1">IFERROR(VLOOKUP($A103,[1]!LOOKUP_MDAPs,B$3,FALSE)/$G103,"")</f>
        <v>0.50279789212314641</v>
      </c>
      <c r="C103" s="66">
        <f ca="1">IFERROR(VLOOKUP($A103,[1]!LOOKUP_MDAPs,C$3,FALSE)/$G103,"")</f>
        <v>4.9189440787286384E-5</v>
      </c>
      <c r="D103" s="66">
        <f ca="1">IFERROR(VLOOKUP($A103,[1]!LOOKUP_MDAPs,D$3,FALSE)/$G103,"")</f>
        <v>0.11661914938027794</v>
      </c>
      <c r="E103" s="66">
        <f ca="1">IFERROR(VLOOKUP($A103,[1]!LOOKUP_MDAPs,E$3,FALSE)/$G103,"")</f>
        <v>0.53773695506084185</v>
      </c>
      <c r="F103" s="66">
        <f ca="1">IFERROR(VLOOKUP($A103,[1]!LOOKUP_MDAPs,F$3,FALSE)/$G103,"")</f>
        <v>2.569046642728905E-3</v>
      </c>
      <c r="G103" s="65">
        <f ca="1">IFERROR(VLOOKUP($A103,[1]!LOOKUP_MDAPs,G$3,FALSE),"")</f>
        <v>15039</v>
      </c>
      <c r="H103" s="64">
        <f ca="1">VLOOKUP($A103,[1]!LOOKUP_SARS_2009_Change_Breakdown2,H$3,FALSE)+0</f>
        <v>6661.3</v>
      </c>
      <c r="I103" s="64" t="e">
        <f ca="1">VLOOKUP($A103,[1]!LOOKUP_SARS_2009_Change_Breakdown2,I$3,FALSE)+0</f>
        <v>#REF!</v>
      </c>
      <c r="J103" s="64" t="e">
        <f ca="1">VLOOKUP($A103,[1]!LOOKUP_SARS_2009_Change_Breakdown2,J$3,FALSE)+0</f>
        <v>#REF!</v>
      </c>
      <c r="K103" s="64" t="e">
        <f ca="1">VLOOKUP($A103,[1]!LOOKUP_SARS_2009_Change_Breakdown2,K$3,FALSE)+0</f>
        <v>#REF!</v>
      </c>
      <c r="L103" s="64" t="e">
        <f ca="1">VLOOKUP($A103,[1]!LOOKUP_SARS_2009_Change_Breakdown2,L$3,FALSE)+0</f>
        <v>#REF!</v>
      </c>
      <c r="M103" s="64" t="e">
        <f ca="1">VLOOKUP($A103,[1]!LOOKUP_SARS_2009_Change_Breakdown2,M$3,FALSE)+0</f>
        <v>#REF!</v>
      </c>
      <c r="N103" s="64" t="e">
        <f ca="1">VLOOKUP($A103,[1]!LOOKUP_SARS_2009_Change_Breakdown2,N$3,FALSE)+0</f>
        <v>#REF!</v>
      </c>
      <c r="O103" s="64" t="e">
        <f ca="1">VLOOKUP($A103,[1]!LOOKUP_SARS_2009_Change_Breakdown2,O$3,FALSE)+0</f>
        <v>#REF!</v>
      </c>
      <c r="P103" s="26">
        <f ca="1">VLOOKUP($A103,[1]!LOOKUP_SARS_Unified2,P$3,FALSE)</f>
        <v>8534.7000000000007</v>
      </c>
      <c r="Q103" s="1">
        <f t="shared" ca="1" si="32"/>
        <v>1.1716873469483402E-4</v>
      </c>
      <c r="R103" s="1">
        <v>1</v>
      </c>
      <c r="S103" s="37" t="e">
        <f t="shared" ca="1" si="33"/>
        <v>#REF!</v>
      </c>
      <c r="T103" s="73">
        <f t="shared" ca="1" si="34"/>
        <v>4291.2291699034176</v>
      </c>
    </row>
    <row r="104" spans="1:98" s="1" customFormat="1" x14ac:dyDescent="0.25">
      <c r="A104" s="92" t="s">
        <v>42</v>
      </c>
      <c r="B104" s="66">
        <f ca="1">IFERROR(VLOOKUP($A104,[1]!LOOKUP_MDAPs,B$3,FALSE)/$G104,"")</f>
        <v>0.41713610271317825</v>
      </c>
      <c r="C104" s="66">
        <f ca="1">IFERROR(VLOOKUP($A104,[1]!LOOKUP_MDAPs,C$3,FALSE)/$G104,"")</f>
        <v>0</v>
      </c>
      <c r="D104" s="66">
        <f ca="1">IFERROR(VLOOKUP($A104,[1]!LOOKUP_MDAPs,D$3,FALSE)/$G104,"")</f>
        <v>9.5022324305759978E-3</v>
      </c>
      <c r="E104" s="66">
        <f ca="1">IFERROR(VLOOKUP($A104,[1]!LOOKUP_MDAPs,E$3,FALSE)/$G104,"")</f>
        <v>7.9159923979491703E-2</v>
      </c>
      <c r="F104" s="66">
        <f ca="1">IFERROR(VLOOKUP($A104,[1]!LOOKUP_MDAPs,F$3,FALSE)/$G104,"")</f>
        <v>2.126368854871946E-4</v>
      </c>
      <c r="G104" s="65">
        <f ca="1">IFERROR(VLOOKUP($A104,[1]!LOOKUP_MDAPs,G$3,FALSE),"")</f>
        <v>4076.4</v>
      </c>
      <c r="H104" s="64">
        <f ca="1">VLOOKUP($A104,[1]!LOOKUP_SARS_2009_Change_Breakdown2,H$3,FALSE)+0</f>
        <v>3595.1</v>
      </c>
      <c r="I104" s="64" t="e">
        <f ca="1">VLOOKUP($A104,[1]!LOOKUP_SARS_2009_Change_Breakdown2,I$3,FALSE)+0</f>
        <v>#REF!</v>
      </c>
      <c r="J104" s="64" t="e">
        <f ca="1">VLOOKUP($A104,[1]!LOOKUP_SARS_2009_Change_Breakdown2,J$3,FALSE)+0</f>
        <v>#REF!</v>
      </c>
      <c r="K104" s="64" t="e">
        <f ca="1">VLOOKUP($A104,[1]!LOOKUP_SARS_2009_Change_Breakdown2,K$3,FALSE)+0</f>
        <v>#REF!</v>
      </c>
      <c r="L104" s="64" t="e">
        <f ca="1">VLOOKUP($A104,[1]!LOOKUP_SARS_2009_Change_Breakdown2,L$3,FALSE)+0</f>
        <v>#REF!</v>
      </c>
      <c r="M104" s="64" t="e">
        <f ca="1">VLOOKUP($A104,[1]!LOOKUP_SARS_2009_Change_Breakdown2,M$3,FALSE)+0</f>
        <v>#REF!</v>
      </c>
      <c r="N104" s="64" t="e">
        <f ca="1">VLOOKUP($A104,[1]!LOOKUP_SARS_2009_Change_Breakdown2,N$3,FALSE)+0</f>
        <v>#REF!</v>
      </c>
      <c r="O104" s="64" t="e">
        <f ca="1">VLOOKUP($A104,[1]!LOOKUP_SARS_2009_Change_Breakdown2,O$3,FALSE)+0</f>
        <v>#REF!</v>
      </c>
      <c r="P104" s="26">
        <f ca="1">VLOOKUP($A104,[1]!LOOKUP_SARS_Unified2,P$3,FALSE)</f>
        <v>3290.3</v>
      </c>
      <c r="Q104" s="1">
        <f t="shared" ca="1" si="32"/>
        <v>3.0392365437802025E-4</v>
      </c>
      <c r="R104" s="1">
        <v>1</v>
      </c>
      <c r="S104" s="37" t="e">
        <f t="shared" ca="1" si="33"/>
        <v>#REF!</v>
      </c>
      <c r="T104" s="73">
        <f t="shared" ca="1" si="34"/>
        <v>1372.5029187571704</v>
      </c>
      <c r="U104" s="13"/>
      <c r="V104" s="13"/>
      <c r="W104" s="13"/>
      <c r="X104" s="13"/>
      <c r="Y104" s="13"/>
      <c r="Z104" s="13"/>
    </row>
    <row r="105" spans="1:98" s="1" customFormat="1" x14ac:dyDescent="0.25">
      <c r="A105" s="92" t="s">
        <v>52</v>
      </c>
      <c r="B105" s="66">
        <f ca="1">IFERROR(VLOOKUP($A105,[1]!LOOKUP_MDAPs,B$3,FALSE)/$G105,"")</f>
        <v>1.2347576465687347E-2</v>
      </c>
      <c r="C105" s="66">
        <f ca="1">IFERROR(VLOOKUP($A105,[1]!LOOKUP_MDAPs,C$3,FALSE)/$G105,"")</f>
        <v>0</v>
      </c>
      <c r="D105" s="66">
        <f ca="1">IFERROR(VLOOKUP($A105,[1]!LOOKUP_MDAPs,D$3,FALSE)/$G105,"")</f>
        <v>5.9181173719213614E-4</v>
      </c>
      <c r="E105" s="66">
        <f ca="1">IFERROR(VLOOKUP($A105,[1]!LOOKUP_MDAPs,E$3,FALSE)/$G105,"")</f>
        <v>1.8470571421471897E-2</v>
      </c>
      <c r="F105" s="66">
        <f ca="1">IFERROR(VLOOKUP($A105,[1]!LOOKUP_MDAPs,F$3,FALSE)/$G105,"")</f>
        <v>0</v>
      </c>
      <c r="G105" s="65">
        <f ca="1">IFERROR(VLOOKUP($A105,[1]!LOOKUP_MDAPs,G$3,FALSE),"")</f>
        <v>6841.5</v>
      </c>
      <c r="H105" s="64">
        <f ca="1">VLOOKUP($A105,[1]!LOOKUP_SARS_2009_Change_Breakdown2,H$3,FALSE)+0</f>
        <v>1999</v>
      </c>
      <c r="I105" s="64" t="e">
        <f ca="1">VLOOKUP($A105,[1]!LOOKUP_SARS_2009_Change_Breakdown2,I$3,FALSE)+0</f>
        <v>#REF!</v>
      </c>
      <c r="J105" s="64" t="e">
        <f ca="1">VLOOKUP($A105,[1]!LOOKUP_SARS_2009_Change_Breakdown2,J$3,FALSE)+0</f>
        <v>#REF!</v>
      </c>
      <c r="K105" s="64" t="e">
        <f ca="1">VLOOKUP($A105,[1]!LOOKUP_SARS_2009_Change_Breakdown2,K$3,FALSE)+0</f>
        <v>#REF!</v>
      </c>
      <c r="L105" s="64" t="e">
        <f ca="1">VLOOKUP($A105,[1]!LOOKUP_SARS_2009_Change_Breakdown2,L$3,FALSE)+0</f>
        <v>#REF!</v>
      </c>
      <c r="M105" s="64" t="e">
        <f ca="1">VLOOKUP($A105,[1]!LOOKUP_SARS_2009_Change_Breakdown2,M$3,FALSE)+0</f>
        <v>#REF!</v>
      </c>
      <c r="N105" s="64" t="e">
        <f ca="1">VLOOKUP($A105,[1]!LOOKUP_SARS_2009_Change_Breakdown2,N$3,FALSE)+0</f>
        <v>#REF!</v>
      </c>
      <c r="O105" s="64" t="e">
        <f ca="1">VLOOKUP($A105,[1]!LOOKUP_SARS_2009_Change_Breakdown2,O$3,FALSE)+0</f>
        <v>#REF!</v>
      </c>
      <c r="P105" s="26">
        <f ca="1">VLOOKUP($A105,[1]!LOOKUP_SARS_Unified2,P$3,FALSE)</f>
        <v>4890.2</v>
      </c>
      <c r="Q105" s="1">
        <f t="shared" ca="1" si="32"/>
        <v>2.0449061388082287E-4</v>
      </c>
      <c r="R105" s="1">
        <v>1</v>
      </c>
      <c r="S105" s="37" t="e">
        <f t="shared" ca="1" si="33"/>
        <v>#REF!</v>
      </c>
      <c r="T105" s="73">
        <f t="shared" ca="1" si="34"/>
        <v>60.382118432504264</v>
      </c>
      <c r="U105" s="13"/>
      <c r="V105" s="13"/>
      <c r="W105" s="13"/>
      <c r="X105" s="13"/>
      <c r="Y105" s="13"/>
      <c r="Z105" s="13"/>
    </row>
    <row r="106" spans="1:98" s="1" customFormat="1" x14ac:dyDescent="0.25">
      <c r="A106" s="92" t="s">
        <v>249</v>
      </c>
      <c r="B106" s="66">
        <f ca="1">IFERROR(VLOOKUP($A106,[1]!LOOKUP_MDAPs,B$3,FALSE)/$G106,"")</f>
        <v>3.6768262632816968E-2</v>
      </c>
      <c r="C106" s="66">
        <f ca="1">IFERROR(VLOOKUP($A106,[1]!LOOKUP_MDAPs,C$3,FALSE)/$G106,"")</f>
        <v>5.5707821517916662E-5</v>
      </c>
      <c r="D106" s="66">
        <f ca="1">IFERROR(VLOOKUP($A106,[1]!LOOKUP_MDAPs,D$3,FALSE)/$G106,"")</f>
        <v>1.5193349301057755E-2</v>
      </c>
      <c r="E106" s="66">
        <f ca="1">IFERROR(VLOOKUP($A106,[1]!LOOKUP_MDAPs,E$3,FALSE)/$G106,"")</f>
        <v>0.16555911006285548</v>
      </c>
      <c r="F106" s="66">
        <f ca="1">IFERROR(VLOOKUP($A106,[1]!LOOKUP_MDAPs,F$3,FALSE)/$G106,"")</f>
        <v>6.830890294311923E-4</v>
      </c>
      <c r="G106" s="65">
        <f ca="1">IFERROR(VLOOKUP($A106,[1]!LOOKUP_MDAPs,G$3,FALSE),"")</f>
        <v>33457.699999999997</v>
      </c>
      <c r="H106" s="64">
        <f ca="1">VLOOKUP($A106,[1]!LOOKUP_SARS_2009_Change_Breakdown2,H$3,FALSE)+0</f>
        <v>4027.5</v>
      </c>
      <c r="I106" s="64" t="e">
        <f ca="1">VLOOKUP($A106,[1]!LOOKUP_SARS_2009_Change_Breakdown2,I$3,FALSE)+0</f>
        <v>#REF!</v>
      </c>
      <c r="J106" s="64" t="e">
        <f ca="1">VLOOKUP($A106,[1]!LOOKUP_SARS_2009_Change_Breakdown2,J$3,FALSE)+0</f>
        <v>#REF!</v>
      </c>
      <c r="K106" s="64" t="e">
        <f ca="1">VLOOKUP($A106,[1]!LOOKUP_SARS_2009_Change_Breakdown2,K$3,FALSE)+0</f>
        <v>#REF!</v>
      </c>
      <c r="L106" s="64" t="e">
        <f ca="1">VLOOKUP($A106,[1]!LOOKUP_SARS_2009_Change_Breakdown2,L$3,FALSE)+0</f>
        <v>#REF!</v>
      </c>
      <c r="M106" s="64" t="e">
        <f ca="1">VLOOKUP($A106,[1]!LOOKUP_SARS_2009_Change_Breakdown2,M$3,FALSE)+0</f>
        <v>#REF!</v>
      </c>
      <c r="N106" s="64" t="e">
        <f ca="1">VLOOKUP($A106,[1]!LOOKUP_SARS_2009_Change_Breakdown2,N$3,FALSE)+0</f>
        <v>#REF!</v>
      </c>
      <c r="O106" s="64" t="e">
        <f ca="1">VLOOKUP($A106,[1]!LOOKUP_SARS_2009_Change_Breakdown2,O$3,FALSE)+0</f>
        <v>#REF!</v>
      </c>
      <c r="P106" s="26">
        <f ca="1">VLOOKUP($A106,[1]!LOOKUP_SARS_Unified2,P$3,FALSE)</f>
        <v>35518.5</v>
      </c>
      <c r="Q106" s="1">
        <f t="shared" ca="1" si="32"/>
        <v>2.8154342103410899E-5</v>
      </c>
      <c r="R106" s="1">
        <v>1</v>
      </c>
      <c r="S106" s="37" t="e">
        <f t="shared" ca="1" si="33"/>
        <v>#REF!</v>
      </c>
      <c r="T106" s="73">
        <f t="shared" ca="1" si="34"/>
        <v>1305.9535363237094</v>
      </c>
      <c r="U106" s="13"/>
      <c r="V106" s="13"/>
      <c r="W106" s="13"/>
      <c r="X106" s="13"/>
      <c r="Y106" s="13"/>
      <c r="Z106" s="13"/>
    </row>
    <row r="107" spans="1:98" s="1" customFormat="1" x14ac:dyDescent="0.25">
      <c r="A107" t="s">
        <v>222</v>
      </c>
      <c r="B107" s="66">
        <f ca="1">IFERROR(VLOOKUP($A107,[1]!LOOKUP_MDAPs,B$3,FALSE)/$G107,"")</f>
        <v>0</v>
      </c>
      <c r="C107" s="66">
        <f ca="1">IFERROR(VLOOKUP($A107,[1]!LOOKUP_MDAPs,C$3,FALSE)/$G107,"")</f>
        <v>0</v>
      </c>
      <c r="D107" s="66">
        <f ca="1">IFERROR(VLOOKUP($A107,[1]!LOOKUP_MDAPs,D$3,FALSE)/$G107,"")</f>
        <v>0</v>
      </c>
      <c r="E107" s="66">
        <f ca="1">IFERROR(VLOOKUP($A107,[1]!LOOKUP_MDAPs,E$3,FALSE)/$G107,"")</f>
        <v>0</v>
      </c>
      <c r="F107" s="66">
        <f ca="1">IFERROR(VLOOKUP($A107,[1]!LOOKUP_MDAPs,F$3,FALSE)/$G107,"")</f>
        <v>0</v>
      </c>
      <c r="G107" s="65">
        <f ca="1">IFERROR(VLOOKUP($A107,[1]!LOOKUP_MDAPs,G$3,FALSE),"")</f>
        <v>1904</v>
      </c>
      <c r="H107" s="64" t="e">
        <f ca="1">VLOOKUP($A107,[1]!LOOKUP_SARS_2009_Change_Breakdown2,H$3,FALSE)+0</f>
        <v>#N/A</v>
      </c>
      <c r="I107" s="64" t="e">
        <f ca="1">VLOOKUP($A107,[1]!LOOKUP_SARS_2009_Change_Breakdown2,I$3,FALSE)+0</f>
        <v>#N/A</v>
      </c>
      <c r="J107" s="64" t="e">
        <f ca="1">VLOOKUP($A107,[1]!LOOKUP_SARS_2009_Change_Breakdown2,J$3,FALSE)+0</f>
        <v>#N/A</v>
      </c>
      <c r="K107" s="64" t="e">
        <f ca="1">VLOOKUP($A107,[1]!LOOKUP_SARS_2009_Change_Breakdown2,K$3,FALSE)+0</f>
        <v>#N/A</v>
      </c>
      <c r="L107" s="64" t="e">
        <f ca="1">VLOOKUP($A107,[1]!LOOKUP_SARS_2009_Change_Breakdown2,L$3,FALSE)+0</f>
        <v>#N/A</v>
      </c>
      <c r="M107" s="64" t="e">
        <f ca="1">VLOOKUP($A107,[1]!LOOKUP_SARS_2009_Change_Breakdown2,M$3,FALSE)+0</f>
        <v>#N/A</v>
      </c>
      <c r="N107" s="64" t="e">
        <f ca="1">VLOOKUP($A107,[1]!LOOKUP_SARS_2009_Change_Breakdown2,N$3,FALSE)+0</f>
        <v>#N/A</v>
      </c>
      <c r="O107" s="64" t="e">
        <f ca="1">VLOOKUP($A107,[1]!LOOKUP_SARS_2009_Change_Breakdown2,O$3,FALSE)+0</f>
        <v>#N/A</v>
      </c>
      <c r="P107" s="26">
        <f ca="1">VLOOKUP($A107,[1]!LOOKUP_SARS_Unified2,P$3,FALSE)</f>
        <v>17661.3</v>
      </c>
      <c r="Q107" s="1">
        <f t="shared" ca="1" si="32"/>
        <v>5.6620973541019064E-5</v>
      </c>
      <c r="R107" s="1">
        <v>1</v>
      </c>
      <c r="S107" s="37" t="e">
        <f t="shared" ca="1" si="33"/>
        <v>#N/A</v>
      </c>
      <c r="T107" s="73">
        <f t="shared" ca="1" si="34"/>
        <v>0</v>
      </c>
      <c r="U107" s="13"/>
      <c r="V107" s="13"/>
      <c r="W107" s="13"/>
      <c r="X107" s="13"/>
      <c r="Y107" s="13"/>
      <c r="Z107" s="13"/>
    </row>
    <row r="108" spans="1:98" s="1" customFormat="1" x14ac:dyDescent="0.25">
      <c r="A108" t="s">
        <v>49</v>
      </c>
      <c r="B108" s="66">
        <f ca="1">IFERROR(VLOOKUP($A108,[1]!LOOKUP_MDAPs,B$3,FALSE)/$G108,"")</f>
        <v>4.6290074998031332E-2</v>
      </c>
      <c r="C108" s="66">
        <f ca="1">IFERROR(VLOOKUP($A108,[1]!LOOKUP_MDAPs,C$3,FALSE)/$G108,"")</f>
        <v>1.7686301677297424E-4</v>
      </c>
      <c r="D108" s="66">
        <f ca="1">IFERROR(VLOOKUP($A108,[1]!LOOKUP_MDAPs,D$3,FALSE)/$G108,"")</f>
        <v>2.2549019607843136E-4</v>
      </c>
      <c r="E108" s="66">
        <f ca="1">IFERROR(VLOOKUP($A108,[1]!LOOKUP_MDAPs,E$3,FALSE)/$G108,"")</f>
        <v>0.15729120692967949</v>
      </c>
      <c r="F108" s="66">
        <f ca="1">IFERROR(VLOOKUP($A108,[1]!LOOKUP_MDAPs,F$3,FALSE)/$G108,"")</f>
        <v>8.1010763406567429E-3</v>
      </c>
      <c r="G108" s="65">
        <f ca="1">IFERROR(VLOOKUP($A108,[1]!LOOKUP_MDAPs,G$3,FALSE),"")</f>
        <v>2539.8000000000002</v>
      </c>
      <c r="H108" s="64">
        <f ca="1">VLOOKUP($A108,[1]!LOOKUP_SARS_2009_Change_Breakdown2,H$3,FALSE)+0</f>
        <v>2834.6</v>
      </c>
      <c r="I108" s="64" t="e">
        <f ca="1">VLOOKUP($A108,[1]!LOOKUP_SARS_2009_Change_Breakdown2,I$3,FALSE)+0</f>
        <v>#REF!</v>
      </c>
      <c r="J108" s="64" t="e">
        <f ca="1">VLOOKUP($A108,[1]!LOOKUP_SARS_2009_Change_Breakdown2,J$3,FALSE)+0</f>
        <v>#REF!</v>
      </c>
      <c r="K108" s="64" t="e">
        <f ca="1">VLOOKUP($A108,[1]!LOOKUP_SARS_2009_Change_Breakdown2,K$3,FALSE)+0</f>
        <v>#REF!</v>
      </c>
      <c r="L108" s="64" t="e">
        <f ca="1">VLOOKUP($A108,[1]!LOOKUP_SARS_2009_Change_Breakdown2,L$3,FALSE)+0</f>
        <v>#REF!</v>
      </c>
      <c r="M108" s="64" t="e">
        <f ca="1">VLOOKUP($A108,[1]!LOOKUP_SARS_2009_Change_Breakdown2,M$3,FALSE)+0</f>
        <v>#REF!</v>
      </c>
      <c r="N108" s="64" t="e">
        <f ca="1">VLOOKUP($A108,[1]!LOOKUP_SARS_2009_Change_Breakdown2,N$3,FALSE)+0</f>
        <v>#REF!</v>
      </c>
      <c r="O108" s="64" t="e">
        <f ca="1">VLOOKUP($A108,[1]!LOOKUP_SARS_2009_Change_Breakdown2,O$3,FALSE)+0</f>
        <v>#REF!</v>
      </c>
      <c r="P108" s="26">
        <f ca="1">VLOOKUP($A108,[1]!LOOKUP_SARS_Unified2,P$3,FALSE)</f>
        <v>20847.099999999999</v>
      </c>
      <c r="Q108" s="1">
        <f t="shared" ca="1" si="32"/>
        <v>4.796830254567782E-5</v>
      </c>
      <c r="R108" s="1">
        <v>1</v>
      </c>
      <c r="S108" s="37" t="e">
        <f t="shared" ca="1" si="33"/>
        <v>#REF!</v>
      </c>
      <c r="T108" s="73">
        <f t="shared" ca="1" si="34"/>
        <v>965.01382249145888</v>
      </c>
      <c r="U108" s="13"/>
      <c r="V108" s="13"/>
      <c r="W108" s="13"/>
      <c r="X108" s="13"/>
      <c r="Y108" s="13"/>
      <c r="Z108" s="13"/>
    </row>
    <row r="109" spans="1:98" s="1" customFormat="1" x14ac:dyDescent="0.25">
      <c r="A109" t="s">
        <v>60</v>
      </c>
      <c r="B109" s="66">
        <f ca="1">IFERROR(VLOOKUP($A109,[1]!LOOKUP_MDAPs,B$3,FALSE)/$G109,"")</f>
        <v>0.24563825932629935</v>
      </c>
      <c r="C109" s="66">
        <f ca="1">IFERROR(VLOOKUP($A109,[1]!LOOKUP_MDAPs,C$3,FALSE)/$G109,"")</f>
        <v>-6.7088945130362701E-6</v>
      </c>
      <c r="D109" s="66">
        <f ca="1">IFERROR(VLOOKUP($A109,[1]!LOOKUP_MDAPs,D$3,FALSE)/$G109,"")</f>
        <v>1.1824432966243715E-2</v>
      </c>
      <c r="E109" s="66">
        <f ca="1">IFERROR(VLOOKUP($A109,[1]!LOOKUP_MDAPs,E$3,FALSE)/$G109,"")</f>
        <v>5.1650852748042E-2</v>
      </c>
      <c r="F109" s="66">
        <f ca="1">IFERROR(VLOOKUP($A109,[1]!LOOKUP_MDAPs,F$3,FALSE)/$G109,"")</f>
        <v>1.6547172965331693E-3</v>
      </c>
      <c r="G109" s="65">
        <f ca="1">IFERROR(VLOOKUP($A109,[1]!LOOKUP_MDAPs,G$3,FALSE),"")</f>
        <v>35086.800000000003</v>
      </c>
      <c r="H109" s="64">
        <f ca="1">VLOOKUP($A109,[1]!LOOKUP_SARS_2009_Change_Breakdown2,H$3,FALSE)+0</f>
        <v>-354.4</v>
      </c>
      <c r="I109" s="64" t="e">
        <f ca="1">VLOOKUP($A109,[1]!LOOKUP_SARS_2009_Change_Breakdown2,I$3,FALSE)+0</f>
        <v>#REF!</v>
      </c>
      <c r="J109" s="64" t="e">
        <f ca="1">VLOOKUP($A109,[1]!LOOKUP_SARS_2009_Change_Breakdown2,J$3,FALSE)+0</f>
        <v>#REF!</v>
      </c>
      <c r="K109" s="64" t="e">
        <f ca="1">VLOOKUP($A109,[1]!LOOKUP_SARS_2009_Change_Breakdown2,K$3,FALSE)+0</f>
        <v>#REF!</v>
      </c>
      <c r="L109" s="64" t="e">
        <f ca="1">VLOOKUP($A109,[1]!LOOKUP_SARS_2009_Change_Breakdown2,L$3,FALSE)+0</f>
        <v>#REF!</v>
      </c>
      <c r="M109" s="64" t="e">
        <f ca="1">VLOOKUP($A109,[1]!LOOKUP_SARS_2009_Change_Breakdown2,M$3,FALSE)+0</f>
        <v>#REF!</v>
      </c>
      <c r="N109" s="64" t="e">
        <f ca="1">VLOOKUP($A109,[1]!LOOKUP_SARS_2009_Change_Breakdown2,N$3,FALSE)+0</f>
        <v>#REF!</v>
      </c>
      <c r="O109" s="64" t="e">
        <f ca="1">VLOOKUP($A109,[1]!LOOKUP_SARS_2009_Change_Breakdown2,O$3,FALSE)+0</f>
        <v>#REF!</v>
      </c>
      <c r="P109" s="26">
        <f ca="1">VLOOKUP($A109,[1]!LOOKUP_SARS_Unified2,P$3,FALSE)</f>
        <v>53253.4</v>
      </c>
      <c r="Q109" s="1">
        <f t="shared" ca="1" si="32"/>
        <v>1.8778143742934722E-5</v>
      </c>
      <c r="R109" s="1">
        <v>1</v>
      </c>
      <c r="S109" s="37" t="e">
        <f t="shared" ca="1" si="33"/>
        <v>#REF!</v>
      </c>
      <c r="T109" s="73">
        <f t="shared" ca="1" si="34"/>
        <v>13081.072479207151</v>
      </c>
      <c r="U109" s="13"/>
      <c r="V109" s="13"/>
      <c r="W109" s="13"/>
      <c r="X109" s="13"/>
      <c r="Y109" s="13"/>
      <c r="Z109" s="13"/>
    </row>
    <row r="110" spans="1:98" s="1" customFormat="1" x14ac:dyDescent="0.25">
      <c r="A110" s="92" t="s">
        <v>223</v>
      </c>
      <c r="B110" s="66">
        <f ca="1">IFERROR(VLOOKUP($A110,[1]!LOOKUP_MDAPs,B$3,FALSE)/$G110,"")</f>
        <v>0</v>
      </c>
      <c r="C110" s="66">
        <f ca="1">IFERROR(VLOOKUP($A110,[1]!LOOKUP_MDAPs,C$3,FALSE)/$G110,"")</f>
        <v>0</v>
      </c>
      <c r="D110" s="66">
        <f ca="1">IFERROR(VLOOKUP($A110,[1]!LOOKUP_MDAPs,D$3,FALSE)/$G110,"")</f>
        <v>0</v>
      </c>
      <c r="E110" s="66">
        <f ca="1">IFERROR(VLOOKUP($A110,[1]!LOOKUP_MDAPs,E$3,FALSE)/$G110,"")</f>
        <v>0</v>
      </c>
      <c r="F110" s="66">
        <f ca="1">IFERROR(VLOOKUP($A110,[1]!LOOKUP_MDAPs,F$3,FALSE)/$G110,"")</f>
        <v>0</v>
      </c>
      <c r="G110" s="65">
        <f ca="1">IFERROR(VLOOKUP($A110,[1]!LOOKUP_MDAPs,G$3,FALSE),"")</f>
        <v>1273.2</v>
      </c>
      <c r="H110" s="64" t="e">
        <f ca="1">VLOOKUP($A110,[1]!LOOKUP_SARS_2009_Change_Breakdown2,H$3,FALSE)+0</f>
        <v>#N/A</v>
      </c>
      <c r="I110" s="64" t="e">
        <f ca="1">VLOOKUP($A110,[1]!LOOKUP_SARS_2009_Change_Breakdown2,I$3,FALSE)+0</f>
        <v>#N/A</v>
      </c>
      <c r="J110" s="64" t="e">
        <f ca="1">VLOOKUP($A110,[1]!LOOKUP_SARS_2009_Change_Breakdown2,J$3,FALSE)+0</f>
        <v>#N/A</v>
      </c>
      <c r="K110" s="64" t="e">
        <f ca="1">VLOOKUP($A110,[1]!LOOKUP_SARS_2009_Change_Breakdown2,K$3,FALSE)+0</f>
        <v>#N/A</v>
      </c>
      <c r="L110" s="64" t="e">
        <f ca="1">VLOOKUP($A110,[1]!LOOKUP_SARS_2009_Change_Breakdown2,L$3,FALSE)+0</f>
        <v>#N/A</v>
      </c>
      <c r="M110" s="64" t="e">
        <f ca="1">VLOOKUP($A110,[1]!LOOKUP_SARS_2009_Change_Breakdown2,M$3,FALSE)+0</f>
        <v>#N/A</v>
      </c>
      <c r="N110" s="64" t="e">
        <f ca="1">VLOOKUP($A110,[1]!LOOKUP_SARS_2009_Change_Breakdown2,N$3,FALSE)+0</f>
        <v>#N/A</v>
      </c>
      <c r="O110" s="64" t="e">
        <f ca="1">VLOOKUP($A110,[1]!LOOKUP_SARS_2009_Change_Breakdown2,O$3,FALSE)+0</f>
        <v>#N/A</v>
      </c>
      <c r="P110" s="26">
        <f ca="1">VLOOKUP($A110,[1]!LOOKUP_SARS_Unified2,P$3,FALSE)</f>
        <v>6547.3</v>
      </c>
      <c r="Q110" s="1">
        <f t="shared" ca="1" si="32"/>
        <v>1.5273471507338903E-4</v>
      </c>
      <c r="R110" s="1">
        <v>1</v>
      </c>
      <c r="S110" s="37" t="e">
        <f t="shared" ca="1" si="33"/>
        <v>#N/A</v>
      </c>
      <c r="T110" s="73">
        <f t="shared" ca="1" si="34"/>
        <v>0</v>
      </c>
      <c r="U110" s="13"/>
      <c r="V110" s="13"/>
      <c r="W110" s="13"/>
      <c r="X110" s="13"/>
      <c r="Y110" s="13"/>
      <c r="Z110" s="13"/>
    </row>
    <row r="111" spans="1:98" s="1" customFormat="1" x14ac:dyDescent="0.25">
      <c r="A111" t="s">
        <v>56</v>
      </c>
      <c r="B111" s="66">
        <f ca="1">IFERROR(VLOOKUP($A111,[1]!LOOKUP_MDAPs,B$3,FALSE)/$G111,"")</f>
        <v>0</v>
      </c>
      <c r="C111" s="66">
        <f ca="1">IFERROR(VLOOKUP($A111,[1]!LOOKUP_MDAPs,C$3,FALSE)/$G111,"")</f>
        <v>0</v>
      </c>
      <c r="D111" s="66">
        <f ca="1">IFERROR(VLOOKUP($A111,[1]!LOOKUP_MDAPs,D$3,FALSE)/$G111,"")</f>
        <v>0</v>
      </c>
      <c r="E111" s="66">
        <f ca="1">IFERROR(VLOOKUP($A111,[1]!LOOKUP_MDAPs,E$3,FALSE)/$G111,"")</f>
        <v>0</v>
      </c>
      <c r="F111" s="66">
        <f ca="1">IFERROR(VLOOKUP($A111,[1]!LOOKUP_MDAPs,F$3,FALSE)/$G111,"")</f>
        <v>0</v>
      </c>
      <c r="G111" s="65">
        <f ca="1">IFERROR(VLOOKUP($A111,[1]!LOOKUP_MDAPs,G$3,FALSE),"")</f>
        <v>948.5</v>
      </c>
      <c r="H111" s="64">
        <f ca="1">VLOOKUP($A111,[1]!LOOKUP_SARS_2009_Change_Breakdown2,H$3,FALSE)+0</f>
        <v>-162.30000000000001</v>
      </c>
      <c r="I111" s="64" t="e">
        <f ca="1">VLOOKUP($A111,[1]!LOOKUP_SARS_2009_Change_Breakdown2,I$3,FALSE)+0</f>
        <v>#REF!</v>
      </c>
      <c r="J111" s="64" t="e">
        <f ca="1">VLOOKUP($A111,[1]!LOOKUP_SARS_2009_Change_Breakdown2,J$3,FALSE)+0</f>
        <v>#REF!</v>
      </c>
      <c r="K111" s="64" t="e">
        <f ca="1">VLOOKUP($A111,[1]!LOOKUP_SARS_2009_Change_Breakdown2,K$3,FALSE)+0</f>
        <v>#REF!</v>
      </c>
      <c r="L111" s="64" t="e">
        <f ca="1">VLOOKUP($A111,[1]!LOOKUP_SARS_2009_Change_Breakdown2,L$3,FALSE)+0</f>
        <v>#REF!</v>
      </c>
      <c r="M111" s="64" t="e">
        <f ca="1">VLOOKUP($A111,[1]!LOOKUP_SARS_2009_Change_Breakdown2,M$3,FALSE)+0</f>
        <v>#REF!</v>
      </c>
      <c r="N111" s="64" t="e">
        <f ca="1">VLOOKUP($A111,[1]!LOOKUP_SARS_2009_Change_Breakdown2,N$3,FALSE)+0</f>
        <v>#REF!</v>
      </c>
      <c r="O111" s="64" t="e">
        <f ca="1">VLOOKUP($A111,[1]!LOOKUP_SARS_2009_Change_Breakdown2,O$3,FALSE)+0</f>
        <v>#REF!</v>
      </c>
      <c r="P111" s="26">
        <f ca="1">VLOOKUP($A111,[1]!LOOKUP_SARS_Unified2,P$3,FALSE)</f>
        <v>2787.1</v>
      </c>
      <c r="Q111" s="1">
        <f t="shared" ca="1" si="32"/>
        <v>3.5879588102328587E-4</v>
      </c>
      <c r="R111" s="1">
        <v>1</v>
      </c>
      <c r="S111" s="37" t="e">
        <f t="shared" ca="1" si="33"/>
        <v>#REF!</v>
      </c>
      <c r="T111" s="73">
        <f t="shared" ca="1" si="34"/>
        <v>0</v>
      </c>
      <c r="U111" s="13"/>
      <c r="V111" s="13"/>
      <c r="W111" s="13"/>
      <c r="X111" s="13"/>
      <c r="Y111" s="13"/>
      <c r="Z111" s="13"/>
    </row>
    <row r="112" spans="1:98" s="1" customFormat="1" x14ac:dyDescent="0.25">
      <c r="A112" t="s">
        <v>59</v>
      </c>
      <c r="B112" s="66">
        <f ca="1">IFERROR(VLOOKUP($A112,[1]!LOOKUP_MDAPs,B$3,FALSE)/$G112,"")</f>
        <v>0.4511631271675437</v>
      </c>
      <c r="C112" s="66">
        <f ca="1">IFERROR(VLOOKUP($A112,[1]!LOOKUP_MDAPs,C$3,FALSE)/$G112,"")</f>
        <v>4.8289590564699729E-4</v>
      </c>
      <c r="D112" s="66">
        <f ca="1">IFERROR(VLOOKUP($A112,[1]!LOOKUP_MDAPs,D$3,FALSE)/$G112,"")</f>
        <v>7.1404844548949353E-5</v>
      </c>
      <c r="E112" s="66">
        <f ca="1">IFERROR(VLOOKUP($A112,[1]!LOOKUP_MDAPs,E$3,FALSE)/$G112,"")</f>
        <v>1.4343741798230879E-2</v>
      </c>
      <c r="F112" s="66">
        <f ca="1">IFERROR(VLOOKUP($A112,[1]!LOOKUP_MDAPs,F$3,FALSE)/$G112,"")</f>
        <v>1.2375854850147426E-3</v>
      </c>
      <c r="G112" s="65">
        <f ca="1">IFERROR(VLOOKUP($A112,[1]!LOOKUP_MDAPs,G$3,FALSE),"")</f>
        <v>2679.3</v>
      </c>
      <c r="H112" s="64">
        <f ca="1">VLOOKUP($A112,[1]!LOOKUP_SARS_2009_Change_Breakdown2,H$3,FALSE)+0</f>
        <v>2399.1999999999998</v>
      </c>
      <c r="I112" s="64" t="e">
        <f ca="1">VLOOKUP($A112,[1]!LOOKUP_SARS_2009_Change_Breakdown2,I$3,FALSE)+0</f>
        <v>#REF!</v>
      </c>
      <c r="J112" s="64" t="e">
        <f ca="1">VLOOKUP($A112,[1]!LOOKUP_SARS_2009_Change_Breakdown2,J$3,FALSE)+0</f>
        <v>#REF!</v>
      </c>
      <c r="K112" s="64" t="e">
        <f ca="1">VLOOKUP($A112,[1]!LOOKUP_SARS_2009_Change_Breakdown2,K$3,FALSE)+0</f>
        <v>#REF!</v>
      </c>
      <c r="L112" s="64" t="e">
        <f ca="1">VLOOKUP($A112,[1]!LOOKUP_SARS_2009_Change_Breakdown2,L$3,FALSE)+0</f>
        <v>#REF!</v>
      </c>
      <c r="M112" s="64" t="e">
        <f ca="1">VLOOKUP($A112,[1]!LOOKUP_SARS_2009_Change_Breakdown2,M$3,FALSE)+0</f>
        <v>#REF!</v>
      </c>
      <c r="N112" s="64" t="e">
        <f ca="1">VLOOKUP($A112,[1]!LOOKUP_SARS_2009_Change_Breakdown2,N$3,FALSE)+0</f>
        <v>#REF!</v>
      </c>
      <c r="O112" s="64" t="e">
        <f ca="1">VLOOKUP($A112,[1]!LOOKUP_SARS_2009_Change_Breakdown2,O$3,FALSE)+0</f>
        <v>#REF!</v>
      </c>
      <c r="P112" s="26">
        <f ca="1">VLOOKUP($A112,[1]!LOOKUP_SARS_Unified2,P$3,FALSE)</f>
        <v>3539.7</v>
      </c>
      <c r="Q112" s="1">
        <f t="shared" ca="1" si="32"/>
        <v>2.8250981721614828E-4</v>
      </c>
      <c r="R112" s="1">
        <v>1</v>
      </c>
      <c r="S112" s="37" t="e">
        <f t="shared" ca="1" si="33"/>
        <v>#REF!</v>
      </c>
      <c r="T112" s="73">
        <f t="shared" ca="1" si="34"/>
        <v>1596.9821212349543</v>
      </c>
      <c r="U112" s="13"/>
      <c r="V112" s="13"/>
      <c r="W112" s="13"/>
      <c r="X112" s="13"/>
      <c r="Y112" s="13"/>
      <c r="Z112" s="13"/>
    </row>
    <row r="113" spans="1:26" s="1" customFormat="1" x14ac:dyDescent="0.25">
      <c r="A113" t="s">
        <v>43</v>
      </c>
      <c r="B113" s="66">
        <f ca="1">IFERROR(VLOOKUP($A113,[1]!LOOKUP_MDAPs,B$3,FALSE)/$G113,"")</f>
        <v>4.1734357565841984E-2</v>
      </c>
      <c r="C113" s="66">
        <f ca="1">IFERROR(VLOOKUP($A113,[1]!LOOKUP_MDAPs,C$3,FALSE)/$G113,"")</f>
        <v>0</v>
      </c>
      <c r="D113" s="66">
        <f ca="1">IFERROR(VLOOKUP($A113,[1]!LOOKUP_MDAPs,D$3,FALSE)/$G113,"")</f>
        <v>-1.3443966586858204E-3</v>
      </c>
      <c r="E113" s="66">
        <f ca="1">IFERROR(VLOOKUP($A113,[1]!LOOKUP_MDAPs,E$3,FALSE)/$G113,"")</f>
        <v>5.5026496408619311E-4</v>
      </c>
      <c r="F113" s="66">
        <f ca="1">IFERROR(VLOOKUP($A113,[1]!LOOKUP_MDAPs,F$3,FALSE)/$G113,"")</f>
        <v>2.8981644054269751E-5</v>
      </c>
      <c r="G113" s="65">
        <f ca="1">IFERROR(VLOOKUP($A113,[1]!LOOKUP_MDAPs,G$3,FALSE),"")</f>
        <v>3759</v>
      </c>
      <c r="H113" s="64">
        <f ca="1">VLOOKUP($A113,[1]!LOOKUP_SARS_2009_Change_Breakdown2,H$3,FALSE)+0</f>
        <v>-44.7</v>
      </c>
      <c r="I113" s="64" t="e">
        <f ca="1">VLOOKUP($A113,[1]!LOOKUP_SARS_2009_Change_Breakdown2,I$3,FALSE)+0</f>
        <v>#REF!</v>
      </c>
      <c r="J113" s="64" t="e">
        <f ca="1">VLOOKUP($A113,[1]!LOOKUP_SARS_2009_Change_Breakdown2,J$3,FALSE)+0</f>
        <v>#REF!</v>
      </c>
      <c r="K113" s="64" t="e">
        <f ca="1">VLOOKUP($A113,[1]!LOOKUP_SARS_2009_Change_Breakdown2,K$3,FALSE)+0</f>
        <v>#REF!</v>
      </c>
      <c r="L113" s="64" t="e">
        <f ca="1">VLOOKUP($A113,[1]!LOOKUP_SARS_2009_Change_Breakdown2,L$3,FALSE)+0</f>
        <v>#REF!</v>
      </c>
      <c r="M113" s="64" t="e">
        <f ca="1">VLOOKUP($A113,[1]!LOOKUP_SARS_2009_Change_Breakdown2,M$3,FALSE)+0</f>
        <v>#REF!</v>
      </c>
      <c r="N113" s="64" t="e">
        <f ca="1">VLOOKUP($A113,[1]!LOOKUP_SARS_2009_Change_Breakdown2,N$3,FALSE)+0</f>
        <v>#REF!</v>
      </c>
      <c r="O113" s="64" t="e">
        <f ca="1">VLOOKUP($A113,[1]!LOOKUP_SARS_2009_Change_Breakdown2,O$3,FALSE)+0</f>
        <v>#REF!</v>
      </c>
      <c r="P113" s="26">
        <f ca="1">VLOOKUP($A113,[1]!LOOKUP_SARS_Unified2,P$3,FALSE)</f>
        <v>3879.7</v>
      </c>
      <c r="Q113" s="1">
        <f t="shared" ca="1" si="32"/>
        <v>2.5775188803257984E-4</v>
      </c>
      <c r="R113" s="1">
        <v>1</v>
      </c>
      <c r="S113" s="37" t="e">
        <f t="shared" ca="1" si="33"/>
        <v>#REF!</v>
      </c>
      <c r="T113" s="73">
        <f t="shared" ca="1" si="34"/>
        <v>161.91678704819714</v>
      </c>
      <c r="U113" s="13"/>
      <c r="V113" s="13"/>
      <c r="W113" s="13"/>
      <c r="X113" s="13"/>
      <c r="Y113" s="13"/>
      <c r="Z113" s="13"/>
    </row>
    <row r="114" spans="1:26" s="1" customFormat="1" x14ac:dyDescent="0.25">
      <c r="A114" t="s">
        <v>57</v>
      </c>
      <c r="B114" s="66">
        <f ca="1">IFERROR(VLOOKUP($A114,[1]!LOOKUP_MDAPs,B$3,FALSE)/$G114,"")</f>
        <v>0.81926222338430332</v>
      </c>
      <c r="C114" s="66">
        <f ca="1">IFERROR(VLOOKUP($A114,[1]!LOOKUP_MDAPs,C$3,FALSE)/$G114,"")</f>
        <v>0</v>
      </c>
      <c r="D114" s="66">
        <f ca="1">IFERROR(VLOOKUP($A114,[1]!LOOKUP_MDAPs,D$3,FALSE)/$G114,"")</f>
        <v>0.10021213436681591</v>
      </c>
      <c r="E114" s="66">
        <f ca="1">IFERROR(VLOOKUP($A114,[1]!LOOKUP_MDAPs,E$3,FALSE)/$G114,"")</f>
        <v>0.2435219430007603</v>
      </c>
      <c r="F114" s="66">
        <f ca="1">IFERROR(VLOOKUP($A114,[1]!LOOKUP_MDAPs,F$3,FALSE)/$G114,"")</f>
        <v>4.4667393765312159E-3</v>
      </c>
      <c r="G114" s="65">
        <f ca="1">IFERROR(VLOOKUP($A114,[1]!LOOKUP_MDAPs,G$3,FALSE),"")</f>
        <v>1183.7</v>
      </c>
      <c r="H114" s="64">
        <f ca="1">VLOOKUP($A114,[1]!LOOKUP_SARS_2009_Change_Breakdown2,H$3,FALSE)+0</f>
        <v>1090.7</v>
      </c>
      <c r="I114" s="64" t="e">
        <f ca="1">VLOOKUP($A114,[1]!LOOKUP_SARS_2009_Change_Breakdown2,I$3,FALSE)+0</f>
        <v>#REF!</v>
      </c>
      <c r="J114" s="64" t="e">
        <f ca="1">VLOOKUP($A114,[1]!LOOKUP_SARS_2009_Change_Breakdown2,J$3,FALSE)+0</f>
        <v>#REF!</v>
      </c>
      <c r="K114" s="64" t="e">
        <f ca="1">VLOOKUP($A114,[1]!LOOKUP_SARS_2009_Change_Breakdown2,K$3,FALSE)+0</f>
        <v>#REF!</v>
      </c>
      <c r="L114" s="64" t="e">
        <f ca="1">VLOOKUP($A114,[1]!LOOKUP_SARS_2009_Change_Breakdown2,L$3,FALSE)+0</f>
        <v>#REF!</v>
      </c>
      <c r="M114" s="64" t="e">
        <f ca="1">VLOOKUP($A114,[1]!LOOKUP_SARS_2009_Change_Breakdown2,M$3,FALSE)+0</f>
        <v>#REF!</v>
      </c>
      <c r="N114" s="64" t="e">
        <f ca="1">VLOOKUP($A114,[1]!LOOKUP_SARS_2009_Change_Breakdown2,N$3,FALSE)+0</f>
        <v>#REF!</v>
      </c>
      <c r="O114" s="64" t="e">
        <f ca="1">VLOOKUP($A114,[1]!LOOKUP_SARS_2009_Change_Breakdown2,O$3,FALSE)+0</f>
        <v>#REF!</v>
      </c>
      <c r="P114" s="26">
        <f ca="1">VLOOKUP($A114,[1]!LOOKUP_SARS_Unified2,P$3,FALSE)</f>
        <v>4996.8999999999996</v>
      </c>
      <c r="Q114" s="1">
        <f t="shared" ca="1" si="32"/>
        <v>2.0012407692769518E-4</v>
      </c>
      <c r="R114" s="1">
        <v>1</v>
      </c>
      <c r="S114" s="37" t="e">
        <f t="shared" ca="1" si="33"/>
        <v>#REF!</v>
      </c>
      <c r="T114" s="73">
        <f t="shared" ca="1" si="34"/>
        <v>4093.7714040290248</v>
      </c>
      <c r="U114" s="13"/>
      <c r="V114" s="13"/>
      <c r="W114" s="13"/>
      <c r="X114" s="13"/>
      <c r="Y114" s="13"/>
      <c r="Z114" s="13"/>
    </row>
    <row r="115" spans="1:26" s="1" customFormat="1" x14ac:dyDescent="0.25">
      <c r="A115" t="s">
        <v>185</v>
      </c>
      <c r="B115" s="66">
        <f ca="1">IFERROR(VLOOKUP($A115,[1]!LOOKUP_MDAPs,B$3,FALSE)/$G115,"")</f>
        <v>4.4094406981356603E-5</v>
      </c>
      <c r="C115" s="66">
        <f ca="1">IFERROR(VLOOKUP($A115,[1]!LOOKUP_MDAPs,C$3,FALSE)/$G115,"")</f>
        <v>0</v>
      </c>
      <c r="D115" s="66">
        <f ca="1">IFERROR(VLOOKUP($A115,[1]!LOOKUP_MDAPs,D$3,FALSE)/$G115,"")</f>
        <v>0</v>
      </c>
      <c r="E115" s="66">
        <f ca="1">IFERROR(VLOOKUP($A115,[1]!LOOKUP_MDAPs,E$3,FALSE)/$G115,"")</f>
        <v>0</v>
      </c>
      <c r="F115" s="66">
        <f ca="1">IFERROR(VLOOKUP($A115,[1]!LOOKUP_MDAPs,F$3,FALSE)/$G115,"")</f>
        <v>1.246806822689409E-5</v>
      </c>
      <c r="G115" s="65">
        <f ca="1">IFERROR(VLOOKUP($A115,[1]!LOOKUP_MDAPs,G$3,FALSE),"")</f>
        <v>1260.5</v>
      </c>
      <c r="H115" s="64" t="e">
        <f ca="1">VLOOKUP($A115,[1]!LOOKUP_SARS_2009_Change_Breakdown2,H$3,FALSE)+0</f>
        <v>#N/A</v>
      </c>
      <c r="I115" s="64" t="e">
        <f ca="1">VLOOKUP($A115,[1]!LOOKUP_SARS_2009_Change_Breakdown2,I$3,FALSE)+0</f>
        <v>#N/A</v>
      </c>
      <c r="J115" s="64" t="e">
        <f ca="1">VLOOKUP($A115,[1]!LOOKUP_SARS_2009_Change_Breakdown2,J$3,FALSE)+0</f>
        <v>#N/A</v>
      </c>
      <c r="K115" s="64" t="e">
        <f ca="1">VLOOKUP($A115,[1]!LOOKUP_SARS_2009_Change_Breakdown2,K$3,FALSE)+0</f>
        <v>#N/A</v>
      </c>
      <c r="L115" s="64" t="e">
        <f ca="1">VLOOKUP($A115,[1]!LOOKUP_SARS_2009_Change_Breakdown2,L$3,FALSE)+0</f>
        <v>#N/A</v>
      </c>
      <c r="M115" s="64" t="e">
        <f ca="1">VLOOKUP($A115,[1]!LOOKUP_SARS_2009_Change_Breakdown2,M$3,FALSE)+0</f>
        <v>#N/A</v>
      </c>
      <c r="N115" s="64" t="e">
        <f ca="1">VLOOKUP($A115,[1]!LOOKUP_SARS_2009_Change_Breakdown2,N$3,FALSE)+0</f>
        <v>#N/A</v>
      </c>
      <c r="O115" s="64" t="e">
        <f ca="1">VLOOKUP($A115,[1]!LOOKUP_SARS_2009_Change_Breakdown2,O$3,FALSE)+0</f>
        <v>#N/A</v>
      </c>
      <c r="P115" s="26">
        <f ca="1">VLOOKUP($A115,[1]!LOOKUP_SARS_Unified2,P$3,FALSE)</f>
        <v>18813.2</v>
      </c>
      <c r="Q115" s="1">
        <f t="shared" ca="1" si="32"/>
        <v>5.3154168349881995E-5</v>
      </c>
      <c r="R115" s="1">
        <v>1</v>
      </c>
      <c r="S115" s="37" t="e">
        <f t="shared" ca="1" si="33"/>
        <v>#N/A</v>
      </c>
      <c r="T115" s="73">
        <f t="shared" ca="1" si="34"/>
        <v>0.82955689742165806</v>
      </c>
      <c r="U115" s="13"/>
      <c r="V115" s="13"/>
      <c r="W115" s="13"/>
      <c r="X115" s="13"/>
      <c r="Y115" s="13"/>
      <c r="Z115" s="13"/>
    </row>
    <row r="116" spans="1:26" s="1" customFormat="1" ht="12.75" x14ac:dyDescent="0.2">
      <c r="A116" s="15"/>
      <c r="B116" s="3"/>
      <c r="C116" s="13"/>
      <c r="H116" s="13"/>
      <c r="I116" s="13"/>
      <c r="J116" s="14"/>
      <c r="K116" s="14"/>
      <c r="L116" s="13"/>
      <c r="M116" s="13"/>
      <c r="N116" s="13"/>
      <c r="O116" s="13"/>
      <c r="P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s="1" customFormat="1" ht="12.75" x14ac:dyDescent="0.2">
      <c r="A117" s="15"/>
      <c r="B117" s="3"/>
      <c r="C117" s="13"/>
      <c r="H117" s="13"/>
      <c r="I117" s="13"/>
      <c r="J117" s="14"/>
      <c r="K117" s="14"/>
      <c r="L117" s="13"/>
      <c r="M117" s="13"/>
      <c r="N117" s="13"/>
      <c r="O117" s="13"/>
      <c r="P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s="1" customFormat="1" ht="12.75" x14ac:dyDescent="0.2">
      <c r="A118" s="15"/>
      <c r="B118" s="3"/>
      <c r="C118" s="13"/>
      <c r="H118" s="13"/>
      <c r="I118" s="13"/>
      <c r="J118" s="14"/>
      <c r="K118" s="14"/>
      <c r="L118" s="13"/>
      <c r="M118" s="13"/>
      <c r="N118" s="13"/>
      <c r="O118" s="13"/>
      <c r="P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s="1" customFormat="1" ht="12.75" x14ac:dyDescent="0.2">
      <c r="A119" s="15"/>
      <c r="B119" s="3"/>
      <c r="C119" s="13"/>
      <c r="H119" s="13"/>
      <c r="I119" s="13"/>
      <c r="J119" s="14"/>
      <c r="K119" s="14"/>
      <c r="L119" s="13"/>
      <c r="M119" s="13"/>
      <c r="N119" s="13"/>
      <c r="O119" s="13"/>
      <c r="P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s="1" customFormat="1" ht="12.75" x14ac:dyDescent="0.2">
      <c r="A120" s="15"/>
      <c r="B120" s="3"/>
      <c r="C120" s="13"/>
      <c r="H120" s="13"/>
      <c r="I120" s="13"/>
      <c r="J120" s="14"/>
      <c r="K120" s="14"/>
      <c r="L120" s="13"/>
      <c r="M120" s="13"/>
      <c r="N120" s="13"/>
      <c r="O120" s="13"/>
      <c r="P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s="1" customFormat="1" ht="12.75" x14ac:dyDescent="0.2">
      <c r="A121" s="15"/>
      <c r="B121" s="3"/>
      <c r="C121" s="13"/>
      <c r="H121" s="13"/>
      <c r="I121" s="13"/>
      <c r="J121" s="14"/>
      <c r="K121" s="14"/>
      <c r="L121" s="13"/>
      <c r="M121" s="13"/>
      <c r="N121" s="13"/>
      <c r="O121" s="13"/>
      <c r="P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s="1" customFormat="1" ht="12.75" x14ac:dyDescent="0.2">
      <c r="A122" s="15"/>
      <c r="B122" s="3">
        <f ca="1">SUM(B12:B115)/93</f>
        <v>0.24221372170806837</v>
      </c>
      <c r="C122" s="3">
        <f t="shared" ref="C122:F122" ca="1" si="35">SUM(C12:C115)/93</f>
        <v>3.4362238361852417E-3</v>
      </c>
      <c r="D122" s="3">
        <f t="shared" ca="1" si="35"/>
        <v>4.2646416238001861E-2</v>
      </c>
      <c r="E122" s="3">
        <f t="shared" ca="1" si="35"/>
        <v>0.10233658460127402</v>
      </c>
      <c r="F122" s="3">
        <f t="shared" ca="1" si="35"/>
        <v>8.1351376661807015E-3</v>
      </c>
      <c r="G122" s="3">
        <f ca="1">SUMPRODUCT(B$12:B$115,$P$12:$P$115)/SUM($P$12:$P$115)</f>
        <v>0.15577073642887401</v>
      </c>
      <c r="H122" s="3">
        <f ca="1">SUMPRODUCT(C$12:C$115,$P$12:$P$115)/SUM($P$12:$P$115)</f>
        <v>9.1362997217103101E-3</v>
      </c>
      <c r="I122" s="3">
        <f ca="1">SUMPRODUCT(D$12:D$115,$P$12:$P$115)/SUM($P$12:$P$115)</f>
        <v>3.3567950086020627E-2</v>
      </c>
      <c r="J122" s="3">
        <f ca="1">SUMPRODUCT(E$12:E$115,$P$12:$P$115)/SUM($P$12:$P$115)</f>
        <v>0.10214908385631138</v>
      </c>
      <c r="K122" s="3">
        <f ca="1">SUMPRODUCT(F$12:F$115,$P$12:$P$115)/SUM($P$12:$P$115)</f>
        <v>1.2472719488481119E-2</v>
      </c>
      <c r="L122" s="13"/>
      <c r="M122" s="13"/>
      <c r="N122" s="13"/>
      <c r="O122" s="13"/>
      <c r="P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s="1" customFormat="1" ht="12.75" x14ac:dyDescent="0.2">
      <c r="A123" s="15"/>
      <c r="B123" s="3"/>
      <c r="C123" s="13"/>
      <c r="H123" s="13"/>
      <c r="I123" s="13"/>
      <c r="J123" s="14"/>
      <c r="K123" s="14"/>
      <c r="L123" s="13"/>
      <c r="M123" s="13"/>
      <c r="N123" s="13"/>
      <c r="O123" s="13"/>
      <c r="P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s="1" customFormat="1" ht="12.75" x14ac:dyDescent="0.2">
      <c r="A124" s="15"/>
      <c r="B124" s="3"/>
      <c r="C124" s="13"/>
      <c r="H124" s="13"/>
      <c r="I124" s="13"/>
      <c r="J124" s="14"/>
      <c r="K124" s="14"/>
      <c r="L124" s="13"/>
      <c r="M124" s="13"/>
      <c r="N124" s="13"/>
      <c r="O124" s="13"/>
      <c r="P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s="1" customFormat="1" ht="12.75" x14ac:dyDescent="0.2">
      <c r="A125" s="15"/>
      <c r="B125" s="3"/>
      <c r="C125" s="13"/>
      <c r="H125" s="13"/>
      <c r="I125" s="13"/>
      <c r="J125" s="14"/>
      <c r="K125" s="14"/>
      <c r="L125" s="13"/>
      <c r="M125" s="13"/>
      <c r="N125" s="13"/>
      <c r="O125" s="13"/>
      <c r="P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s="1" customFormat="1" ht="12.75" x14ac:dyDescent="0.2">
      <c r="A126" s="15"/>
      <c r="B126" s="3"/>
      <c r="C126" s="13"/>
      <c r="H126" s="13"/>
      <c r="I126" s="13"/>
      <c r="J126" s="14"/>
      <c r="K126" s="14"/>
      <c r="L126" s="13"/>
      <c r="M126" s="13"/>
      <c r="N126" s="13"/>
      <c r="O126" s="13"/>
      <c r="P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s="1" customFormat="1" ht="12.75" x14ac:dyDescent="0.2">
      <c r="A127" s="15"/>
      <c r="B127" s="3"/>
      <c r="C127" s="13"/>
      <c r="H127" s="13"/>
      <c r="I127" s="13"/>
      <c r="J127" s="14"/>
      <c r="K127" s="14"/>
      <c r="L127" s="13"/>
      <c r="M127" s="13"/>
      <c r="N127" s="13"/>
      <c r="O127" s="13"/>
      <c r="P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s="1" customFormat="1" x14ac:dyDescent="0.2">
      <c r="A128" s="5"/>
      <c r="B128" s="3"/>
      <c r="C128" s="32"/>
      <c r="H128" s="17"/>
      <c r="I128" s="17"/>
      <c r="J128" s="3"/>
      <c r="K128" s="3"/>
      <c r="L128" s="4"/>
      <c r="M128" s="13"/>
      <c r="N128" s="13"/>
      <c r="O128" s="13"/>
      <c r="P128" s="13"/>
      <c r="R128" s="12"/>
    </row>
    <row r="129" spans="1:18" s="1" customFormat="1" x14ac:dyDescent="0.2">
      <c r="A129" s="6"/>
      <c r="B129" s="3"/>
      <c r="C129" s="32"/>
      <c r="H129" s="17"/>
      <c r="I129" s="17"/>
      <c r="J129" s="3"/>
      <c r="K129" s="3"/>
      <c r="L129" s="4"/>
      <c r="M129" s="13"/>
      <c r="N129" s="13"/>
      <c r="O129" s="13"/>
      <c r="P129" s="13"/>
      <c r="R129" s="12"/>
    </row>
    <row r="130" spans="1:18" s="1" customFormat="1" x14ac:dyDescent="0.2">
      <c r="A130" s="6"/>
      <c r="B130" s="3"/>
      <c r="C130" s="32"/>
      <c r="H130" s="17"/>
      <c r="I130" s="17"/>
      <c r="J130" s="3"/>
      <c r="K130" s="3"/>
      <c r="L130" s="4"/>
      <c r="M130" s="13"/>
      <c r="N130" s="13"/>
      <c r="O130" s="13"/>
      <c r="P130" s="13"/>
      <c r="Q130" s="12"/>
    </row>
    <row r="131" spans="1:18" s="1" customFormat="1" x14ac:dyDescent="0.2">
      <c r="A131" s="6"/>
      <c r="B131" s="3"/>
      <c r="C131" s="32"/>
      <c r="H131" s="17"/>
      <c r="I131" s="17"/>
      <c r="J131" s="3"/>
      <c r="K131" s="3"/>
      <c r="L131" s="4"/>
      <c r="M131" s="13"/>
      <c r="N131" s="13"/>
      <c r="O131" s="13"/>
      <c r="P131" s="13"/>
      <c r="Q131" s="12"/>
    </row>
    <row r="132" spans="1:18" s="1" customFormat="1" x14ac:dyDescent="0.2">
      <c r="A132" s="6"/>
      <c r="B132" s="3"/>
      <c r="C132" s="32"/>
      <c r="H132" s="17"/>
      <c r="I132" s="17"/>
      <c r="J132" s="3"/>
      <c r="K132" s="3"/>
      <c r="L132" s="4"/>
      <c r="M132" s="13"/>
      <c r="N132" s="13"/>
      <c r="O132" s="13"/>
      <c r="P132" s="13"/>
      <c r="Q132" s="12"/>
    </row>
    <row r="133" spans="1:18" s="1" customFormat="1" x14ac:dyDescent="0.2">
      <c r="A133" s="5"/>
      <c r="B133" s="3"/>
      <c r="C133" s="32"/>
      <c r="H133" s="17"/>
      <c r="I133" s="17"/>
      <c r="J133" s="3"/>
      <c r="K133" s="3"/>
      <c r="L133" s="4"/>
      <c r="M133" s="13"/>
      <c r="N133" s="13"/>
      <c r="O133" s="13"/>
      <c r="P133" s="13"/>
      <c r="Q133" s="12"/>
    </row>
    <row r="134" spans="1:18" s="1" customFormat="1" x14ac:dyDescent="0.2">
      <c r="A134" s="6"/>
      <c r="B134" s="3"/>
      <c r="C134" s="32"/>
      <c r="H134" s="17"/>
      <c r="I134" s="17"/>
      <c r="J134" s="3"/>
      <c r="K134" s="3"/>
      <c r="L134" s="4"/>
      <c r="M134" s="13"/>
      <c r="N134" s="13"/>
      <c r="O134" s="13"/>
      <c r="P134" s="13"/>
      <c r="Q134" s="12"/>
    </row>
    <row r="135" spans="1:18" s="1" customFormat="1" x14ac:dyDescent="0.2">
      <c r="A135" s="6"/>
      <c r="B135" s="3"/>
      <c r="C135" s="32"/>
      <c r="H135" s="17"/>
      <c r="I135" s="17"/>
      <c r="J135" s="3"/>
      <c r="K135" s="3"/>
      <c r="L135" s="4"/>
      <c r="M135" s="13"/>
      <c r="N135" s="13"/>
      <c r="O135" s="13"/>
      <c r="P135" s="13"/>
      <c r="Q135" s="12"/>
    </row>
    <row r="136" spans="1:18" s="1" customFormat="1" x14ac:dyDescent="0.2">
      <c r="A136" s="6"/>
      <c r="B136" s="3"/>
      <c r="C136" s="32"/>
      <c r="H136" s="17"/>
      <c r="I136" s="17"/>
      <c r="J136" s="3"/>
      <c r="K136" s="3"/>
      <c r="L136" s="4"/>
      <c r="M136" s="13"/>
      <c r="N136" s="13"/>
      <c r="O136" s="13"/>
      <c r="P136" s="13"/>
      <c r="Q136" s="12"/>
    </row>
    <row r="137" spans="1:18" s="1" customFormat="1" x14ac:dyDescent="0.2">
      <c r="A137" s="6"/>
      <c r="B137" s="3"/>
      <c r="C137" s="32"/>
      <c r="H137" s="17"/>
      <c r="I137" s="17"/>
      <c r="J137" s="3"/>
      <c r="K137" s="3"/>
      <c r="L137" s="4"/>
      <c r="M137" s="13"/>
      <c r="N137" s="13"/>
      <c r="O137" s="13"/>
      <c r="P137" s="13"/>
      <c r="Q137" s="12"/>
    </row>
    <row r="138" spans="1:18" s="1" customFormat="1" x14ac:dyDescent="0.2">
      <c r="A138" s="6"/>
      <c r="B138" s="3"/>
      <c r="C138" s="32"/>
      <c r="H138" s="17"/>
      <c r="I138" s="17"/>
      <c r="J138" s="3"/>
      <c r="K138" s="3"/>
      <c r="L138" s="4"/>
      <c r="M138" s="13"/>
      <c r="N138" s="13"/>
      <c r="O138" s="13"/>
      <c r="P138" s="13"/>
      <c r="Q138" s="12"/>
    </row>
    <row r="139" spans="1:18" s="1" customFormat="1" x14ac:dyDescent="0.2">
      <c r="A139" s="6"/>
      <c r="B139" s="3"/>
      <c r="C139" s="32"/>
      <c r="H139" s="17"/>
      <c r="I139" s="17"/>
      <c r="J139" s="3"/>
      <c r="K139" s="3"/>
      <c r="L139" s="4"/>
      <c r="M139" s="13"/>
      <c r="N139" s="13"/>
      <c r="O139" s="13"/>
      <c r="P139" s="13"/>
      <c r="Q139" s="12"/>
    </row>
    <row r="140" spans="1:18" s="1" customFormat="1" x14ac:dyDescent="0.2">
      <c r="A140" s="6"/>
      <c r="B140" s="3"/>
      <c r="C140" s="32"/>
      <c r="H140" s="17"/>
      <c r="I140" s="17"/>
      <c r="J140" s="3"/>
      <c r="K140" s="3"/>
      <c r="L140" s="4"/>
      <c r="M140" s="13"/>
      <c r="N140" s="13"/>
      <c r="O140" s="13"/>
      <c r="P140" s="13"/>
      <c r="Q140" s="12"/>
    </row>
    <row r="141" spans="1:18" s="1" customFormat="1" x14ac:dyDescent="0.2">
      <c r="A141" s="6"/>
      <c r="B141" s="3"/>
      <c r="C141" s="32"/>
      <c r="H141" s="17"/>
      <c r="I141" s="17"/>
      <c r="J141" s="3"/>
      <c r="K141" s="3"/>
      <c r="L141" s="4"/>
      <c r="M141" s="13"/>
      <c r="N141" s="13"/>
      <c r="O141" s="13"/>
      <c r="P141" s="13"/>
      <c r="Q141" s="12"/>
    </row>
    <row r="142" spans="1:18" s="1" customFormat="1" x14ac:dyDescent="0.2">
      <c r="A142" s="6"/>
      <c r="B142" s="3"/>
      <c r="C142" s="32"/>
      <c r="H142" s="17"/>
      <c r="I142" s="17"/>
      <c r="J142" s="3"/>
      <c r="K142" s="3"/>
      <c r="L142" s="4"/>
      <c r="M142" s="13"/>
      <c r="N142" s="13"/>
      <c r="O142" s="13"/>
      <c r="P142" s="13"/>
      <c r="Q142" s="12"/>
    </row>
    <row r="143" spans="1:18" s="1" customFormat="1" x14ac:dyDescent="0.2">
      <c r="A143" s="7"/>
      <c r="B143" s="3"/>
      <c r="C143" s="32"/>
      <c r="H143" s="17"/>
      <c r="I143" s="17"/>
      <c r="J143" s="3"/>
      <c r="K143" s="3"/>
      <c r="L143" s="4"/>
      <c r="M143" s="13"/>
      <c r="N143" s="13"/>
      <c r="O143" s="13"/>
      <c r="P143" s="13"/>
      <c r="Q143" s="12"/>
    </row>
    <row r="144" spans="1:18" s="1" customFormat="1" x14ac:dyDescent="0.2">
      <c r="A144" s="6"/>
      <c r="B144" s="3"/>
      <c r="C144" s="32"/>
      <c r="H144" s="17"/>
      <c r="I144" s="17"/>
      <c r="J144" s="3"/>
      <c r="K144" s="3"/>
      <c r="L144" s="4"/>
      <c r="M144" s="13"/>
      <c r="N144" s="13"/>
      <c r="O144" s="13"/>
      <c r="P144" s="13"/>
      <c r="Q144" s="12"/>
    </row>
    <row r="145" spans="1:17" s="1" customFormat="1" x14ac:dyDescent="0.2">
      <c r="A145" s="6"/>
      <c r="B145" s="3"/>
      <c r="C145" s="32"/>
      <c r="H145" s="17"/>
      <c r="I145" s="17"/>
      <c r="J145" s="3"/>
      <c r="K145" s="3"/>
      <c r="L145" s="4"/>
      <c r="M145" s="13"/>
      <c r="N145" s="13"/>
      <c r="O145" s="13"/>
      <c r="P145" s="13"/>
      <c r="Q145" s="12"/>
    </row>
    <row r="146" spans="1:17" s="1" customFormat="1" x14ac:dyDescent="0.2">
      <c r="A146" s="6"/>
      <c r="B146" s="3"/>
      <c r="C146" s="32"/>
      <c r="H146" s="17"/>
      <c r="I146" s="17"/>
      <c r="J146" s="3"/>
      <c r="K146" s="3"/>
      <c r="L146" s="4"/>
      <c r="M146" s="13"/>
      <c r="N146" s="13"/>
      <c r="O146" s="13"/>
      <c r="P146" s="13"/>
      <c r="Q146" s="12"/>
    </row>
    <row r="147" spans="1:17" s="1" customFormat="1" x14ac:dyDescent="0.2">
      <c r="A147" s="6"/>
      <c r="B147" s="3"/>
      <c r="C147" s="32"/>
      <c r="H147" s="17"/>
      <c r="I147" s="17"/>
      <c r="J147" s="3"/>
      <c r="K147" s="3"/>
      <c r="L147" s="4"/>
      <c r="M147" s="13"/>
      <c r="N147" s="13"/>
      <c r="O147" s="13"/>
      <c r="P147" s="13"/>
      <c r="Q147" s="12"/>
    </row>
    <row r="148" spans="1:17" s="1" customFormat="1" x14ac:dyDescent="0.2">
      <c r="A148" s="6"/>
      <c r="B148" s="3"/>
      <c r="C148" s="32"/>
      <c r="H148" s="17"/>
      <c r="I148" s="17"/>
      <c r="J148" s="3"/>
      <c r="K148" s="3"/>
      <c r="L148" s="4"/>
      <c r="M148" s="13"/>
      <c r="N148" s="13"/>
      <c r="O148" s="13"/>
      <c r="P148" s="13"/>
      <c r="Q148" s="12"/>
    </row>
    <row r="149" spans="1:17" s="1" customFormat="1" x14ac:dyDescent="0.2">
      <c r="A149" s="5"/>
      <c r="B149" s="3"/>
      <c r="C149" s="32"/>
      <c r="H149" s="17"/>
      <c r="I149" s="17"/>
      <c r="J149" s="3"/>
      <c r="K149" s="3"/>
      <c r="L149" s="4"/>
      <c r="M149" s="13"/>
      <c r="N149" s="13"/>
      <c r="O149" s="13"/>
      <c r="P149" s="13"/>
      <c r="Q149" s="12"/>
    </row>
    <row r="150" spans="1:17" s="1" customFormat="1" x14ac:dyDescent="0.2">
      <c r="A150" s="6"/>
      <c r="B150" s="3"/>
      <c r="C150" s="32"/>
      <c r="H150" s="17"/>
      <c r="I150" s="17"/>
      <c r="J150" s="3"/>
      <c r="K150" s="3"/>
      <c r="L150" s="4"/>
      <c r="M150" s="13"/>
      <c r="N150" s="13"/>
      <c r="O150" s="13"/>
      <c r="P150" s="13"/>
      <c r="Q150" s="12"/>
    </row>
    <row r="151" spans="1:17" s="1" customFormat="1" x14ac:dyDescent="0.2">
      <c r="A151" s="6"/>
      <c r="B151" s="3"/>
      <c r="C151" s="32"/>
      <c r="H151" s="17"/>
      <c r="I151" s="17"/>
      <c r="J151" s="3"/>
      <c r="K151" s="3"/>
      <c r="L151" s="4"/>
      <c r="M151" s="13"/>
      <c r="N151" s="13"/>
      <c r="O151" s="13"/>
      <c r="P151" s="13"/>
      <c r="Q151" s="12"/>
    </row>
    <row r="152" spans="1:17" s="1" customFormat="1" x14ac:dyDescent="0.2">
      <c r="A152" s="6"/>
      <c r="B152" s="3"/>
      <c r="C152" s="32"/>
      <c r="H152" s="17"/>
      <c r="I152" s="17"/>
      <c r="J152" s="3"/>
      <c r="K152" s="3"/>
      <c r="L152" s="4"/>
      <c r="M152" s="13"/>
      <c r="N152" s="13"/>
      <c r="O152" s="13"/>
      <c r="P152" s="13"/>
      <c r="Q152" s="12"/>
    </row>
    <row r="153" spans="1:17" s="1" customFormat="1" x14ac:dyDescent="0.2">
      <c r="A153" s="6"/>
      <c r="B153" s="3"/>
      <c r="C153" s="32"/>
      <c r="H153" s="17"/>
      <c r="I153" s="17"/>
      <c r="J153" s="3"/>
      <c r="K153" s="3"/>
      <c r="L153" s="4"/>
      <c r="M153" s="13"/>
      <c r="N153" s="13"/>
      <c r="O153" s="13"/>
      <c r="P153" s="13"/>
      <c r="Q153" s="12"/>
    </row>
    <row r="154" spans="1:17" s="1" customFormat="1" x14ac:dyDescent="0.2">
      <c r="A154" s="5"/>
      <c r="B154" s="3"/>
      <c r="C154" s="32"/>
      <c r="H154" s="17"/>
      <c r="I154" s="17"/>
      <c r="J154" s="3"/>
      <c r="K154" s="3"/>
      <c r="L154" s="4"/>
      <c r="M154" s="13"/>
      <c r="N154" s="13"/>
      <c r="O154" s="13"/>
      <c r="P154" s="13"/>
      <c r="Q154" s="12"/>
    </row>
    <row r="155" spans="1:17" s="1" customFormat="1" x14ac:dyDescent="0.2">
      <c r="A155" s="6"/>
      <c r="B155" s="3"/>
      <c r="C155" s="32"/>
      <c r="H155" s="17"/>
      <c r="I155" s="17"/>
      <c r="J155" s="3"/>
      <c r="K155" s="3"/>
      <c r="L155" s="4"/>
      <c r="M155" s="13"/>
      <c r="N155" s="13"/>
      <c r="O155" s="13"/>
      <c r="P155" s="13"/>
      <c r="Q155" s="12"/>
    </row>
    <row r="156" spans="1:17" s="1" customFormat="1" x14ac:dyDescent="0.2">
      <c r="A156" s="7"/>
      <c r="B156" s="3"/>
      <c r="C156" s="32"/>
      <c r="H156" s="17"/>
      <c r="I156" s="17"/>
      <c r="J156" s="3"/>
      <c r="K156" s="3"/>
      <c r="L156" s="4"/>
      <c r="M156" s="13"/>
      <c r="N156" s="13"/>
      <c r="O156" s="13"/>
      <c r="P156" s="13"/>
      <c r="Q156" s="12"/>
    </row>
    <row r="157" spans="1:17" s="1" customFormat="1" x14ac:dyDescent="0.2">
      <c r="A157" s="6"/>
      <c r="B157" s="3"/>
      <c r="C157" s="32"/>
      <c r="H157" s="17"/>
      <c r="I157" s="17"/>
      <c r="J157" s="3"/>
      <c r="K157" s="3"/>
      <c r="L157" s="4"/>
      <c r="M157" s="13"/>
      <c r="N157" s="13"/>
      <c r="O157" s="13"/>
      <c r="P157" s="13"/>
      <c r="Q157" s="12"/>
    </row>
    <row r="158" spans="1:17" s="1" customFormat="1" x14ac:dyDescent="0.2">
      <c r="A158" s="6"/>
      <c r="B158" s="3"/>
      <c r="C158" s="32"/>
      <c r="H158" s="17"/>
      <c r="I158" s="17"/>
      <c r="J158" s="3"/>
      <c r="K158" s="3"/>
      <c r="L158" s="4"/>
      <c r="M158" s="13"/>
      <c r="N158" s="13"/>
      <c r="O158" s="13"/>
      <c r="P158" s="13"/>
      <c r="Q158" s="12"/>
    </row>
    <row r="159" spans="1:17" s="1" customFormat="1" x14ac:dyDescent="0.2">
      <c r="A159" s="6"/>
      <c r="B159" s="3"/>
      <c r="C159" s="32"/>
      <c r="H159" s="17"/>
      <c r="I159" s="17"/>
      <c r="J159" s="3"/>
      <c r="K159" s="3"/>
      <c r="L159" s="4"/>
      <c r="M159" s="13"/>
      <c r="N159" s="13"/>
      <c r="O159" s="13"/>
      <c r="P159" s="13"/>
      <c r="Q159" s="12"/>
    </row>
    <row r="160" spans="1:17" s="1" customFormat="1" x14ac:dyDescent="0.2">
      <c r="A160" s="6"/>
      <c r="B160" s="3"/>
      <c r="C160" s="32"/>
      <c r="H160" s="17"/>
      <c r="I160" s="17"/>
      <c r="J160" s="3"/>
      <c r="K160" s="3"/>
      <c r="L160" s="4"/>
      <c r="M160" s="13"/>
      <c r="N160" s="13"/>
      <c r="O160" s="13"/>
      <c r="P160" s="13"/>
      <c r="Q160" s="12"/>
    </row>
    <row r="161" spans="1:18" s="1" customFormat="1" x14ac:dyDescent="0.2">
      <c r="A161" s="5"/>
      <c r="B161" s="3"/>
      <c r="C161" s="3"/>
      <c r="D161" s="32"/>
      <c r="J161" s="17"/>
      <c r="K161" s="3"/>
      <c r="L161" s="3"/>
      <c r="M161" s="4"/>
      <c r="N161" s="13"/>
      <c r="O161" s="13"/>
      <c r="P161" s="13"/>
      <c r="Q161" s="13"/>
      <c r="R161" s="12"/>
    </row>
    <row r="162" spans="1:18" s="1" customFormat="1" x14ac:dyDescent="0.2">
      <c r="A162" s="6"/>
      <c r="B162" s="3"/>
      <c r="C162" s="3"/>
      <c r="D162" s="32"/>
      <c r="E162" s="17"/>
      <c r="F162" s="4"/>
      <c r="H162" s="13"/>
      <c r="I162" s="13"/>
      <c r="J162" s="13"/>
      <c r="K162" s="13"/>
      <c r="L162" s="13"/>
      <c r="M162" s="12"/>
    </row>
    <row r="163" spans="1:18" s="1" customFormat="1" x14ac:dyDescent="0.2">
      <c r="A163" s="5"/>
      <c r="B163" s="3"/>
      <c r="C163" s="3"/>
      <c r="D163" s="32"/>
      <c r="E163" s="17"/>
      <c r="F163" s="4"/>
      <c r="H163" s="13"/>
      <c r="I163" s="13"/>
      <c r="J163" s="13"/>
      <c r="K163" s="13"/>
      <c r="L163" s="13"/>
      <c r="M163" s="12"/>
    </row>
    <row r="164" spans="1:18" s="1" customFormat="1" ht="12.75" x14ac:dyDescent="0.2"/>
    <row r="165" spans="1:18" s="1" customFormat="1" ht="12.75" x14ac:dyDescent="0.2"/>
    <row r="166" spans="1:18" s="1" customFormat="1" ht="12.75" x14ac:dyDescent="0.2"/>
    <row r="167" spans="1:18" s="1" customFormat="1" ht="12.75" x14ac:dyDescent="0.2"/>
    <row r="168" spans="1:18" s="1" customFormat="1" ht="12.75" x14ac:dyDescent="0.2"/>
    <row r="169" spans="1:18" s="1" customFormat="1" ht="12.75" x14ac:dyDescent="0.2"/>
    <row r="170" spans="1:18" s="1" customFormat="1" ht="12.75" x14ac:dyDescent="0.2"/>
    <row r="171" spans="1:18" s="1" customFormat="1" ht="12.75" x14ac:dyDescent="0.2"/>
    <row r="172" spans="1:18" s="1" customFormat="1" ht="12.75" x14ac:dyDescent="0.2"/>
    <row r="173" spans="1:18" s="1" customFormat="1" ht="12.75" x14ac:dyDescent="0.2"/>
    <row r="174" spans="1:18" s="1" customFormat="1" ht="12.75" x14ac:dyDescent="0.2"/>
    <row r="175" spans="1:18" s="1" customFormat="1" ht="12.75" x14ac:dyDescent="0.2"/>
    <row r="176" spans="1:18" s="1" customFormat="1" ht="12.75" x14ac:dyDescent="0.2"/>
    <row r="177" s="1" customFormat="1" ht="12.75" x14ac:dyDescent="0.2"/>
    <row r="178" s="1" customFormat="1" ht="12.75" x14ac:dyDescent="0.2"/>
    <row r="179" s="1" customFormat="1" ht="12.75" x14ac:dyDescent="0.2"/>
    <row r="180" s="1" customFormat="1" ht="12.75" x14ac:dyDescent="0.2"/>
    <row r="181" s="1" customFormat="1" ht="12.75" x14ac:dyDescent="0.2"/>
    <row r="182" s="1" customFormat="1" ht="12.75" x14ac:dyDescent="0.2"/>
    <row r="183" s="1" customFormat="1" ht="12.75" x14ac:dyDescent="0.2"/>
    <row r="184" s="1" customFormat="1" ht="12.75" x14ac:dyDescent="0.2"/>
    <row r="185" s="1" customFormat="1" ht="12.75" x14ac:dyDescent="0.2"/>
    <row r="186" s="1" customFormat="1" ht="12.75" x14ac:dyDescent="0.2"/>
    <row r="187" s="1" customFormat="1" ht="12.75" x14ac:dyDescent="0.2"/>
    <row r="188" s="1" customFormat="1" ht="12.75" x14ac:dyDescent="0.2"/>
    <row r="189" s="1" customFormat="1" ht="12.75" x14ac:dyDescent="0.2"/>
    <row r="190" s="1" customFormat="1" ht="12.75" x14ac:dyDescent="0.2"/>
    <row r="191" s="1" customFormat="1" ht="12.75" x14ac:dyDescent="0.2"/>
    <row r="192" s="1" customFormat="1" ht="12.75" x14ac:dyDescent="0.2"/>
    <row r="193" s="1" customFormat="1" ht="12.75" x14ac:dyDescent="0.2"/>
    <row r="194" s="1" customFormat="1" ht="12.75" x14ac:dyDescent="0.2"/>
    <row r="195" s="1" customFormat="1" ht="12.75" x14ac:dyDescent="0.2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111"/>
  <sheetViews>
    <sheetView zoomScaleNormal="100" workbookViewId="0"/>
  </sheetViews>
  <sheetFormatPr defaultRowHeight="15" x14ac:dyDescent="0.25"/>
  <cols>
    <col min="1" max="1" width="15.7109375" customWidth="1"/>
    <col min="4" max="4" width="13" customWidth="1"/>
    <col min="5" max="5" width="11.7109375" customWidth="1"/>
    <col min="6" max="6" width="11.28515625" customWidth="1"/>
    <col min="7" max="7" width="12.5703125" customWidth="1"/>
    <col min="8" max="8" width="11.28515625" bestFit="1" customWidth="1"/>
    <col min="9" max="9" width="11.42578125" customWidth="1"/>
    <col min="10" max="10" width="13" customWidth="1"/>
    <col min="11" max="11" width="14.5703125" customWidth="1"/>
    <col min="13" max="13" width="12.42578125" bestFit="1" customWidth="1"/>
    <col min="14" max="14" width="12.140625" bestFit="1" customWidth="1"/>
    <col min="19" max="19" width="12.5703125" bestFit="1" customWidth="1"/>
    <col min="20" max="20" width="13.42578125" bestFit="1" customWidth="1"/>
  </cols>
  <sheetData>
    <row r="1" spans="1:22" s="1" customFormat="1" ht="57" x14ac:dyDescent="0.85">
      <c r="A1" s="11" t="s">
        <v>83</v>
      </c>
    </row>
    <row r="2" spans="1:22" s="1" customFormat="1" ht="42" x14ac:dyDescent="0.65">
      <c r="A2" s="30" t="s">
        <v>98</v>
      </c>
    </row>
    <row r="3" spans="1:22" s="28" customFormat="1" ht="18.75" customHeight="1" x14ac:dyDescent="0.55000000000000004">
      <c r="A3" s="29"/>
      <c r="B3" s="1">
        <f>HLOOKUP(B4,[1]!LOOKUP_SARS_Unified2,2,FALSE)</f>
        <v>38</v>
      </c>
      <c r="C3" s="1"/>
      <c r="D3" s="1">
        <f ca="1">HLOOKUP(D4,[1]!LOOKUP_SARS_Unified2,2,FALSE)</f>
        <v>51</v>
      </c>
      <c r="E3" s="1">
        <f ca="1">HLOOKUP(E4,[1]!LOOKUP_SARS_Unified2,2,FALSE)</f>
        <v>52</v>
      </c>
      <c r="F3" s="1">
        <f ca="1">HLOOKUP(F4,[1]!LOOKUP_SARS_Unified2,2,FALSE)</f>
        <v>53</v>
      </c>
      <c r="G3" s="1">
        <f ca="1">HLOOKUP(G4,[1]!LOOKUP_SARS_Unified2,2,FALSE)</f>
        <v>54</v>
      </c>
      <c r="H3" s="1">
        <f ca="1">HLOOKUP(H4,[1]!LOOKUP_SARS_Unified2,2,FALSE)</f>
        <v>55</v>
      </c>
      <c r="I3" s="1">
        <f ca="1">HLOOKUP(I4,[1]!LOOKUP_SARS_Unified2,2,FALSE)</f>
        <v>56</v>
      </c>
      <c r="J3" s="1">
        <f ca="1">HLOOKUP(J4,[1]!LOOKUP_SARS_Unified2,2,FALSE)</f>
        <v>57</v>
      </c>
      <c r="K3" s="1">
        <f>HLOOKUP(K4,[1]!LOOKUP_SARS_Unified2,2,FALSE)</f>
        <v>31</v>
      </c>
    </row>
    <row r="4" spans="1:22" s="22" customFormat="1" ht="102" x14ac:dyDescent="0.2">
      <c r="A4" s="149" t="s">
        <v>80</v>
      </c>
      <c r="B4" s="150" t="s">
        <v>169</v>
      </c>
      <c r="C4" s="150"/>
      <c r="D4" s="150" t="s">
        <v>205</v>
      </c>
      <c r="E4" s="150" t="s">
        <v>206</v>
      </c>
      <c r="F4" s="150" t="s">
        <v>207</v>
      </c>
      <c r="G4" s="150" t="s">
        <v>208</v>
      </c>
      <c r="H4" s="150" t="s">
        <v>209</v>
      </c>
      <c r="I4" s="150" t="s">
        <v>210</v>
      </c>
      <c r="J4" s="150" t="s">
        <v>211</v>
      </c>
      <c r="K4" s="150" t="s">
        <v>204</v>
      </c>
      <c r="R4" s="22" t="s">
        <v>96</v>
      </c>
      <c r="S4" s="18" t="s">
        <v>95</v>
      </c>
      <c r="T4" s="18" t="s">
        <v>94</v>
      </c>
      <c r="U4" s="22" t="s">
        <v>93</v>
      </c>
      <c r="V4" s="22" t="s">
        <v>92</v>
      </c>
    </row>
    <row r="5" spans="1:22" s="22" customFormat="1" x14ac:dyDescent="0.25">
      <c r="A5" s="17" t="s">
        <v>82</v>
      </c>
      <c r="B5" s="3"/>
      <c r="C5" s="3"/>
      <c r="D5" s="13" t="e">
        <f ca="1">SUM(Reason_Quantity)</f>
        <v>#VALUE!</v>
      </c>
      <c r="E5" s="13" t="e">
        <f ca="1">SUM(Reason_Schedule)</f>
        <v>#VALUE!</v>
      </c>
      <c r="F5" s="13" t="e">
        <f ca="1">SUM(Reason_Engineering)</f>
        <v>#VALUE!</v>
      </c>
      <c r="G5" s="13" t="e">
        <f ca="1">SUM(Reason_Estimating)</f>
        <v>#VALUE!</v>
      </c>
      <c r="H5" s="13" t="e">
        <f ca="1">SUM(Reason_Other)</f>
        <v>#VALUE!</v>
      </c>
      <c r="I5" s="13" t="e">
        <f ca="1">SUM(Reason_Support)</f>
        <v>#VALUE!</v>
      </c>
      <c r="J5" s="13" t="e">
        <f ca="1">SUM(Reason_Total)</f>
        <v>#VALUE!</v>
      </c>
      <c r="K5" s="23" t="e">
        <f ca="1">SUM(Reason_Baseline)</f>
        <v>#VALUE!</v>
      </c>
      <c r="L5" s="3"/>
      <c r="M5" s="23"/>
      <c r="N5" s="23"/>
      <c r="P5" s="21"/>
      <c r="R5" s="3" t="s">
        <v>91</v>
      </c>
      <c r="S5" s="27">
        <f ca="1">D6</f>
        <v>139708.88395888326</v>
      </c>
      <c r="T5" s="23">
        <f ca="1">D7</f>
        <v>-126618.78765674977</v>
      </c>
      <c r="U5" s="25" t="e">
        <f t="shared" ref="U5:U10" ca="1" si="0">SUM($S5:$T5)/$K$5</f>
        <v>#VALUE!</v>
      </c>
      <c r="V5" s="25" t="e">
        <f ca="1">SUMPRODUCT(D$8:D$92,1/$K$8:$K$92)/ROWS($A$8:$A$92)</f>
        <v>#VALUE!</v>
      </c>
    </row>
    <row r="6" spans="1:22" s="22" customFormat="1" x14ac:dyDescent="0.25">
      <c r="A6" s="26" t="s">
        <v>90</v>
      </c>
      <c r="B6" s="3"/>
      <c r="C6" s="3"/>
      <c r="D6" s="13">
        <f ca="1">SUMIF(Reason_Quantity,"&gt;=0",Reason_Quantity)</f>
        <v>139708.88395888326</v>
      </c>
      <c r="E6" s="13">
        <f ca="1">SUMIF(Reason_Schedule,"&gt;=0",Reason_Schedule)</f>
        <v>47431.262026843338</v>
      </c>
      <c r="F6" s="13">
        <f ca="1">SUMIF(Reason_Engineering,"&gt;=0",Reason_Engineering)</f>
        <v>63708.581425895027</v>
      </c>
      <c r="G6" s="13">
        <f ca="1">SUMIF(Reason_Estimating,"&gt;=0",Reason_Estimating)</f>
        <v>210859.43209074863</v>
      </c>
      <c r="H6" s="13">
        <f ca="1">SUMIF(Reason_Other,"&gt;=0",Reason_Other)</f>
        <v>3047.6660263311628</v>
      </c>
      <c r="I6" s="13">
        <f ca="1">SUMIF(Reason_Support,"&gt;=0",Reason_Support)</f>
        <v>60365.246317250254</v>
      </c>
      <c r="J6" s="13">
        <f ca="1">SUMIF(Reason_Total,"&gt;=0",Reason_Total)</f>
        <v>452548.16035405296</v>
      </c>
      <c r="K6" s="3"/>
      <c r="L6" s="16"/>
      <c r="P6" s="21"/>
      <c r="R6" s="3" t="s">
        <v>88</v>
      </c>
      <c r="S6" s="23">
        <f ca="1">E6</f>
        <v>47431.262026843338</v>
      </c>
      <c r="T6" s="23">
        <f ca="1">E7</f>
        <v>-2455.5150457910318</v>
      </c>
      <c r="U6" s="25" t="e">
        <f t="shared" ca="1" si="0"/>
        <v>#VALUE!</v>
      </c>
      <c r="V6" s="25" t="e">
        <f ca="1">SUMPRODUCT(E$8:E$92,1/$K$8:$K$92)/ROWS($A$8:$A$92)</f>
        <v>#VALUE!</v>
      </c>
    </row>
    <row r="7" spans="1:22" s="22" customFormat="1" x14ac:dyDescent="0.25">
      <c r="A7" s="26" t="s">
        <v>89</v>
      </c>
      <c r="B7" s="3"/>
      <c r="C7" s="3"/>
      <c r="D7" s="13">
        <f ca="1">SUMIF(Reason_Quantity,"&lt;0",Reason_Quantity)</f>
        <v>-126618.78765674977</v>
      </c>
      <c r="E7" s="13">
        <f ca="1">SUMIF(Reason_Schedule,"&lt;0",Reason_Schedule)</f>
        <v>-2455.5150457910318</v>
      </c>
      <c r="F7" s="13">
        <f ca="1">SUMIF(Reason_Engineering,"&lt;0",Reason_Engineering)</f>
        <v>-4772.27693746979</v>
      </c>
      <c r="G7" s="13">
        <f ca="1">SUMIF(Reason_Estimating,"&lt;0",Reason_Estimating)</f>
        <v>-35519.388107383471</v>
      </c>
      <c r="H7" s="13">
        <f ca="1">SUMIF(Reason_Other,"&lt;0",Reason_Other)</f>
        <v>-3869.9259250619643</v>
      </c>
      <c r="I7" s="13">
        <f ca="1">SUMIF(Reason_Support,"&lt;0",Reason_Support)</f>
        <v>-8462.1996477945941</v>
      </c>
      <c r="J7" s="13">
        <f ca="1">SUMIF(Reason_Total,"&lt;0",Reason_Total)</f>
        <v>-109125.1818283521</v>
      </c>
      <c r="L7" s="3"/>
      <c r="M7" s="23"/>
      <c r="N7" s="23"/>
      <c r="P7" s="21"/>
      <c r="R7" s="3" t="s">
        <v>87</v>
      </c>
      <c r="S7" s="23">
        <f ca="1">F6</f>
        <v>63708.581425895027</v>
      </c>
      <c r="T7" s="23">
        <f ca="1">F7</f>
        <v>-4772.27693746979</v>
      </c>
      <c r="U7" s="25" t="e">
        <f t="shared" ca="1" si="0"/>
        <v>#VALUE!</v>
      </c>
      <c r="V7" s="25" t="e">
        <f ca="1">SUMPRODUCT(F$8:F$92,1/$K$8:$K$92)/ROWS($A$8:$A$92)</f>
        <v>#VALUE!</v>
      </c>
    </row>
    <row r="8" spans="1:22" s="1" customFormat="1" x14ac:dyDescent="0.25">
      <c r="A8" s="151" t="s">
        <v>0</v>
      </c>
      <c r="B8" s="3">
        <f ca="1">VLOOKUP($A8,[1]!LOOKUP_SARS_Unified2,B$3,FALSE)</f>
        <v>0.42399999999999999</v>
      </c>
      <c r="C8" s="3"/>
      <c r="D8" s="12">
        <f ca="1">VLOOKUP($A8,[1]!LOOKUP_SARS_Unified2,D$3,FALSE)</f>
        <v>2162.595335470322</v>
      </c>
      <c r="E8" s="12">
        <f ca="1">VLOOKUP($A8,[1]!LOOKUP_SARS_Unified2,E$3,FALSE)</f>
        <v>12.821929921520946</v>
      </c>
      <c r="F8" s="12" t="e">
        <f ca="1">VLOOKUP($A8,[1]!LOOKUP_SARS_Unified2,F$3,FALSE)</f>
        <v>#VALUE!</v>
      </c>
      <c r="G8" s="12">
        <f ca="1">VLOOKUP($A8,[1]!LOOKUP_SARS_Unified2,G$3,FALSE)</f>
        <v>202.16646402122251</v>
      </c>
      <c r="H8" s="12" t="e">
        <f ca="1">VLOOKUP($A8,[1]!LOOKUP_SARS_Unified2,H$3,FALSE)</f>
        <v>#VALUE!</v>
      </c>
      <c r="I8" s="12">
        <f ca="1">VLOOKUP($A8,[1]!LOOKUP_SARS_Unified2,I$3,FALSE)</f>
        <v>1116.5027080800267</v>
      </c>
      <c r="J8" s="12">
        <f ca="1">VLOOKUP($A8,[1]!LOOKUP_SARS_Unified2,J$3,FALSE)</f>
        <v>3494.0864374930916</v>
      </c>
      <c r="K8" s="12">
        <f ca="1">VLOOKUP($A8,[1]!LOOKUP_SARS_Unified2,K$3,FALSE)</f>
        <v>7243.285066872997</v>
      </c>
      <c r="L8" s="16"/>
      <c r="M8" s="22"/>
      <c r="N8" s="22"/>
      <c r="O8" s="22"/>
      <c r="P8" s="21"/>
      <c r="R8" s="3" t="s">
        <v>86</v>
      </c>
      <c r="S8" s="23">
        <f ca="1">G6</f>
        <v>210859.43209074863</v>
      </c>
      <c r="T8" s="23">
        <f ca="1">G7</f>
        <v>-35519.388107383471</v>
      </c>
      <c r="U8" s="25" t="e">
        <f t="shared" ca="1" si="0"/>
        <v>#VALUE!</v>
      </c>
      <c r="V8" s="25" t="e">
        <f ca="1">SUMPRODUCT(G$8:G$92,1/$K$8:$K$92)/ROWS($A$8:$A$92)</f>
        <v>#VALUE!</v>
      </c>
    </row>
    <row r="9" spans="1:22" s="1" customFormat="1" x14ac:dyDescent="0.25">
      <c r="A9" t="s">
        <v>212</v>
      </c>
      <c r="B9" s="3">
        <f ca="1">VLOOKUP($A9,[1]!LOOKUP_SARS_Unified2,B$3,FALSE)</f>
        <v>-0.14899999999999999</v>
      </c>
      <c r="C9" s="3"/>
      <c r="D9" s="12">
        <f ca="1">VLOOKUP($A9,[1]!LOOKUP_SARS_Unified2,D$3,FALSE)</f>
        <v>-3154.0138031238648</v>
      </c>
      <c r="E9" s="12" t="e">
        <f ca="1">VLOOKUP($A9,[1]!LOOKUP_SARS_Unified2,E$3,FALSE)</f>
        <v>#VALUE!</v>
      </c>
      <c r="F9" s="12" t="e">
        <f ca="1">VLOOKUP($A9,[1]!LOOKUP_SARS_Unified2,F$3,FALSE)</f>
        <v>#VALUE!</v>
      </c>
      <c r="G9" s="12">
        <f ca="1">VLOOKUP($A9,[1]!LOOKUP_SARS_Unified2,G$3,FALSE)</f>
        <v>-92.020825765831205</v>
      </c>
      <c r="H9" s="12" t="e">
        <f ca="1">VLOOKUP($A9,[1]!LOOKUP_SARS_Unified2,H$3,FALSE)</f>
        <v>#VALUE!</v>
      </c>
      <c r="I9" s="12">
        <f ca="1">VLOOKUP($A9,[1]!LOOKUP_SARS_Unified2,I$3,FALSE)</f>
        <v>-133.30911732655284</v>
      </c>
      <c r="J9" s="12">
        <f ca="1">VLOOKUP($A9,[1]!LOOKUP_SARS_Unified2,J$3,FALSE)</f>
        <v>-3379.3437462162487</v>
      </c>
      <c r="K9" s="12">
        <f ca="1">VLOOKUP($A9,[1]!LOOKUP_SARS_Unified2,K$3,FALSE)</f>
        <v>4670.0569076159336</v>
      </c>
      <c r="L9" s="3"/>
      <c r="M9" s="23"/>
      <c r="N9" s="23"/>
      <c r="O9" s="22"/>
      <c r="P9" s="21"/>
      <c r="R9" s="3" t="s">
        <v>84</v>
      </c>
      <c r="S9" s="23">
        <f ca="1">I6</f>
        <v>60365.246317250254</v>
      </c>
      <c r="T9" s="23">
        <f ca="1">I7</f>
        <v>-8462.1996477945941</v>
      </c>
      <c r="U9" s="25" t="e">
        <f t="shared" ca="1" si="0"/>
        <v>#VALUE!</v>
      </c>
      <c r="V9" s="25" t="e">
        <f ca="1">SUMPRODUCT(I$8:I$92,1/$K$8:$K$92)/ROWS($A$8:$A$92)</f>
        <v>#VALUE!</v>
      </c>
    </row>
    <row r="10" spans="1:22" s="1" customFormat="1" x14ac:dyDescent="0.25">
      <c r="A10" t="s">
        <v>25</v>
      </c>
      <c r="B10" s="3">
        <f ca="1">VLOOKUP($A10,[1]!LOOKUP_SARS_Unified2,B$3,FALSE)</f>
        <v>0.33600000000000002</v>
      </c>
      <c r="C10" s="3"/>
      <c r="D10" s="12">
        <f ca="1">VLOOKUP($A10,[1]!LOOKUP_SARS_Unified2,D$3,FALSE)</f>
        <v>3534.2398022249686</v>
      </c>
      <c r="E10" s="12">
        <f ca="1">VLOOKUP($A10,[1]!LOOKUP_SARS_Unified2,E$3,FALSE)</f>
        <v>1348.949320148331</v>
      </c>
      <c r="F10" s="12">
        <f ca="1">VLOOKUP($A10,[1]!LOOKUP_SARS_Unified2,F$3,FALSE)</f>
        <v>168.23238566131025</v>
      </c>
      <c r="G10" s="12">
        <f ca="1">VLOOKUP($A10,[1]!LOOKUP_SARS_Unified2,G$3,FALSE)</f>
        <v>2084.7960444993819</v>
      </c>
      <c r="H10" s="12" t="e">
        <f ca="1">VLOOKUP($A10,[1]!LOOKUP_SARS_Unified2,H$3,FALSE)</f>
        <v>#VALUE!</v>
      </c>
      <c r="I10" s="12" t="e">
        <f ca="1">VLOOKUP($A10,[1]!LOOKUP_SARS_Unified2,I$3,FALSE)</f>
        <v>#VALUE!</v>
      </c>
      <c r="J10" s="12">
        <f ca="1">VLOOKUP($A10,[1]!LOOKUP_SARS_Unified2,J$3,FALSE)</f>
        <v>7136.2175525339917</v>
      </c>
      <c r="K10" s="12">
        <f ca="1">VLOOKUP($A10,[1]!LOOKUP_SARS_Unified2,K$3,FALSE)</f>
        <v>7170.2101359703329</v>
      </c>
      <c r="L10" s="16"/>
      <c r="O10" s="22"/>
      <c r="P10" s="21"/>
      <c r="R10" s="3" t="s">
        <v>85</v>
      </c>
      <c r="S10" s="23">
        <f ca="1">H6</f>
        <v>3047.6660263311628</v>
      </c>
      <c r="T10" s="23">
        <f ca="1">H7</f>
        <v>-3869.9259250619643</v>
      </c>
      <c r="U10" s="25" t="e">
        <f t="shared" ca="1" si="0"/>
        <v>#VALUE!</v>
      </c>
      <c r="V10" s="25" t="e">
        <f ca="1">SUMPRODUCT(H$8:H$92,1/$K$8:$K$92)/ROWS($A$8:$A$92)</f>
        <v>#VALUE!</v>
      </c>
    </row>
    <row r="11" spans="1:22" s="1" customFormat="1" x14ac:dyDescent="0.25">
      <c r="A11" t="s">
        <v>18</v>
      </c>
      <c r="B11" s="3">
        <f ca="1">VLOOKUP($A11,[1]!LOOKUP_SARS_Unified2,B$3,FALSE)</f>
        <v>7.8E-2</v>
      </c>
      <c r="C11" s="3"/>
      <c r="D11" s="12" t="e">
        <f ca="1">VLOOKUP($A11,[1]!LOOKUP_SARS_Unified2,D$3,FALSE)</f>
        <v>#VALUE!</v>
      </c>
      <c r="E11" s="12">
        <f ca="1">VLOOKUP($A11,[1]!LOOKUP_SARS_Unified2,E$3,FALSE)</f>
        <v>23.126286475360214</v>
      </c>
      <c r="F11" s="12">
        <f ca="1">VLOOKUP($A11,[1]!LOOKUP_SARS_Unified2,F$3,FALSE)</f>
        <v>30.391088509504783</v>
      </c>
      <c r="G11" s="12">
        <f ca="1">VLOOKUP($A11,[1]!LOOKUP_SARS_Unified2,G$3,FALSE)</f>
        <v>105.70286959680347</v>
      </c>
      <c r="H11" s="12" t="e">
        <f ca="1">VLOOKUP($A11,[1]!LOOKUP_SARS_Unified2,H$3,FALSE)</f>
        <v>#VALUE!</v>
      </c>
      <c r="I11" s="12">
        <f ca="1">VLOOKUP($A11,[1]!LOOKUP_SARS_Unified2,I$3,FALSE)</f>
        <v>-15.740404407313232</v>
      </c>
      <c r="J11" s="12">
        <f ca="1">VLOOKUP($A11,[1]!LOOKUP_SARS_Unified2,J$3,FALSE)</f>
        <v>143.47984017435525</v>
      </c>
      <c r="K11" s="12">
        <f ca="1">VLOOKUP($A11,[1]!LOOKUP_SARS_Unified2,K$3,FALSE)</f>
        <v>1850.7083181983289</v>
      </c>
      <c r="L11" s="3"/>
      <c r="M11" s="23"/>
      <c r="N11" s="23"/>
      <c r="P11" s="21"/>
      <c r="R11" s="3"/>
    </row>
    <row r="12" spans="1:22" s="1" customFormat="1" x14ac:dyDescent="0.25">
      <c r="A12" t="s">
        <v>12</v>
      </c>
      <c r="B12" s="3">
        <f ca="1">VLOOKUP($A12,[1]!LOOKUP_SARS_Unified2,B$3,FALSE)</f>
        <v>0.187</v>
      </c>
      <c r="C12" s="3"/>
      <c r="D12" s="12">
        <f ca="1">VLOOKUP($A12,[1]!LOOKUP_SARS_Unified2,D$3,FALSE)</f>
        <v>17.359709325797336</v>
      </c>
      <c r="E12" s="12">
        <f ca="1">VLOOKUP($A12,[1]!LOOKUP_SARS_Unified2,E$3,FALSE)</f>
        <v>86.529403848741751</v>
      </c>
      <c r="F12" s="12">
        <f ca="1">VLOOKUP($A12,[1]!LOOKUP_SARS_Unified2,F$3,FALSE)</f>
        <v>400.3498856143184</v>
      </c>
      <c r="G12" s="12">
        <f ca="1">VLOOKUP($A12,[1]!LOOKUP_SARS_Unified2,G$3,FALSE)</f>
        <v>413.80702462656438</v>
      </c>
      <c r="H12" s="12" t="e">
        <f ca="1">VLOOKUP($A12,[1]!LOOKUP_SARS_Unified2,H$3,FALSE)</f>
        <v>#VALUE!</v>
      </c>
      <c r="I12" s="12">
        <f ca="1">VLOOKUP($A12,[1]!LOOKUP_SARS_Unified2,I$3,FALSE)</f>
        <v>-278.42820616336968</v>
      </c>
      <c r="J12" s="12">
        <f ca="1">VLOOKUP($A12,[1]!LOOKUP_SARS_Unified2,J$3,FALSE)</f>
        <v>639.61781725205219</v>
      </c>
      <c r="K12" s="12">
        <f ca="1">VLOOKUP($A12,[1]!LOOKUP_SARS_Unified2,K$3,FALSE)</f>
        <v>3315.8390526174135</v>
      </c>
      <c r="O12" s="22"/>
      <c r="P12" s="21"/>
      <c r="S12" s="40"/>
    </row>
    <row r="13" spans="1:22" s="1" customFormat="1" x14ac:dyDescent="0.25">
      <c r="A13" t="s">
        <v>174</v>
      </c>
      <c r="B13" s="3">
        <f ca="1">VLOOKUP($A13,[1]!LOOKUP_SARS_Unified2,B$3,FALSE)</f>
        <v>-0.191</v>
      </c>
      <c r="C13" s="3"/>
      <c r="D13" s="12">
        <f ca="1">VLOOKUP($A13,[1]!LOOKUP_SARS_Unified2,D$3,FALSE)</f>
        <v>-3311.3395573271791</v>
      </c>
      <c r="E13" s="12">
        <f ca="1">VLOOKUP($A13,[1]!LOOKUP_SARS_Unified2,E$3,FALSE)</f>
        <v>-5.2449386342179798</v>
      </c>
      <c r="F13" s="12">
        <f ca="1">VLOOKUP($A13,[1]!LOOKUP_SARS_Unified2,F$3,FALSE)</f>
        <v>12.69275149480751</v>
      </c>
      <c r="G13" s="12">
        <f ca="1">VLOOKUP($A13,[1]!LOOKUP_SARS_Unified2,G$3,FALSE)</f>
        <v>-1732.9277247456205</v>
      </c>
      <c r="H13" s="12" t="e">
        <f ca="1">VLOOKUP($A13,[1]!LOOKUP_SARS_Unified2,H$3,FALSE)</f>
        <v>#VALUE!</v>
      </c>
      <c r="I13" s="12">
        <f ca="1">VLOOKUP($A13,[1]!LOOKUP_SARS_Unified2,I$3,FALSE)</f>
        <v>801.84621839924466</v>
      </c>
      <c r="J13" s="12">
        <f ca="1">VLOOKUP($A13,[1]!LOOKUP_SARS_Unified2,J$3,FALSE)</f>
        <v>-4234.9732508129655</v>
      </c>
      <c r="K13" s="12">
        <f ca="1">VLOOKUP($A13,[1]!LOOKUP_SARS_Unified2,K$3,FALSE)</f>
        <v>8138.6761774887236</v>
      </c>
      <c r="L13" s="3"/>
      <c r="M13" s="23"/>
      <c r="N13" s="23"/>
      <c r="O13" s="22"/>
      <c r="P13" s="21"/>
    </row>
    <row r="14" spans="1:22" s="1" customFormat="1" x14ac:dyDescent="0.25">
      <c r="A14" t="s">
        <v>9</v>
      </c>
      <c r="B14" s="3">
        <f ca="1">VLOOKUP($A14,[1]!LOOKUP_SARS_Unified2,B$3,FALSE)</f>
        <v>0.28300000000000003</v>
      </c>
      <c r="C14" s="3"/>
      <c r="D14" s="12">
        <f ca="1">VLOOKUP($A14,[1]!LOOKUP_SARS_Unified2,D$3,FALSE)</f>
        <v>724.09172126265639</v>
      </c>
      <c r="E14" s="12">
        <f ca="1">VLOOKUP($A14,[1]!LOOKUP_SARS_Unified2,E$3,FALSE)</f>
        <v>2053.0077427039905</v>
      </c>
      <c r="F14" s="12">
        <f ca="1">VLOOKUP($A14,[1]!LOOKUP_SARS_Unified2,F$3,FALSE)</f>
        <v>1312.8350208457416</v>
      </c>
      <c r="G14" s="12">
        <f ca="1">VLOOKUP($A14,[1]!LOOKUP_SARS_Unified2,G$3,FALSE)</f>
        <v>1450.7147111375818</v>
      </c>
      <c r="H14" s="12" t="e">
        <f ca="1">VLOOKUP($A14,[1]!LOOKUP_SARS_Unified2,H$3,FALSE)</f>
        <v>#VALUE!</v>
      </c>
      <c r="I14" s="12">
        <f ca="1">VLOOKUP($A14,[1]!LOOKUP_SARS_Unified2,I$3,FALSE)</f>
        <v>560.75044669446106</v>
      </c>
      <c r="J14" s="12">
        <f ca="1">VLOOKUP($A14,[1]!LOOKUP_SARS_Unified2,J$3,FALSE)</f>
        <v>6101.399642644431</v>
      </c>
      <c r="K14" s="12">
        <f ca="1">VLOOKUP($A14,[1]!LOOKUP_SARS_Unified2,K$3,FALSE)</f>
        <v>18282.013103037523</v>
      </c>
      <c r="O14" s="22"/>
      <c r="P14" s="21"/>
    </row>
    <row r="15" spans="1:22" s="1" customFormat="1" x14ac:dyDescent="0.25">
      <c r="A15" t="s">
        <v>213</v>
      </c>
      <c r="B15" s="3">
        <f ca="1">VLOOKUP($A15,[1]!LOOKUP_SARS_Unified2,B$3,FALSE)</f>
        <v>-0.60099999999999998</v>
      </c>
      <c r="C15" s="3"/>
      <c r="D15" s="12">
        <f ca="1">VLOOKUP($A15,[1]!LOOKUP_SARS_Unified2,D$3,FALSE)</f>
        <v>-2164.0562478564079</v>
      </c>
      <c r="E15" s="12">
        <f ca="1">VLOOKUP($A15,[1]!LOOKUP_SARS_Unified2,E$3,FALSE)</f>
        <v>90.431004915971187</v>
      </c>
      <c r="F15" s="12">
        <f ca="1">VLOOKUP($A15,[1]!LOOKUP_SARS_Unified2,F$3,FALSE)</f>
        <v>81.742311649708469</v>
      </c>
      <c r="G15" s="12">
        <f ca="1">VLOOKUP($A15,[1]!LOOKUP_SARS_Unified2,G$3,FALSE)</f>
        <v>-219.16085515033723</v>
      </c>
      <c r="H15" s="12" t="e">
        <f ca="1">VLOOKUP($A15,[1]!LOOKUP_SARS_Unified2,H$3,FALSE)</f>
        <v>#VALUE!</v>
      </c>
      <c r="I15" s="12">
        <f ca="1">VLOOKUP($A15,[1]!LOOKUP_SARS_Unified2,I$3,FALSE)</f>
        <v>-815.59391791471353</v>
      </c>
      <c r="J15" s="12">
        <f ca="1">VLOOKUP($A15,[1]!LOOKUP_SARS_Unified2,J$3,FALSE)</f>
        <v>-3026.6377043557791</v>
      </c>
      <c r="K15" s="12">
        <f ca="1">VLOOKUP($A15,[1]!LOOKUP_SARS_Unified2,K$3,FALSE)</f>
        <v>3600.2057848405166</v>
      </c>
      <c r="L15" s="3"/>
      <c r="M15" s="23"/>
      <c r="N15" s="23"/>
      <c r="O15" s="22"/>
      <c r="P15" s="21"/>
    </row>
    <row r="16" spans="1:22" s="1" customFormat="1" x14ac:dyDescent="0.25">
      <c r="A16" s="92" t="s">
        <v>214</v>
      </c>
      <c r="B16" s="3">
        <f ca="1">VLOOKUP($A16,[1]!LOOKUP_SARS_Unified2,B$3,FALSE)</f>
        <v>2.7999999999999997E-2</v>
      </c>
      <c r="C16" s="3"/>
      <c r="D16" s="12">
        <f ca="1">VLOOKUP($A16,[1]!LOOKUP_SARS_Unified2,D$3,FALSE)</f>
        <v>-1350.163458045768</v>
      </c>
      <c r="E16" s="12" t="e">
        <f ca="1">VLOOKUP($A16,[1]!LOOKUP_SARS_Unified2,E$3,FALSE)</f>
        <v>#VALUE!</v>
      </c>
      <c r="F16" s="12" t="e">
        <f ca="1">VLOOKUP($A16,[1]!LOOKUP_SARS_Unified2,F$3,FALSE)</f>
        <v>#VALUE!</v>
      </c>
      <c r="G16" s="12">
        <f ca="1">VLOOKUP($A16,[1]!LOOKUP_SARS_Unified2,G$3,FALSE)</f>
        <v>84.513863663881821</v>
      </c>
      <c r="H16" s="12" t="e">
        <f ca="1">VLOOKUP($A16,[1]!LOOKUP_SARS_Unified2,H$3,FALSE)</f>
        <v>#VALUE!</v>
      </c>
      <c r="I16" s="12">
        <f ca="1">VLOOKUP($A16,[1]!LOOKUP_SARS_Unified2,I$3,FALSE)</f>
        <v>-59.934616781692696</v>
      </c>
      <c r="J16" s="12">
        <f ca="1">VLOOKUP($A16,[1]!LOOKUP_SARS_Unified2,J$3,FALSE)</f>
        <v>-1325.5842111635789</v>
      </c>
      <c r="K16" s="12">
        <f ca="1">VLOOKUP($A16,[1]!LOOKUP_SARS_Unified2,K$3,FALSE)</f>
        <v>2225.3299430923839</v>
      </c>
      <c r="O16" s="22"/>
      <c r="P16" s="21"/>
    </row>
    <row r="17" spans="1:16" s="1" customFormat="1" x14ac:dyDescent="0.25">
      <c r="A17" s="92" t="s">
        <v>175</v>
      </c>
      <c r="B17" s="3">
        <f ca="1">VLOOKUP($A17,[1]!LOOKUP_SARS_Unified2,B$3,FALSE)</f>
        <v>-1E-3</v>
      </c>
      <c r="C17" s="3"/>
      <c r="D17" s="12" t="e">
        <f ca="1">VLOOKUP($A17,[1]!LOOKUP_SARS_Unified2,D$3,FALSE)</f>
        <v>#VALUE!</v>
      </c>
      <c r="E17" s="12" t="e">
        <f ca="1">VLOOKUP($A17,[1]!LOOKUP_SARS_Unified2,E$3,FALSE)</f>
        <v>#VALUE!</v>
      </c>
      <c r="F17" s="12" t="e">
        <f ca="1">VLOOKUP($A17,[1]!LOOKUP_SARS_Unified2,F$3,FALSE)</f>
        <v>#VALUE!</v>
      </c>
      <c r="G17" s="12">
        <f ca="1">VLOOKUP($A17,[1]!LOOKUP_SARS_Unified2,G$3,FALSE)</f>
        <v>-0.71920271242165823</v>
      </c>
      <c r="H17" s="12" t="e">
        <f ca="1">VLOOKUP($A17,[1]!LOOKUP_SARS_Unified2,H$3,FALSE)</f>
        <v>#VALUE!</v>
      </c>
      <c r="I17" s="12" t="e">
        <f ca="1">VLOOKUP($A17,[1]!LOOKUP_SARS_Unified2,I$3,FALSE)</f>
        <v>#VALUE!</v>
      </c>
      <c r="J17" s="12">
        <f ca="1">VLOOKUP($A17,[1]!LOOKUP_SARS_Unified2,J$3,FALSE)</f>
        <v>-0.71920271242165823</v>
      </c>
      <c r="K17" s="12">
        <f ca="1">VLOOKUP($A17,[1]!LOOKUP_SARS_Unified2,K$3,FALSE)</f>
        <v>554.40254803246694</v>
      </c>
    </row>
    <row r="18" spans="1:16" s="1" customFormat="1" x14ac:dyDescent="0.25">
      <c r="A18" s="92" t="s">
        <v>13</v>
      </c>
      <c r="B18" s="3">
        <f ca="1">VLOOKUP($A18,[1]!LOOKUP_SARS_Unified2,B$3,FALSE)</f>
        <v>1.8000000000000002E-2</v>
      </c>
      <c r="C18" s="3"/>
      <c r="D18" s="12">
        <f ca="1">VLOOKUP($A18,[1]!LOOKUP_SARS_Unified2,D$3,FALSE)</f>
        <v>1573.1928804940064</v>
      </c>
      <c r="E18" s="12">
        <f ca="1">VLOOKUP($A18,[1]!LOOKUP_SARS_Unified2,E$3,FALSE)</f>
        <v>-186.3421721758082</v>
      </c>
      <c r="F18" s="12">
        <f ca="1">VLOOKUP($A18,[1]!LOOKUP_SARS_Unified2,F$3,FALSE)</f>
        <v>-365.177382249667</v>
      </c>
      <c r="G18" s="12">
        <f ca="1">VLOOKUP($A18,[1]!LOOKUP_SARS_Unified2,G$3,FALSE)</f>
        <v>564.11187795132571</v>
      </c>
      <c r="H18" s="12" t="e">
        <f ca="1">VLOOKUP($A18,[1]!LOOKUP_SARS_Unified2,H$3,FALSE)</f>
        <v>#VALUE!</v>
      </c>
      <c r="I18" s="12">
        <f ca="1">VLOOKUP($A18,[1]!LOOKUP_SARS_Unified2,I$3,FALSE)</f>
        <v>77.975541833151709</v>
      </c>
      <c r="J18" s="12">
        <f ca="1">VLOOKUP($A18,[1]!LOOKUP_SARS_Unified2,J$3,FALSE)</f>
        <v>1663.7607458530085</v>
      </c>
      <c r="K18" s="12">
        <f ca="1">VLOOKUP($A18,[1]!LOOKUP_SARS_Unified2,K$3,FALSE)</f>
        <v>3385.0345078096616</v>
      </c>
      <c r="P18" s="24"/>
    </row>
    <row r="19" spans="1:16" s="1" customFormat="1" x14ac:dyDescent="0.25">
      <c r="A19" s="92" t="s">
        <v>17</v>
      </c>
      <c r="B19" s="3">
        <f ca="1">VLOOKUP($A19,[1]!LOOKUP_SARS_Unified2,B$3,FALSE)</f>
        <v>-0.17699999999999999</v>
      </c>
      <c r="C19" s="3"/>
      <c r="D19" s="12">
        <f ca="1">VLOOKUP($A19,[1]!LOOKUP_SARS_Unified2,D$3,FALSE)</f>
        <v>-5.6873055048824979</v>
      </c>
      <c r="E19" s="12">
        <f ca="1">VLOOKUP($A19,[1]!LOOKUP_SARS_Unified2,E$3,FALSE)</f>
        <v>5.6873055048824979</v>
      </c>
      <c r="F19" s="12" t="e">
        <f ca="1">VLOOKUP($A19,[1]!LOOKUP_SARS_Unified2,F$3,FALSE)</f>
        <v>#VALUE!</v>
      </c>
      <c r="G19" s="12">
        <f ca="1">VLOOKUP($A19,[1]!LOOKUP_SARS_Unified2,G$3,FALSE)</f>
        <v>-131.12994956540402</v>
      </c>
      <c r="H19" s="12" t="e">
        <f ca="1">VLOOKUP($A19,[1]!LOOKUP_SARS_Unified2,H$3,FALSE)</f>
        <v>#VALUE!</v>
      </c>
      <c r="I19" s="12">
        <f ca="1">VLOOKUP($A19,[1]!LOOKUP_SARS_Unified2,I$3,FALSE)</f>
        <v>0.9657688593196696</v>
      </c>
      <c r="J19" s="12">
        <f ca="1">VLOOKUP($A19,[1]!LOOKUP_SARS_Unified2,J$3,FALSE)</f>
        <v>-130.16418070608435</v>
      </c>
      <c r="K19" s="12">
        <f ca="1">VLOOKUP($A19,[1]!LOOKUP_SARS_Unified2,K$3,FALSE)</f>
        <v>707.90857388131781</v>
      </c>
    </row>
    <row r="20" spans="1:16" s="1" customFormat="1" x14ac:dyDescent="0.25">
      <c r="A20" s="92" t="s">
        <v>30</v>
      </c>
      <c r="B20" s="3">
        <f ca="1">VLOOKUP($A20,[1]!LOOKUP_SARS_Unified2,B$3,FALSE)</f>
        <v>-7.8E-2</v>
      </c>
      <c r="C20" s="3"/>
      <c r="D20" s="12" t="e">
        <f ca="1">VLOOKUP($A20,[1]!LOOKUP_SARS_Unified2,D$3,FALSE)</f>
        <v>#VALUE!</v>
      </c>
      <c r="E20" s="12" t="e">
        <f ca="1">VLOOKUP($A20,[1]!LOOKUP_SARS_Unified2,E$3,FALSE)</f>
        <v>#VALUE!</v>
      </c>
      <c r="F20" s="12" t="e">
        <f ca="1">VLOOKUP($A20,[1]!LOOKUP_SARS_Unified2,F$3,FALSE)</f>
        <v>#VALUE!</v>
      </c>
      <c r="G20" s="12">
        <f ca="1">VLOOKUP($A20,[1]!LOOKUP_SARS_Unified2,G$3,FALSE)</f>
        <v>-32.413720759467111</v>
      </c>
      <c r="H20" s="12" t="e">
        <f ca="1">VLOOKUP($A20,[1]!LOOKUP_SARS_Unified2,H$3,FALSE)</f>
        <v>#VALUE!</v>
      </c>
      <c r="I20" s="12">
        <f ca="1">VLOOKUP($A20,[1]!LOOKUP_SARS_Unified2,I$3,FALSE)</f>
        <v>-75.841812650791979</v>
      </c>
      <c r="J20" s="12">
        <f ca="1">VLOOKUP($A20,[1]!LOOKUP_SARS_Unified2,J$3,FALSE)</f>
        <v>-108.2555334102591</v>
      </c>
      <c r="K20" s="12">
        <f ca="1">VLOOKUP($A20,[1]!LOOKUP_SARS_Unified2,K$3,FALSE)</f>
        <v>1389.3842442043428</v>
      </c>
    </row>
    <row r="21" spans="1:16" s="1" customFormat="1" x14ac:dyDescent="0.25">
      <c r="A21" s="92" t="s">
        <v>176</v>
      </c>
      <c r="B21" s="3">
        <f ca="1">VLOOKUP($A21,[1]!LOOKUP_SARS_Unified2,B$3,FALSE)</f>
        <v>0.2</v>
      </c>
      <c r="C21" s="3"/>
      <c r="D21" s="12" t="e">
        <f ca="1">VLOOKUP($A21,[1]!LOOKUP_SARS_Unified2,D$3,FALSE)</f>
        <v>#VALUE!</v>
      </c>
      <c r="E21" s="12">
        <f ca="1">VLOOKUP($A21,[1]!LOOKUP_SARS_Unified2,E$3,FALSE)</f>
        <v>38.07825448442253</v>
      </c>
      <c r="F21" s="12" t="e">
        <f ca="1">VLOOKUP($A21,[1]!LOOKUP_SARS_Unified2,F$3,FALSE)</f>
        <v>#VALUE!</v>
      </c>
      <c r="G21" s="12">
        <f ca="1">VLOOKUP($A21,[1]!LOOKUP_SARS_Unified2,G$3,FALSE)</f>
        <v>-15.525018357285219</v>
      </c>
      <c r="H21" s="12" t="e">
        <f ca="1">VLOOKUP($A21,[1]!LOOKUP_SARS_Unified2,H$3,FALSE)</f>
        <v>#VALUE!</v>
      </c>
      <c r="I21" s="12">
        <f ca="1">VLOOKUP($A21,[1]!LOOKUP_SARS_Unified2,I$3,FALSE)</f>
        <v>-2.2028742263715513</v>
      </c>
      <c r="J21" s="12">
        <f ca="1">VLOOKUP($A21,[1]!LOOKUP_SARS_Unified2,J$3,FALSE)</f>
        <v>20.350361900765758</v>
      </c>
      <c r="K21" s="12">
        <f ca="1">VLOOKUP($A21,[1]!LOOKUP_SARS_Unified2,K$3,FALSE)</f>
        <v>12823.350466799538</v>
      </c>
    </row>
    <row r="22" spans="1:16" s="1" customFormat="1" x14ac:dyDescent="0.25">
      <c r="A22" s="92" t="s">
        <v>28</v>
      </c>
      <c r="B22" s="3">
        <f ca="1">VLOOKUP($A22,[1]!LOOKUP_SARS_Unified2,B$3,FALSE)</f>
        <v>-9.8000000000000004E-2</v>
      </c>
      <c r="C22" s="3"/>
      <c r="D22" s="12">
        <f ca="1">VLOOKUP($A22,[1]!LOOKUP_SARS_Unified2,D$3,FALSE)</f>
        <v>-3477.3451145587178</v>
      </c>
      <c r="E22" s="12">
        <f ca="1">VLOOKUP($A22,[1]!LOOKUP_SARS_Unified2,E$3,FALSE)</f>
        <v>-78.084865920065766</v>
      </c>
      <c r="F22" s="12">
        <f ca="1">VLOOKUP($A22,[1]!LOOKUP_SARS_Unified2,F$3,FALSE)</f>
        <v>6.6783109010582562</v>
      </c>
      <c r="G22" s="12">
        <f ca="1">VLOOKUP($A22,[1]!LOOKUP_SARS_Unified2,G$3,FALSE)</f>
        <v>-85.893352512072326</v>
      </c>
      <c r="H22" s="12" t="e">
        <f ca="1">VLOOKUP($A22,[1]!LOOKUP_SARS_Unified2,H$3,FALSE)</f>
        <v>#VALUE!</v>
      </c>
      <c r="I22" s="12">
        <f ca="1">VLOOKUP($A22,[1]!LOOKUP_SARS_Unified2,I$3,FALSE)</f>
        <v>-98.633514846398853</v>
      </c>
      <c r="J22" s="12">
        <f ca="1">VLOOKUP($A22,[1]!LOOKUP_SARS_Unified2,J$3,FALSE)</f>
        <v>-3733.2785369361964</v>
      </c>
      <c r="K22" s="12">
        <f ca="1">VLOOKUP($A22,[1]!LOOKUP_SARS_Unified2,K$3,FALSE)</f>
        <v>6092.8798931470255</v>
      </c>
    </row>
    <row r="23" spans="1:16" s="1" customFormat="1" x14ac:dyDescent="0.25">
      <c r="A23" s="92" t="s">
        <v>19</v>
      </c>
      <c r="B23" s="3">
        <f ca="1">VLOOKUP($A23,[1]!LOOKUP_SARS_Unified2,B$3,FALSE)</f>
        <v>0.318</v>
      </c>
      <c r="C23" s="3"/>
      <c r="D23" s="12">
        <f ca="1">VLOOKUP($A23,[1]!LOOKUP_SARS_Unified2,D$3,FALSE)</f>
        <v>11771.961079895847</v>
      </c>
      <c r="E23" s="12">
        <f ca="1">VLOOKUP($A23,[1]!LOOKUP_SARS_Unified2,E$3,FALSE)</f>
        <v>-366.45196656160061</v>
      </c>
      <c r="F23" s="12">
        <f ca="1">VLOOKUP($A23,[1]!LOOKUP_SARS_Unified2,F$3,FALSE)</f>
        <v>172.94778676168289</v>
      </c>
      <c r="G23" s="12">
        <f ca="1">VLOOKUP($A23,[1]!LOOKUP_SARS_Unified2,G$3,FALSE)</f>
        <v>876.11347128957095</v>
      </c>
      <c r="H23" s="12" t="e">
        <f ca="1">VLOOKUP($A23,[1]!LOOKUP_SARS_Unified2,H$3,FALSE)</f>
        <v>#VALUE!</v>
      </c>
      <c r="I23" s="12">
        <f ca="1">VLOOKUP($A23,[1]!LOOKUP_SARS_Unified2,I$3,FALSE)</f>
        <v>3378.3746745237768</v>
      </c>
      <c r="J23" s="12">
        <f ca="1">VLOOKUP($A23,[1]!LOOKUP_SARS_Unified2,J$3,FALSE)</f>
        <v>15832.945045909277</v>
      </c>
      <c r="K23" s="12">
        <f ca="1">VLOOKUP($A23,[1]!LOOKUP_SARS_Unified2,K$3,FALSE)</f>
        <v>1001.3704262025491</v>
      </c>
    </row>
    <row r="24" spans="1:16" s="1" customFormat="1" x14ac:dyDescent="0.25">
      <c r="A24" s="92" t="s">
        <v>24</v>
      </c>
      <c r="B24" s="3">
        <f ca="1">VLOOKUP($A24,[1]!LOOKUP_SARS_Unified2,B$3,FALSE)</f>
        <v>0.47</v>
      </c>
      <c r="C24" s="3"/>
      <c r="D24" s="12">
        <f ca="1">VLOOKUP($A24,[1]!LOOKUP_SARS_Unified2,D$3,FALSE)</f>
        <v>3494.9979443606962</v>
      </c>
      <c r="E24" s="12">
        <f ca="1">VLOOKUP($A24,[1]!LOOKUP_SARS_Unified2,E$3,FALSE)</f>
        <v>2805.3994792380427</v>
      </c>
      <c r="F24" s="12">
        <f ca="1">VLOOKUP($A24,[1]!LOOKUP_SARS_Unified2,F$3,FALSE)</f>
        <v>551.45950390571466</v>
      </c>
      <c r="G24" s="12">
        <f ca="1">VLOOKUP($A24,[1]!LOOKUP_SARS_Unified2,G$3,FALSE)</f>
        <v>20484.993833082088</v>
      </c>
      <c r="H24" s="12">
        <f ca="1">VLOOKUP($A24,[1]!LOOKUP_SARS_Unified2,H$3,FALSE)</f>
        <v>610.52487323557625</v>
      </c>
      <c r="I24" s="12">
        <f ca="1">VLOOKUP($A24,[1]!LOOKUP_SARS_Unified2,I$3,FALSE)</f>
        <v>3735.5077429080447</v>
      </c>
      <c r="J24" s="12">
        <f ca="1">VLOOKUP($A24,[1]!LOOKUP_SARS_Unified2,J$3,FALSE)</f>
        <v>31682.883376730162</v>
      </c>
      <c r="K24" s="12">
        <f ca="1">VLOOKUP($A24,[1]!LOOKUP_SARS_Unified2,K$3,FALSE)</f>
        <v>56531.314238728242</v>
      </c>
    </row>
    <row r="25" spans="1:16" s="1" customFormat="1" x14ac:dyDescent="0.25">
      <c r="A25" s="92" t="s">
        <v>27</v>
      </c>
      <c r="B25" s="3">
        <f ca="1">VLOOKUP($A25,[1]!LOOKUP_SARS_Unified2,B$3,FALSE)</f>
        <v>-1.9E-2</v>
      </c>
      <c r="C25" s="3"/>
      <c r="D25" s="12" t="e">
        <f ca="1">VLOOKUP($A25,[1]!LOOKUP_SARS_Unified2,D$3,FALSE)</f>
        <v>#VALUE!</v>
      </c>
      <c r="E25" s="12" t="e">
        <f ca="1">VLOOKUP($A25,[1]!LOOKUP_SARS_Unified2,E$3,FALSE)</f>
        <v>#VALUE!</v>
      </c>
      <c r="F25" s="12" t="e">
        <f ca="1">VLOOKUP($A25,[1]!LOOKUP_SARS_Unified2,F$3,FALSE)</f>
        <v>#VALUE!</v>
      </c>
      <c r="G25" s="12">
        <f ca="1">VLOOKUP($A25,[1]!LOOKUP_SARS_Unified2,G$3,FALSE)</f>
        <v>29.791251442358121</v>
      </c>
      <c r="H25" s="12" t="e">
        <f ca="1">VLOOKUP($A25,[1]!LOOKUP_SARS_Unified2,H$3,FALSE)</f>
        <v>#VALUE!</v>
      </c>
      <c r="I25" s="12">
        <f ca="1">VLOOKUP($A25,[1]!LOOKUP_SARS_Unified2,I$3,FALSE)</f>
        <v>-173.50257001993077</v>
      </c>
      <c r="J25" s="12">
        <f ca="1">VLOOKUP($A25,[1]!LOOKUP_SARS_Unified2,J$3,FALSE)</f>
        <v>-143.71131857757263</v>
      </c>
      <c r="K25" s="12">
        <f ca="1">VLOOKUP($A25,[1]!LOOKUP_SARS_Unified2,K$3,FALSE)</f>
        <v>7496.695688660443</v>
      </c>
    </row>
    <row r="26" spans="1:16" s="1" customFormat="1" x14ac:dyDescent="0.25">
      <c r="A26" s="92" t="s">
        <v>250</v>
      </c>
      <c r="B26" s="3">
        <f ca="1">VLOOKUP($A26,[1]!LOOKUP_SARS_Unified2,B$3,FALSE)</f>
        <v>0.19899999999999998</v>
      </c>
      <c r="C26" s="3"/>
      <c r="D26" s="12">
        <f ca="1">VLOOKUP($A26,[1]!LOOKUP_SARS_Unified2,D$3,FALSE)</f>
        <v>87.542831877970613</v>
      </c>
      <c r="E26" s="12">
        <f ca="1">VLOOKUP($A26,[1]!LOOKUP_SARS_Unified2,E$3,FALSE)</f>
        <v>3.4265502376478394</v>
      </c>
      <c r="F26" s="12">
        <f ca="1">VLOOKUP($A26,[1]!LOOKUP_SARS_Unified2,F$3,FALSE)</f>
        <v>15.364209130098377</v>
      </c>
      <c r="G26" s="12">
        <f ca="1">VLOOKUP($A26,[1]!LOOKUP_SARS_Unified2,G$3,FALSE)</f>
        <v>37.139383220957228</v>
      </c>
      <c r="H26" s="12" t="e">
        <f ca="1">VLOOKUP($A26,[1]!LOOKUP_SARS_Unified2,H$3,FALSE)</f>
        <v>#VALUE!</v>
      </c>
      <c r="I26" s="12">
        <f ca="1">VLOOKUP($A26,[1]!LOOKUP_SARS_Unified2,I$3,FALSE)</f>
        <v>156.7370399027302</v>
      </c>
      <c r="J26" s="12">
        <f ca="1">VLOOKUP($A26,[1]!LOOKUP_SARS_Unified2,J$3,FALSE)</f>
        <v>300.21001436940429</v>
      </c>
      <c r="K26" s="12">
        <f ca="1">VLOOKUP($A26,[1]!LOOKUP_SARS_Unified2,K$3,FALSE)</f>
        <v>981.98297778269045</v>
      </c>
    </row>
    <row r="27" spans="1:16" s="1" customFormat="1" x14ac:dyDescent="0.25">
      <c r="A27" s="92" t="s">
        <v>16</v>
      </c>
      <c r="B27" s="3">
        <f ca="1">VLOOKUP($A27,[1]!LOOKUP_SARS_Unified2,B$3,FALSE)</f>
        <v>0.11699999999999999</v>
      </c>
      <c r="C27" s="3"/>
      <c r="D27" s="12">
        <f ca="1">VLOOKUP($A27,[1]!LOOKUP_SARS_Unified2,D$3,FALSE)</f>
        <v>-234.9814585908529</v>
      </c>
      <c r="E27" s="12">
        <f ca="1">VLOOKUP($A27,[1]!LOOKUP_SARS_Unified2,E$3,FALSE)</f>
        <v>28.800988875154509</v>
      </c>
      <c r="F27" s="12">
        <f ca="1">VLOOKUP($A27,[1]!LOOKUP_SARS_Unified2,F$3,FALSE)</f>
        <v>375.03090234857842</v>
      </c>
      <c r="G27" s="12">
        <f ca="1">VLOOKUP($A27,[1]!LOOKUP_SARS_Unified2,G$3,FALSE)</f>
        <v>277.99752781211373</v>
      </c>
      <c r="H27" s="12" t="e">
        <f ca="1">VLOOKUP($A27,[1]!LOOKUP_SARS_Unified2,H$3,FALSE)</f>
        <v>#VALUE!</v>
      </c>
      <c r="I27" s="12">
        <f ca="1">VLOOKUP($A27,[1]!LOOKUP_SARS_Unified2,I$3,FALSE)</f>
        <v>-112.85537700865265</v>
      </c>
      <c r="J27" s="12">
        <f ca="1">VLOOKUP($A27,[1]!LOOKUP_SARS_Unified2,J$3,FALSE)</f>
        <v>333.99258343634114</v>
      </c>
      <c r="K27" s="12">
        <f ca="1">VLOOKUP($A27,[1]!LOOKUP_SARS_Unified2,K$3,FALSE)</f>
        <v>5096.7861557478363</v>
      </c>
    </row>
    <row r="28" spans="1:16" s="1" customFormat="1" x14ac:dyDescent="0.25">
      <c r="A28" s="92" t="s">
        <v>22</v>
      </c>
      <c r="B28" s="3">
        <f ca="1">VLOOKUP($A28,[1]!LOOKUP_SARS_Unified2,B$3,FALSE)</f>
        <v>0.13100000000000001</v>
      </c>
      <c r="C28" s="3"/>
      <c r="D28" s="12">
        <f ca="1">VLOOKUP($A28,[1]!LOOKUP_SARS_Unified2,D$3,FALSE)</f>
        <v>476.73488053046759</v>
      </c>
      <c r="E28" s="12">
        <f ca="1">VLOOKUP($A28,[1]!LOOKUP_SARS_Unified2,E$3,FALSE)</f>
        <v>-48.016462787241338</v>
      </c>
      <c r="F28" s="12">
        <f ca="1">VLOOKUP($A28,[1]!LOOKUP_SARS_Unified2,F$3,FALSE)</f>
        <v>202.81239282039556</v>
      </c>
      <c r="G28" s="12">
        <f ca="1">VLOOKUP($A28,[1]!LOOKUP_SARS_Unified2,G$3,FALSE)</f>
        <v>1365.1537670058303</v>
      </c>
      <c r="H28" s="12" t="e">
        <f ca="1">VLOOKUP($A28,[1]!LOOKUP_SARS_Unified2,H$3,FALSE)</f>
        <v>#VALUE!</v>
      </c>
      <c r="I28" s="12">
        <f ca="1">VLOOKUP($A28,[1]!LOOKUP_SARS_Unified2,I$3,FALSE)</f>
        <v>129.53012461415341</v>
      </c>
      <c r="J28" s="12">
        <f ca="1">VLOOKUP($A28,[1]!LOOKUP_SARS_Unified2,J$3,FALSE)</f>
        <v>2126.2147021836058</v>
      </c>
      <c r="K28" s="12">
        <f ca="1">VLOOKUP($A28,[1]!LOOKUP_SARS_Unified2,K$3,FALSE)</f>
        <v>12135.36069509546</v>
      </c>
    </row>
    <row r="29" spans="1:16" s="1" customFormat="1" x14ac:dyDescent="0.25">
      <c r="A29" s="92" t="s">
        <v>23</v>
      </c>
      <c r="B29" s="3">
        <f ca="1">VLOOKUP($A29,[1]!LOOKUP_SARS_Unified2,B$3,FALSE)</f>
        <v>0.17699999999999999</v>
      </c>
      <c r="C29" s="3"/>
      <c r="D29" s="12">
        <f ca="1">VLOOKUP($A29,[1]!LOOKUP_SARS_Unified2,D$3,FALSE)</f>
        <v>2571.460152536753</v>
      </c>
      <c r="E29" s="12">
        <f ca="1">VLOOKUP($A29,[1]!LOOKUP_SARS_Unified2,E$3,FALSE)</f>
        <v>1088.5376367856747</v>
      </c>
      <c r="F29" s="12" t="e">
        <f ca="1">VLOOKUP($A29,[1]!LOOKUP_SARS_Unified2,F$3,FALSE)</f>
        <v>#VALUE!</v>
      </c>
      <c r="G29" s="12">
        <f ca="1">VLOOKUP($A29,[1]!LOOKUP_SARS_Unified2,G$3,FALSE)</f>
        <v>1271.0290704100807</v>
      </c>
      <c r="H29" s="12" t="e">
        <f ca="1">VLOOKUP($A29,[1]!LOOKUP_SARS_Unified2,H$3,FALSE)</f>
        <v>#VALUE!</v>
      </c>
      <c r="I29" s="12">
        <f ca="1">VLOOKUP($A29,[1]!LOOKUP_SARS_Unified2,I$3,FALSE)</f>
        <v>1029.6230794738588</v>
      </c>
      <c r="J29" s="12">
        <f ca="1">VLOOKUP($A29,[1]!LOOKUP_SARS_Unified2,J$3,FALSE)</f>
        <v>5960.6499392063679</v>
      </c>
      <c r="K29" s="12">
        <f ca="1">VLOOKUP($A29,[1]!LOOKUP_SARS_Unified2,K$3,FALSE)</f>
        <v>16558.969824251133</v>
      </c>
    </row>
    <row r="30" spans="1:16" s="1" customFormat="1" x14ac:dyDescent="0.25">
      <c r="A30" s="92" t="s">
        <v>47</v>
      </c>
      <c r="B30" s="3">
        <f ca="1">VLOOKUP($A30,[1]!LOOKUP_SARS_Unified2,B$3,FALSE)</f>
        <v>2.8439999999999999</v>
      </c>
      <c r="C30" s="3"/>
      <c r="D30" s="12" t="e">
        <f ca="1">VLOOKUP($A30,[1]!LOOKUP_SARS_Unified2,D$3,FALSE)</f>
        <v>#VALUE!</v>
      </c>
      <c r="E30" s="12">
        <f ca="1">VLOOKUP($A30,[1]!LOOKUP_SARS_Unified2,E$3,FALSE)</f>
        <v>-492.85207340565756</v>
      </c>
      <c r="F30" s="12" t="e">
        <f ca="1">VLOOKUP($A30,[1]!LOOKUP_SARS_Unified2,F$3,FALSE)</f>
        <v>#VALUE!</v>
      </c>
      <c r="G30" s="12">
        <f ca="1">VLOOKUP($A30,[1]!LOOKUP_SARS_Unified2,G$3,FALSE)</f>
        <v>7979.9249721180176</v>
      </c>
      <c r="H30" s="12" t="e">
        <f ca="1">VLOOKUP($A30,[1]!LOOKUP_SARS_Unified2,H$3,FALSE)</f>
        <v>#VALUE!</v>
      </c>
      <c r="I30" s="12" t="e">
        <f ca="1">VLOOKUP($A30,[1]!LOOKUP_SARS_Unified2,I$3,FALSE)</f>
        <v>#VALUE!</v>
      </c>
      <c r="J30" s="12">
        <f ca="1">VLOOKUP($A30,[1]!LOOKUP_SARS_Unified2,J$3,FALSE)</f>
        <v>7487.0728987123593</v>
      </c>
      <c r="K30" s="12">
        <f ca="1">VLOOKUP($A30,[1]!LOOKUP_SARS_Unified2,K$3,FALSE)</f>
        <v>2632.36337828247</v>
      </c>
    </row>
    <row r="31" spans="1:16" s="1" customFormat="1" x14ac:dyDescent="0.25">
      <c r="A31" s="92" t="s">
        <v>55</v>
      </c>
      <c r="B31" s="3">
        <f ca="1">VLOOKUP($A31,[1]!LOOKUP_SARS_Unified2,B$3,FALSE)</f>
        <v>0.80200000000000005</v>
      </c>
      <c r="C31" s="3"/>
      <c r="D31" s="12" t="e">
        <f ca="1">VLOOKUP($A31,[1]!LOOKUP_SARS_Unified2,D$3,FALSE)</f>
        <v>#VALUE!</v>
      </c>
      <c r="E31" s="12">
        <f ca="1">VLOOKUP($A31,[1]!LOOKUP_SARS_Unified2,E$3,FALSE)</f>
        <v>10097.860199714694</v>
      </c>
      <c r="F31" s="12" t="e">
        <f ca="1">VLOOKUP($A31,[1]!LOOKUP_SARS_Unified2,F$3,FALSE)</f>
        <v>#VALUE!</v>
      </c>
      <c r="G31" s="12">
        <f ca="1">VLOOKUP($A31,[1]!LOOKUP_SARS_Unified2,G$3,FALSE)</f>
        <v>3057.2039942938659</v>
      </c>
      <c r="H31" s="12">
        <f ca="1">VLOOKUP($A31,[1]!LOOKUP_SARS_Unified2,H$3,FALSE)</f>
        <v>10.841654778887303</v>
      </c>
      <c r="I31" s="12" t="e">
        <f ca="1">VLOOKUP($A31,[1]!LOOKUP_SARS_Unified2,I$3,FALSE)</f>
        <v>#VALUE!</v>
      </c>
      <c r="J31" s="12">
        <f ca="1">VLOOKUP($A31,[1]!LOOKUP_SARS_Unified2,J$3,FALSE)</f>
        <v>13165.905848787446</v>
      </c>
      <c r="K31" s="12">
        <f ca="1">VLOOKUP($A31,[1]!LOOKUP_SARS_Unified2,K$3,FALSE)</f>
        <v>16424.679029957206</v>
      </c>
    </row>
    <row r="32" spans="1:16" s="1" customFormat="1" x14ac:dyDescent="0.25">
      <c r="A32" s="152" t="s">
        <v>256</v>
      </c>
      <c r="B32" s="3">
        <f ca="1">VLOOKUP($A32,[1]!LOOKUP_SARS_Unified2,B$3,FALSE)</f>
        <v>0.11699999999999999</v>
      </c>
      <c r="C32" s="3"/>
      <c r="D32" s="12" t="e">
        <f ca="1">VLOOKUP($A32,[1]!LOOKUP_SARS_Unified2,D$3,FALSE)</f>
        <v>#VALUE!</v>
      </c>
      <c r="E32" s="12">
        <f ca="1">VLOOKUP($A32,[1]!LOOKUP_SARS_Unified2,E$3,FALSE)</f>
        <v>36.324010170722843</v>
      </c>
      <c r="F32" s="12" t="e">
        <f ca="1">VLOOKUP($A32,[1]!LOOKUP_SARS_Unified2,F$3,FALSE)</f>
        <v>#VALUE!</v>
      </c>
      <c r="G32" s="12">
        <f ca="1">VLOOKUP($A32,[1]!LOOKUP_SARS_Unified2,G$3,FALSE)</f>
        <v>157.16188400532752</v>
      </c>
      <c r="H32" s="12" t="e">
        <f ca="1">VLOOKUP($A32,[1]!LOOKUP_SARS_Unified2,H$3,FALSE)</f>
        <v>#VALUE!</v>
      </c>
      <c r="I32" s="12" t="e">
        <f ca="1">VLOOKUP($A32,[1]!LOOKUP_SARS_Unified2,I$3,FALSE)</f>
        <v>#VALUE!</v>
      </c>
      <c r="J32" s="12">
        <f ca="1">VLOOKUP($A32,[1]!LOOKUP_SARS_Unified2,J$3,FALSE)</f>
        <v>193.48589417605035</v>
      </c>
      <c r="K32" s="12">
        <f ca="1">VLOOKUP($A32,[1]!LOOKUP_SARS_Unified2,K$3,FALSE)</f>
        <v>1652.7424627678895</v>
      </c>
    </row>
    <row r="33" spans="1:11" s="1" customFormat="1" x14ac:dyDescent="0.25">
      <c r="A33" s="92" t="s">
        <v>215</v>
      </c>
      <c r="B33" s="3">
        <f ca="1">VLOOKUP($A33,[1]!LOOKUP_SARS_Unified2,B$3,FALSE)</f>
        <v>0.151</v>
      </c>
      <c r="C33" s="3"/>
      <c r="D33" s="12">
        <f ca="1">VLOOKUP($A33,[1]!LOOKUP_SARS_Unified2,D$3,FALSE)</f>
        <v>-11366.769547325101</v>
      </c>
      <c r="E33" s="12">
        <f ca="1">VLOOKUP($A33,[1]!LOOKUP_SARS_Unified2,E$3,FALSE)</f>
        <v>881.17283950617286</v>
      </c>
      <c r="F33" s="12">
        <f ca="1">VLOOKUP($A33,[1]!LOOKUP_SARS_Unified2,F$3,FALSE)</f>
        <v>1588.7345679012346</v>
      </c>
      <c r="G33" s="12">
        <f ca="1">VLOOKUP($A33,[1]!LOOKUP_SARS_Unified2,G$3,FALSE)</f>
        <v>3706.6615226337449</v>
      </c>
      <c r="H33" s="12" t="e">
        <f ca="1">VLOOKUP($A33,[1]!LOOKUP_SARS_Unified2,H$3,FALSE)</f>
        <v>#VALUE!</v>
      </c>
      <c r="I33" s="12">
        <f ca="1">VLOOKUP($A33,[1]!LOOKUP_SARS_Unified2,I$3,FALSE)</f>
        <v>-521.34773662551436</v>
      </c>
      <c r="J33" s="12">
        <f ca="1">VLOOKUP($A33,[1]!LOOKUP_SARS_Unified2,J$3,FALSE)</f>
        <v>-5711.5483539094648</v>
      </c>
      <c r="K33" s="12">
        <f ca="1">VLOOKUP($A33,[1]!LOOKUP_SARS_Unified2,K$3,FALSE)</f>
        <v>48786.136831275711</v>
      </c>
    </row>
    <row r="34" spans="1:11" s="1" customFormat="1" x14ac:dyDescent="0.25">
      <c r="A34" s="92" t="s">
        <v>11</v>
      </c>
      <c r="B34" s="3">
        <f ca="1">VLOOKUP($A34,[1]!LOOKUP_SARS_Unified2,B$3,FALSE)</f>
        <v>-0.129</v>
      </c>
      <c r="C34" s="3"/>
      <c r="D34" s="12" t="e">
        <f ca="1">VLOOKUP($A34,[1]!LOOKUP_SARS_Unified2,D$3,FALSE)</f>
        <v>#VALUE!</v>
      </c>
      <c r="E34" s="12">
        <f ca="1">VLOOKUP($A34,[1]!LOOKUP_SARS_Unified2,E$3,FALSE)</f>
        <v>113.16872427983539</v>
      </c>
      <c r="F34" s="12">
        <f ca="1">VLOOKUP($A34,[1]!LOOKUP_SARS_Unified2,F$3,FALSE)</f>
        <v>-885.93106995884762</v>
      </c>
      <c r="G34" s="12">
        <f ca="1">VLOOKUP($A34,[1]!LOOKUP_SARS_Unified2,G$3,FALSE)</f>
        <v>-4003.6008230452667</v>
      </c>
      <c r="H34" s="12" t="e">
        <f ca="1">VLOOKUP($A34,[1]!LOOKUP_SARS_Unified2,H$3,FALSE)</f>
        <v>#VALUE!</v>
      </c>
      <c r="I34" s="12" t="e">
        <f ca="1">VLOOKUP($A34,[1]!LOOKUP_SARS_Unified2,I$3,FALSE)</f>
        <v>#VALUE!</v>
      </c>
      <c r="J34" s="12">
        <f ca="1">VLOOKUP($A34,[1]!LOOKUP_SARS_Unified2,J$3,FALSE)</f>
        <v>-4776.3631687242796</v>
      </c>
      <c r="K34" s="12">
        <f ca="1">VLOOKUP($A34,[1]!LOOKUP_SARS_Unified2,K$3,FALSE)</f>
        <v>36909.97942386831</v>
      </c>
    </row>
    <row r="35" spans="1:11" s="1" customFormat="1" x14ac:dyDescent="0.25">
      <c r="A35" s="92" t="s">
        <v>32</v>
      </c>
      <c r="B35" s="3">
        <f ca="1">VLOOKUP($A35,[1]!LOOKUP_SARS_Unified2,B$3,FALSE)</f>
        <v>8.3000000000000004E-2</v>
      </c>
      <c r="C35" s="3"/>
      <c r="D35" s="12">
        <f ca="1">VLOOKUP($A35,[1]!LOOKUP_SARS_Unified2,D$3,FALSE)</f>
        <v>-16744.026523379445</v>
      </c>
      <c r="E35" s="12">
        <f ca="1">VLOOKUP($A35,[1]!LOOKUP_SARS_Unified2,E$3,FALSE)</f>
        <v>72.939293472047552</v>
      </c>
      <c r="F35" s="12">
        <f ca="1">VLOOKUP($A35,[1]!LOOKUP_SARS_Unified2,F$3,FALSE)</f>
        <v>18.177660912312792</v>
      </c>
      <c r="G35" s="12">
        <f ca="1">VLOOKUP($A35,[1]!LOOKUP_SARS_Unified2,G$3,FALSE)</f>
        <v>1521.7788956213558</v>
      </c>
      <c r="H35" s="12" t="e">
        <f ca="1">VLOOKUP($A35,[1]!LOOKUP_SARS_Unified2,H$3,FALSE)</f>
        <v>#VALUE!</v>
      </c>
      <c r="I35" s="12" t="e">
        <f ca="1">VLOOKUP($A35,[1]!LOOKUP_SARS_Unified2,I$3,FALSE)</f>
        <v>#VALUE!</v>
      </c>
      <c r="J35" s="12">
        <f ca="1">VLOOKUP($A35,[1]!LOOKUP_SARS_Unified2,J$3,FALSE)</f>
        <v>-15131.130673373729</v>
      </c>
      <c r="K35" s="12">
        <f ca="1">VLOOKUP($A35,[1]!LOOKUP_SARS_Unified2,K$3,FALSE)</f>
        <v>36067.108722990743</v>
      </c>
    </row>
    <row r="36" spans="1:11" s="1" customFormat="1" x14ac:dyDescent="0.25">
      <c r="A36" s="92" t="s">
        <v>51</v>
      </c>
      <c r="B36" s="3">
        <f ca="1">VLOOKUP($A36,[1]!LOOKUP_SARS_Unified2,B$3,FALSE)</f>
        <v>0.22399999999999998</v>
      </c>
      <c r="C36" s="3"/>
      <c r="D36" s="12">
        <f ca="1">VLOOKUP($A36,[1]!LOOKUP_SARS_Unified2,D$3,FALSE)</f>
        <v>55419.280930560453</v>
      </c>
      <c r="E36" s="12">
        <f ca="1">VLOOKUP($A36,[1]!LOOKUP_SARS_Unified2,E$3,FALSE)</f>
        <v>641.17025026436374</v>
      </c>
      <c r="F36" s="12">
        <f ca="1">VLOOKUP($A36,[1]!LOOKUP_SARS_Unified2,F$3,FALSE)</f>
        <v>5441.1350017624254</v>
      </c>
      <c r="G36" s="12">
        <f ca="1">VLOOKUP($A36,[1]!LOOKUP_SARS_Unified2,G$3,FALSE)</f>
        <v>13021.325343672894</v>
      </c>
      <c r="H36" s="12" t="e">
        <f ca="1">VLOOKUP($A36,[1]!LOOKUP_SARS_Unified2,H$3,FALSE)</f>
        <v>#VALUE!</v>
      </c>
      <c r="I36" s="12" t="e">
        <f ca="1">VLOOKUP($A36,[1]!LOOKUP_SARS_Unified2,I$3,FALSE)</f>
        <v>#VALUE!</v>
      </c>
      <c r="J36" s="12">
        <f ca="1">VLOOKUP($A36,[1]!LOOKUP_SARS_Unified2,J$3,FALSE)</f>
        <v>74522.911526260141</v>
      </c>
      <c r="K36" s="12">
        <f ca="1">VLOOKUP($A36,[1]!LOOKUP_SARS_Unified2,K$3,FALSE)</f>
        <v>29879.626365879452</v>
      </c>
    </row>
    <row r="37" spans="1:11" s="1" customFormat="1" x14ac:dyDescent="0.25">
      <c r="A37" s="92" t="s">
        <v>216</v>
      </c>
      <c r="B37" s="3">
        <f ca="1">VLOOKUP($A37,[1]!LOOKUP_SARS_Unified2,B$3,FALSE)</f>
        <v>-0.10300000000000001</v>
      </c>
      <c r="C37" s="3"/>
      <c r="D37" s="12" t="e">
        <f ca="1">VLOOKUP($A37,[1]!LOOKUP_SARS_Unified2,D$3,FALSE)</f>
        <v>#VALUE!</v>
      </c>
      <c r="E37" s="12" t="e">
        <f ca="1">VLOOKUP($A37,[1]!LOOKUP_SARS_Unified2,E$3,FALSE)</f>
        <v>#VALUE!</v>
      </c>
      <c r="F37" s="12" t="e">
        <f ca="1">VLOOKUP($A37,[1]!LOOKUP_SARS_Unified2,F$3,FALSE)</f>
        <v>#VALUE!</v>
      </c>
      <c r="G37" s="12">
        <f ca="1">VLOOKUP($A37,[1]!LOOKUP_SARS_Unified2,G$3,FALSE)</f>
        <v>16.739993561540938</v>
      </c>
      <c r="H37" s="12" t="e">
        <f ca="1">VLOOKUP($A37,[1]!LOOKUP_SARS_Unified2,H$3,FALSE)</f>
        <v>#VALUE!</v>
      </c>
      <c r="I37" s="12">
        <f ca="1">VLOOKUP($A37,[1]!LOOKUP_SARS_Unified2,I$3,FALSE)</f>
        <v>-121.15033801910077</v>
      </c>
      <c r="J37" s="12">
        <f ca="1">VLOOKUP($A37,[1]!LOOKUP_SARS_Unified2,J$3,FALSE)</f>
        <v>-104.41034445755983</v>
      </c>
      <c r="K37" s="12">
        <f ca="1">VLOOKUP($A37,[1]!LOOKUP_SARS_Unified2,K$3,FALSE)</f>
        <v>1016.739993561541</v>
      </c>
    </row>
    <row r="38" spans="1:11" s="1" customFormat="1" x14ac:dyDescent="0.25">
      <c r="A38" s="92" t="s">
        <v>8</v>
      </c>
      <c r="B38" s="3">
        <f ca="1">VLOOKUP($A38,[1]!LOOKUP_SARS_Unified2,B$3,FALSE)</f>
        <v>7.0999999999999994E-2</v>
      </c>
      <c r="C38" s="3"/>
      <c r="D38" s="12" t="e">
        <f ca="1">VLOOKUP($A38,[1]!LOOKUP_SARS_Unified2,D$3,FALSE)</f>
        <v>#VALUE!</v>
      </c>
      <c r="E38" s="12">
        <f ca="1">VLOOKUP($A38,[1]!LOOKUP_SARS_Unified2,E$3,FALSE)</f>
        <v>538.09523809523807</v>
      </c>
      <c r="F38" s="12">
        <f ca="1">VLOOKUP($A38,[1]!LOOKUP_SARS_Unified2,F$3,FALSE)</f>
        <v>356.21118012422363</v>
      </c>
      <c r="G38" s="12">
        <f ca="1">VLOOKUP($A38,[1]!LOOKUP_SARS_Unified2,G$3,FALSE)</f>
        <v>92.23602484472049</v>
      </c>
      <c r="H38" s="12" t="e">
        <f ca="1">VLOOKUP($A38,[1]!LOOKUP_SARS_Unified2,H$3,FALSE)</f>
        <v>#VALUE!</v>
      </c>
      <c r="I38" s="12">
        <f ca="1">VLOOKUP($A38,[1]!LOOKUP_SARS_Unified2,I$3,FALSE)</f>
        <v>300.82815734989651</v>
      </c>
      <c r="J38" s="12">
        <f ca="1">VLOOKUP($A38,[1]!LOOKUP_SARS_Unified2,J$3,FALSE)</f>
        <v>1287.3706004140786</v>
      </c>
      <c r="K38" s="12">
        <f ca="1">VLOOKUP($A38,[1]!LOOKUP_SARS_Unified2,K$3,FALSE)</f>
        <v>18083.436853002069</v>
      </c>
    </row>
    <row r="39" spans="1:11" s="1" customFormat="1" x14ac:dyDescent="0.25">
      <c r="A39" s="92" t="s">
        <v>15</v>
      </c>
      <c r="B39" s="3">
        <f ca="1">VLOOKUP($A39,[1]!LOOKUP_SARS_Unified2,B$3,FALSE)</f>
        <v>2.7999999999999997E-2</v>
      </c>
      <c r="C39" s="3"/>
      <c r="D39" s="12">
        <f ca="1">VLOOKUP($A39,[1]!LOOKUP_SARS_Unified2,D$3,FALSE)</f>
        <v>2095.0301027033411</v>
      </c>
      <c r="E39" s="12">
        <f ca="1">VLOOKUP($A39,[1]!LOOKUP_SARS_Unified2,E$3,FALSE)</f>
        <v>-1.1804981702278361</v>
      </c>
      <c r="F39" s="12" t="e">
        <f ca="1">VLOOKUP($A39,[1]!LOOKUP_SARS_Unified2,F$3,FALSE)</f>
        <v>#VALUE!</v>
      </c>
      <c r="G39" s="12">
        <f ca="1">VLOOKUP($A39,[1]!LOOKUP_SARS_Unified2,G$3,FALSE)</f>
        <v>-111.08487781843938</v>
      </c>
      <c r="H39" s="12" t="e">
        <f ca="1">VLOOKUP($A39,[1]!LOOKUP_SARS_Unified2,H$3,FALSE)</f>
        <v>#VALUE!</v>
      </c>
      <c r="I39" s="12">
        <f ca="1">VLOOKUP($A39,[1]!LOOKUP_SARS_Unified2,I$3,FALSE)</f>
        <v>416.83390390744898</v>
      </c>
      <c r="J39" s="12">
        <f ca="1">VLOOKUP($A39,[1]!LOOKUP_SARS_Unified2,J$3,FALSE)</f>
        <v>2399.5986306221225</v>
      </c>
      <c r="K39" s="12">
        <f ca="1">VLOOKUP($A39,[1]!LOOKUP_SARS_Unified2,K$3,FALSE)</f>
        <v>8890.095620351789</v>
      </c>
    </row>
    <row r="40" spans="1:11" s="1" customFormat="1" x14ac:dyDescent="0.25">
      <c r="A40" s="92" t="s">
        <v>26</v>
      </c>
      <c r="B40" s="3">
        <f ca="1">VLOOKUP($A40,[1]!LOOKUP_SARS_Unified2,B$3,FALSE)</f>
        <v>0.63400000000000001</v>
      </c>
      <c r="C40" s="3"/>
      <c r="D40" s="12">
        <f ca="1">VLOOKUP($A40,[1]!LOOKUP_SARS_Unified2,D$3,FALSE)</f>
        <v>-6853.0958257323746</v>
      </c>
      <c r="E40" s="12">
        <f ca="1">VLOOKUP($A40,[1]!LOOKUP_SARS_Unified2,E$3,FALSE)</f>
        <v>-260.97220731838178</v>
      </c>
      <c r="F40" s="12">
        <f ca="1">VLOOKUP($A40,[1]!LOOKUP_SARS_Unified2,F$3,FALSE)</f>
        <v>176.41377830239298</v>
      </c>
      <c r="G40" s="12">
        <f ca="1">VLOOKUP($A40,[1]!LOOKUP_SARS_Unified2,G$3,FALSE)</f>
        <v>2084.0218907608114</v>
      </c>
      <c r="H40" s="12" t="e">
        <f ca="1">VLOOKUP($A40,[1]!LOOKUP_SARS_Unified2,H$3,FALSE)</f>
        <v>#VALUE!</v>
      </c>
      <c r="I40" s="12">
        <f ca="1">VLOOKUP($A40,[1]!LOOKUP_SARS_Unified2,I$3,FALSE)</f>
        <v>-566.04785921236191</v>
      </c>
      <c r="J40" s="12">
        <f ca="1">VLOOKUP($A40,[1]!LOOKUP_SARS_Unified2,J$3,FALSE)</f>
        <v>-5419.6802231999145</v>
      </c>
      <c r="K40" s="12">
        <f ca="1">VLOOKUP($A40,[1]!LOOKUP_SARS_Unified2,K$3,FALSE)</f>
        <v>9113.8534177486872</v>
      </c>
    </row>
    <row r="41" spans="1:11" s="1" customFormat="1" x14ac:dyDescent="0.25">
      <c r="A41" s="92" t="s">
        <v>180</v>
      </c>
      <c r="B41" s="3">
        <f ca="1">VLOOKUP($A41,[1]!LOOKUP_SARS_Unified2,B$3,FALSE)</f>
        <v>-0.183</v>
      </c>
      <c r="C41" s="3"/>
      <c r="D41" s="12">
        <f ca="1">VLOOKUP($A41,[1]!LOOKUP_SARS_Unified2,D$3,FALSE)</f>
        <v>-807.66464604952228</v>
      </c>
      <c r="E41" s="12" t="e">
        <f ca="1">VLOOKUP($A41,[1]!LOOKUP_SARS_Unified2,E$3,FALSE)</f>
        <v>#VALUE!</v>
      </c>
      <c r="F41" s="12" t="e">
        <f ca="1">VLOOKUP($A41,[1]!LOOKUP_SARS_Unified2,F$3,FALSE)</f>
        <v>#VALUE!</v>
      </c>
      <c r="G41" s="12">
        <f ca="1">VLOOKUP($A41,[1]!LOOKUP_SARS_Unified2,G$3,FALSE)</f>
        <v>-862.22130894893667</v>
      </c>
      <c r="H41" s="12" t="e">
        <f ca="1">VLOOKUP($A41,[1]!LOOKUP_SARS_Unified2,H$3,FALSE)</f>
        <v>#VALUE!</v>
      </c>
      <c r="I41" s="12">
        <f ca="1">VLOOKUP($A41,[1]!LOOKUP_SARS_Unified2,I$3,FALSE)</f>
        <v>-288.40028768108499</v>
      </c>
      <c r="J41" s="12">
        <f ca="1">VLOOKUP($A41,[1]!LOOKUP_SARS_Unified2,J$3,FALSE)</f>
        <v>-1958.2862426795439</v>
      </c>
      <c r="K41" s="12">
        <f ca="1">VLOOKUP($A41,[1]!LOOKUP_SARS_Unified2,K$3,FALSE)</f>
        <v>3235.8984896743041</v>
      </c>
    </row>
    <row r="42" spans="1:11" s="1" customFormat="1" x14ac:dyDescent="0.25">
      <c r="A42" s="92" t="s">
        <v>178</v>
      </c>
      <c r="B42" s="3" t="str">
        <f ca="1">VLOOKUP($A42,[1]!LOOKUP_SARS_Unified2,B$3,FALSE)</f>
        <v/>
      </c>
      <c r="C42" s="3"/>
      <c r="D42" s="12" t="e">
        <f ca="1">VLOOKUP($A42,[1]!LOOKUP_SARS_Unified2,D$3,FALSE)</f>
        <v>#VALUE!</v>
      </c>
      <c r="E42" s="12" t="e">
        <f ca="1">VLOOKUP($A42,[1]!LOOKUP_SARS_Unified2,E$3,FALSE)</f>
        <v>#VALUE!</v>
      </c>
      <c r="F42" s="12" t="e">
        <f ca="1">VLOOKUP($A42,[1]!LOOKUP_SARS_Unified2,F$3,FALSE)</f>
        <v>#VALUE!</v>
      </c>
      <c r="G42" s="12" t="e">
        <f ca="1">VLOOKUP($A42,[1]!LOOKUP_SARS_Unified2,G$3,FALSE)</f>
        <v>#VALUE!</v>
      </c>
      <c r="H42" s="12" t="e">
        <f ca="1">VLOOKUP($A42,[1]!LOOKUP_SARS_Unified2,H$3,FALSE)</f>
        <v>#VALUE!</v>
      </c>
      <c r="I42" s="12" t="e">
        <f ca="1">VLOOKUP($A42,[1]!LOOKUP_SARS_Unified2,I$3,FALSE)</f>
        <v>#VALUE!</v>
      </c>
      <c r="J42" s="12" t="e">
        <f ca="1">VLOOKUP($A42,[1]!LOOKUP_SARS_Unified2,J$3,FALSE)</f>
        <v>#VALUE!</v>
      </c>
      <c r="K42" s="12" t="e">
        <f ca="1">VLOOKUP($A42,[1]!LOOKUP_SARS_Unified2,K$3,FALSE)</f>
        <v>#VALUE!</v>
      </c>
    </row>
    <row r="43" spans="1:11" s="1" customFormat="1" x14ac:dyDescent="0.25">
      <c r="A43" s="92" t="s">
        <v>217</v>
      </c>
      <c r="B43" s="3">
        <f ca="1">VLOOKUP($A43,[1]!LOOKUP_SARS_Unified2,B$3,FALSE)</f>
        <v>3.6000000000000004E-2</v>
      </c>
      <c r="C43" s="3"/>
      <c r="D43" s="12" t="e">
        <f ca="1">VLOOKUP($A43,[1]!LOOKUP_SARS_Unified2,D$3,FALSE)</f>
        <v>#VALUE!</v>
      </c>
      <c r="E43" s="12" t="e">
        <f ca="1">VLOOKUP($A43,[1]!LOOKUP_SARS_Unified2,E$3,FALSE)</f>
        <v>#VALUE!</v>
      </c>
      <c r="F43" s="12" t="e">
        <f ca="1">VLOOKUP($A43,[1]!LOOKUP_SARS_Unified2,F$3,FALSE)</f>
        <v>#VALUE!</v>
      </c>
      <c r="G43" s="12">
        <f ca="1">VLOOKUP($A43,[1]!LOOKUP_SARS_Unified2,G$3,FALSE)</f>
        <v>51.217560306390759</v>
      </c>
      <c r="H43" s="12" t="e">
        <f ca="1">VLOOKUP($A43,[1]!LOOKUP_SARS_Unified2,H$3,FALSE)</f>
        <v>#VALUE!</v>
      </c>
      <c r="I43" s="12" t="e">
        <f ca="1">VLOOKUP($A43,[1]!LOOKUP_SARS_Unified2,I$3,FALSE)</f>
        <v>#VALUE!</v>
      </c>
      <c r="J43" s="12">
        <f ca="1">VLOOKUP($A43,[1]!LOOKUP_SARS_Unified2,J$3,FALSE)</f>
        <v>51.217560306390759</v>
      </c>
      <c r="K43" s="12">
        <f ca="1">VLOOKUP($A43,[1]!LOOKUP_SARS_Unified2,K$3,FALSE)</f>
        <v>1420.7156739453526</v>
      </c>
    </row>
    <row r="44" spans="1:11" s="1" customFormat="1" x14ac:dyDescent="0.25">
      <c r="A44" s="92" t="s">
        <v>29</v>
      </c>
      <c r="B44" s="3">
        <f ca="1">VLOOKUP($A44,[1]!LOOKUP_SARS_Unified2,B$3,FALSE)</f>
        <v>-1.6E-2</v>
      </c>
      <c r="C44" s="3"/>
      <c r="D44" s="12">
        <f ca="1">VLOOKUP($A44,[1]!LOOKUP_SARS_Unified2,D$3,FALSE)</f>
        <v>20.388453696748581</v>
      </c>
      <c r="E44" s="12">
        <f ca="1">VLOOKUP($A44,[1]!LOOKUP_SARS_Unified2,E$3,FALSE)</f>
        <v>-3.5411524841721214</v>
      </c>
      <c r="F44" s="12" t="e">
        <f ca="1">VLOOKUP($A44,[1]!LOOKUP_SARS_Unified2,F$3,FALSE)</f>
        <v>#VALUE!</v>
      </c>
      <c r="G44" s="12">
        <f ca="1">VLOOKUP($A44,[1]!LOOKUP_SARS_Unified2,G$3,FALSE)</f>
        <v>-25.324605644382448</v>
      </c>
      <c r="H44" s="12" t="e">
        <f ca="1">VLOOKUP($A44,[1]!LOOKUP_SARS_Unified2,H$3,FALSE)</f>
        <v>#VALUE!</v>
      </c>
      <c r="I44" s="12">
        <f ca="1">VLOOKUP($A44,[1]!LOOKUP_SARS_Unified2,I$3,FALSE)</f>
        <v>-0.21461530207103768</v>
      </c>
      <c r="J44" s="12">
        <f ca="1">VLOOKUP($A44,[1]!LOOKUP_SARS_Unified2,J$3,FALSE)</f>
        <v>-8.6919197338770253</v>
      </c>
      <c r="K44" s="12">
        <f ca="1">VLOOKUP($A44,[1]!LOOKUP_SARS_Unified2,K$3,FALSE)</f>
        <v>1775.5123940336946</v>
      </c>
    </row>
    <row r="45" spans="1:11" s="1" customFormat="1" x14ac:dyDescent="0.25">
      <c r="A45" s="92" t="s">
        <v>48</v>
      </c>
      <c r="B45" s="3">
        <f ca="1">VLOOKUP($A45,[1]!LOOKUP_SARS_Unified2,B$3,FALSE)</f>
        <v>5.0999999999999997E-2</v>
      </c>
      <c r="C45" s="3"/>
      <c r="D45" s="12">
        <f ca="1">VLOOKUP($A45,[1]!LOOKUP_SARS_Unified2,D$3,FALSE)</f>
        <v>6972.6080246913571</v>
      </c>
      <c r="E45" s="12">
        <f ca="1">VLOOKUP($A45,[1]!LOOKUP_SARS_Unified2,E$3,FALSE)</f>
        <v>1283.5648148148148</v>
      </c>
      <c r="F45" s="12">
        <f ca="1">VLOOKUP($A45,[1]!LOOKUP_SARS_Unified2,F$3,FALSE)</f>
        <v>292.18106995884767</v>
      </c>
      <c r="G45" s="12">
        <f ca="1">VLOOKUP($A45,[1]!LOOKUP_SARS_Unified2,G$3,FALSE)</f>
        <v>-1219.0072016460904</v>
      </c>
      <c r="H45" s="12" t="e">
        <f ca="1">VLOOKUP($A45,[1]!LOOKUP_SARS_Unified2,H$3,FALSE)</f>
        <v>#VALUE!</v>
      </c>
      <c r="I45" s="12">
        <f ca="1">VLOOKUP($A45,[1]!LOOKUP_SARS_Unified2,I$3,FALSE)</f>
        <v>2532.0216049382716</v>
      </c>
      <c r="J45" s="12">
        <f ca="1">VLOOKUP($A45,[1]!LOOKUP_SARS_Unified2,J$3,FALSE)</f>
        <v>9861.3683127572003</v>
      </c>
      <c r="K45" s="12">
        <f ca="1">VLOOKUP($A45,[1]!LOOKUP_SARS_Unified2,K$3,FALSE)</f>
        <v>50006.04423868312</v>
      </c>
    </row>
    <row r="46" spans="1:11" s="1" customFormat="1" x14ac:dyDescent="0.25">
      <c r="A46" s="92" t="s">
        <v>244</v>
      </c>
      <c r="B46" s="3">
        <f ca="1">VLOOKUP($A46,[1]!LOOKUP_SARS_Unified2,B$3,FALSE)</f>
        <v>6.8000000000000005E-2</v>
      </c>
      <c r="C46" s="3"/>
      <c r="D46" s="12">
        <f ca="1">VLOOKUP($A46,[1]!LOOKUP_SARS_Unified2,D$3,FALSE)</f>
        <v>893.79215731107797</v>
      </c>
      <c r="E46" s="12">
        <f ca="1">VLOOKUP($A46,[1]!LOOKUP_SARS_Unified2,E$3,FALSE)</f>
        <v>-1.0289242025837431</v>
      </c>
      <c r="F46" s="12" t="e">
        <f ca="1">VLOOKUP($A46,[1]!LOOKUP_SARS_Unified2,F$3,FALSE)</f>
        <v>#VALUE!</v>
      </c>
      <c r="G46" s="12">
        <f ca="1">VLOOKUP($A46,[1]!LOOKUP_SARS_Unified2,G$3,FALSE)</f>
        <v>3710.4149994283753</v>
      </c>
      <c r="H46" s="12" t="e">
        <f ca="1">VLOOKUP($A46,[1]!LOOKUP_SARS_Unified2,H$3,FALSE)</f>
        <v>#VALUE!</v>
      </c>
      <c r="I46" s="12">
        <f ca="1">VLOOKUP($A46,[1]!LOOKUP_SARS_Unified2,I$3,FALSE)</f>
        <v>1321.7103006745169</v>
      </c>
      <c r="J46" s="12">
        <f ca="1">VLOOKUP($A46,[1]!LOOKUP_SARS_Unified2,J$3,FALSE)</f>
        <v>5924.8885332113869</v>
      </c>
      <c r="K46" s="12">
        <f ca="1">VLOOKUP($A46,[1]!LOOKUP_SARS_Unified2,K$3,FALSE)</f>
        <v>73489.996570252653</v>
      </c>
    </row>
    <row r="47" spans="1:11" s="1" customFormat="1" x14ac:dyDescent="0.25">
      <c r="A47" s="104" t="s">
        <v>10</v>
      </c>
      <c r="B47" s="3">
        <f ca="1">VLOOKUP($A47,[1]!LOOKUP_SARS_Unified2,B$3,FALSE)</f>
        <v>0.52800000000000002</v>
      </c>
      <c r="C47" s="106"/>
      <c r="D47" s="12">
        <f ca="1">VLOOKUP($A47,[1]!LOOKUP_SARS_Unified2,D$3,FALSE)</f>
        <v>-19923.98022249691</v>
      </c>
      <c r="E47" s="12">
        <f ca="1">VLOOKUP($A47,[1]!LOOKUP_SARS_Unified2,E$3,FALSE)</f>
        <v>10874.042027194066</v>
      </c>
      <c r="F47" s="12">
        <f ca="1">VLOOKUP($A47,[1]!LOOKUP_SARS_Unified2,F$3,FALSE)</f>
        <v>11973.671199011125</v>
      </c>
      <c r="G47" s="12">
        <f ca="1">VLOOKUP($A47,[1]!LOOKUP_SARS_Unified2,G$3,FALSE)</f>
        <v>96395.055624227447</v>
      </c>
      <c r="H47" s="12" t="e">
        <f ca="1">VLOOKUP($A47,[1]!LOOKUP_SARS_Unified2,H$3,FALSE)</f>
        <v>#VALUE!</v>
      </c>
      <c r="I47" s="12">
        <f ca="1">VLOOKUP($A47,[1]!LOOKUP_SARS_Unified2,I$3,FALSE)</f>
        <v>16255.624227441283</v>
      </c>
      <c r="J47" s="12">
        <f ca="1">VLOOKUP($A47,[1]!LOOKUP_SARS_Unified2,J$3,FALSE)</f>
        <v>115574.412855377</v>
      </c>
      <c r="K47" s="12">
        <f ca="1">VLOOKUP($A47,[1]!LOOKUP_SARS_Unified2,K$3,FALSE)</f>
        <v>218912.23733003708</v>
      </c>
    </row>
    <row r="48" spans="1:11" s="1" customFormat="1" x14ac:dyDescent="0.25">
      <c r="A48" s="92" t="s">
        <v>1</v>
      </c>
      <c r="B48" s="3">
        <f ca="1">VLOOKUP($A48,[1]!LOOKUP_SARS_Unified2,B$3,FALSE)</f>
        <v>0.32299999999999995</v>
      </c>
      <c r="C48" s="3"/>
      <c r="D48" s="12">
        <f ca="1">VLOOKUP($A48,[1]!LOOKUP_SARS_Unified2,D$3,FALSE)</f>
        <v>181.95302843016066</v>
      </c>
      <c r="E48" s="12">
        <f ca="1">VLOOKUP($A48,[1]!LOOKUP_SARS_Unified2,E$3,FALSE)</f>
        <v>0.74165636588380712</v>
      </c>
      <c r="F48" s="12">
        <f ca="1">VLOOKUP($A48,[1]!LOOKUP_SARS_Unified2,F$3,FALSE)</f>
        <v>180.22249690976514</v>
      </c>
      <c r="G48" s="12">
        <f ca="1">VLOOKUP($A48,[1]!LOOKUP_SARS_Unified2,G$3,FALSE)</f>
        <v>668.35599505562425</v>
      </c>
      <c r="H48" s="12" t="e">
        <f ca="1">VLOOKUP($A48,[1]!LOOKUP_SARS_Unified2,H$3,FALSE)</f>
        <v>#VALUE!</v>
      </c>
      <c r="I48" s="12">
        <f ca="1">VLOOKUP($A48,[1]!LOOKUP_SARS_Unified2,I$3,FALSE)</f>
        <v>264.27688504326329</v>
      </c>
      <c r="J48" s="12">
        <f ca="1">VLOOKUP($A48,[1]!LOOKUP_SARS_Unified2,J$3,FALSE)</f>
        <v>1295.550061804697</v>
      </c>
      <c r="K48" s="12">
        <f ca="1">VLOOKUP($A48,[1]!LOOKUP_SARS_Unified2,K$3,FALSE)</f>
        <v>3266.1310259579727</v>
      </c>
    </row>
    <row r="49" spans="1:16" s="1" customFormat="1" x14ac:dyDescent="0.25">
      <c r="A49" s="92" t="s">
        <v>14</v>
      </c>
      <c r="B49" s="3">
        <f ca="1">VLOOKUP($A49,[1]!LOOKUP_SARS_Unified2,B$3,FALSE)</f>
        <v>0.20899999999999999</v>
      </c>
      <c r="C49" s="3"/>
      <c r="D49" s="12">
        <f ca="1">VLOOKUP($A49,[1]!LOOKUP_SARS_Unified2,D$3,FALSE)</f>
        <v>1636.3324568423459</v>
      </c>
      <c r="E49" s="12">
        <f ca="1">VLOOKUP($A49,[1]!LOOKUP_SARS_Unified2,E$3,FALSE)</f>
        <v>-51.103235394992574</v>
      </c>
      <c r="F49" s="12">
        <f ca="1">VLOOKUP($A49,[1]!LOOKUP_SARS_Unified2,F$3,FALSE)</f>
        <v>211.95838573225106</v>
      </c>
      <c r="G49" s="12">
        <f ca="1">VLOOKUP($A49,[1]!LOOKUP_SARS_Unified2,G$3,FALSE)</f>
        <v>213.67325940322397</v>
      </c>
      <c r="H49" s="12" t="e">
        <f ca="1">VLOOKUP($A49,[1]!LOOKUP_SARS_Unified2,H$3,FALSE)</f>
        <v>#VALUE!</v>
      </c>
      <c r="I49" s="12">
        <f ca="1">VLOOKUP($A49,[1]!LOOKUP_SARS_Unified2,I$3,FALSE)</f>
        <v>343.88933348576654</v>
      </c>
      <c r="J49" s="12">
        <f ca="1">VLOOKUP($A49,[1]!LOOKUP_SARS_Unified2,J$3,FALSE)</f>
        <v>2354.7502000685945</v>
      </c>
      <c r="K49" s="12">
        <f ca="1">VLOOKUP($A49,[1]!LOOKUP_SARS_Unified2,K$3,FALSE)</f>
        <v>1806.2192751800617</v>
      </c>
    </row>
    <row r="50" spans="1:16" s="1" customFormat="1" x14ac:dyDescent="0.25">
      <c r="A50" s="104" t="s">
        <v>218</v>
      </c>
      <c r="B50" s="3">
        <f ca="1">VLOOKUP($A50,[1]!LOOKUP_SARS_Unified2,B$3,FALSE)</f>
        <v>0.44500000000000001</v>
      </c>
      <c r="C50" s="106"/>
      <c r="D50" s="12" t="e">
        <f ca="1">VLOOKUP($A50,[1]!LOOKUP_SARS_Unified2,D$3,FALSE)</f>
        <v>#VALUE!</v>
      </c>
      <c r="E50" s="12">
        <f ca="1">VLOOKUP($A50,[1]!LOOKUP_SARS_Unified2,E$3,FALSE)</f>
        <v>9371.231383944787</v>
      </c>
      <c r="F50" s="12">
        <f ca="1">VLOOKUP($A50,[1]!LOOKUP_SARS_Unified2,F$3,FALSE)</f>
        <v>20679.864390362029</v>
      </c>
      <c r="G50" s="12">
        <f ca="1">VLOOKUP($A50,[1]!LOOKUP_SARS_Unified2,G$3,FALSE)</f>
        <v>5339.8716551640628</v>
      </c>
      <c r="H50" s="12" t="e">
        <f ca="1">VLOOKUP($A50,[1]!LOOKUP_SARS_Unified2,H$3,FALSE)</f>
        <v>#VALUE!</v>
      </c>
      <c r="I50" s="12">
        <f ca="1">VLOOKUP($A50,[1]!LOOKUP_SARS_Unified2,I$3,FALSE)</f>
        <v>6532.3889090688945</v>
      </c>
      <c r="J50" s="12">
        <f ca="1">VLOOKUP($A50,[1]!LOOKUP_SARS_Unified2,J$3,FALSE)</f>
        <v>41923.356338539772</v>
      </c>
      <c r="K50" s="12">
        <f ca="1">VLOOKUP($A50,[1]!LOOKUP_SARS_Unified2,K$3,FALSE)</f>
        <v>94200.266376074578</v>
      </c>
      <c r="L50" s="22"/>
      <c r="M50" s="22"/>
      <c r="N50" s="22"/>
      <c r="O50" s="22"/>
      <c r="P50" s="22"/>
    </row>
    <row r="51" spans="1:16" s="1" customFormat="1" x14ac:dyDescent="0.25">
      <c r="A51" s="92" t="s">
        <v>7</v>
      </c>
      <c r="B51" s="3">
        <f ca="1">VLOOKUP($A51,[1]!LOOKUP_SARS_Unified2,B$3,FALSE)</f>
        <v>0.252</v>
      </c>
      <c r="C51" s="3"/>
      <c r="D51" s="12">
        <f ca="1">VLOOKUP($A51,[1]!LOOKUP_SARS_Unified2,D$3,FALSE)</f>
        <v>-595.99835548855685</v>
      </c>
      <c r="E51" s="12">
        <f ca="1">VLOOKUP($A51,[1]!LOOKUP_SARS_Unified2,E$3,FALSE)</f>
        <v>119.22707962176237</v>
      </c>
      <c r="F51" s="12">
        <f ca="1">VLOOKUP($A51,[1]!LOOKUP_SARS_Unified2,F$3,FALSE)</f>
        <v>2890.2288611758258</v>
      </c>
      <c r="G51" s="12">
        <f ca="1">VLOOKUP($A51,[1]!LOOKUP_SARS_Unified2,G$3,FALSE)</f>
        <v>1119.7752501027819</v>
      </c>
      <c r="H51" s="12" t="e">
        <f ca="1">VLOOKUP($A51,[1]!LOOKUP_SARS_Unified2,H$3,FALSE)</f>
        <v>#VALUE!</v>
      </c>
      <c r="I51" s="12">
        <f ca="1">VLOOKUP($A51,[1]!LOOKUP_SARS_Unified2,I$3,FALSE)</f>
        <v>-271.89255858572017</v>
      </c>
      <c r="J51" s="12">
        <f ca="1">VLOOKUP($A51,[1]!LOOKUP_SARS_Unified2,J$3,FALSE)</f>
        <v>3261.340276826093</v>
      </c>
      <c r="K51" s="12">
        <f ca="1">VLOOKUP($A51,[1]!LOOKUP_SARS_Unified2,K$3,FALSE)</f>
        <v>15888.995477593533</v>
      </c>
      <c r="L51" s="3"/>
      <c r="M51" s="23"/>
      <c r="N51" s="23"/>
      <c r="O51" s="22"/>
      <c r="P51" s="21"/>
    </row>
    <row r="52" spans="1:16" s="1" customFormat="1" x14ac:dyDescent="0.25">
      <c r="A52" s="92" t="s">
        <v>54</v>
      </c>
      <c r="B52" s="3">
        <f ca="1">VLOOKUP($A52,[1]!LOOKUP_SARS_Unified2,B$3,FALSE)</f>
        <v>0.20100000000000001</v>
      </c>
      <c r="C52" s="3"/>
      <c r="D52" s="12">
        <f ca="1">VLOOKUP($A52,[1]!LOOKUP_SARS_Unified2,D$3,FALSE)</f>
        <v>429.14816310052481</v>
      </c>
      <c r="E52" s="12">
        <f ca="1">VLOOKUP($A52,[1]!LOOKUP_SARS_Unified2,E$3,FALSE)</f>
        <v>127.30453505584713</v>
      </c>
      <c r="F52" s="12">
        <f ca="1">VLOOKUP($A52,[1]!LOOKUP_SARS_Unified2,F$3,FALSE)</f>
        <v>206.43251244785361</v>
      </c>
      <c r="G52" s="12">
        <f ca="1">VLOOKUP($A52,[1]!LOOKUP_SARS_Unified2,G$3,FALSE)</f>
        <v>-153.54595612972682</v>
      </c>
      <c r="H52" s="12" t="e">
        <f ca="1">VLOOKUP($A52,[1]!LOOKUP_SARS_Unified2,H$3,FALSE)</f>
        <v>#VALUE!</v>
      </c>
      <c r="I52" s="12">
        <f ca="1">VLOOKUP($A52,[1]!LOOKUP_SARS_Unified2,I$3,FALSE)</f>
        <v>28.125420535594131</v>
      </c>
      <c r="J52" s="12">
        <f ca="1">VLOOKUP($A52,[1]!LOOKUP_SARS_Unified2,J$3,FALSE)</f>
        <v>637.46467501009283</v>
      </c>
      <c r="K52" s="12">
        <f ca="1">VLOOKUP($A52,[1]!LOOKUP_SARS_Unified2,K$3,FALSE)</f>
        <v>607.45525501278428</v>
      </c>
      <c r="L52" s="16"/>
      <c r="M52" s="22"/>
      <c r="N52" s="22"/>
      <c r="O52" s="22"/>
      <c r="P52" s="21"/>
    </row>
    <row r="53" spans="1:16" s="1" customFormat="1" x14ac:dyDescent="0.25">
      <c r="A53" s="92" t="s">
        <v>53</v>
      </c>
      <c r="B53" s="3">
        <f ca="1">VLOOKUP($A53,[1]!LOOKUP_SARS_Unified2,B$3,FALSE)</f>
        <v>0.25800000000000001</v>
      </c>
      <c r="C53" s="3"/>
      <c r="D53" s="12">
        <f ca="1">VLOOKUP($A53,[1]!LOOKUP_SARS_Unified2,D$3,FALSE)</f>
        <v>-6987.1655164063441</v>
      </c>
      <c r="E53" s="12">
        <f ca="1">VLOOKUP($A53,[1]!LOOKUP_SARS_Unified2,E$3,FALSE)</f>
        <v>302.57900472212128</v>
      </c>
      <c r="F53" s="12">
        <f ca="1">VLOOKUP($A53,[1]!LOOKUP_SARS_Unified2,F$3,FALSE)</f>
        <v>10.291802881704806</v>
      </c>
      <c r="G53" s="12">
        <f ca="1">VLOOKUP($A53,[1]!LOOKUP_SARS_Unified2,G$3,FALSE)</f>
        <v>928.92602009928555</v>
      </c>
      <c r="H53" s="12" t="e">
        <f ca="1">VLOOKUP($A53,[1]!LOOKUP_SARS_Unified2,H$3,FALSE)</f>
        <v>#VALUE!</v>
      </c>
      <c r="I53" s="12">
        <f ca="1">VLOOKUP($A53,[1]!LOOKUP_SARS_Unified2,I$3,FALSE)</f>
        <v>11.62368325463131</v>
      </c>
      <c r="J53" s="12">
        <f ca="1">VLOOKUP($A53,[1]!LOOKUP_SARS_Unified2,J$3,FALSE)</f>
        <v>-5733.7450054486008</v>
      </c>
      <c r="K53" s="12">
        <f ca="1">VLOOKUP($A53,[1]!LOOKUP_SARS_Unified2,K$3,FALSE)</f>
        <v>11841.869475723453</v>
      </c>
      <c r="L53" s="3"/>
      <c r="M53" s="23"/>
      <c r="N53" s="23"/>
      <c r="O53" s="22"/>
      <c r="P53" s="21"/>
    </row>
    <row r="54" spans="1:16" s="1" customFormat="1" x14ac:dyDescent="0.25">
      <c r="A54" s="92" t="s">
        <v>4</v>
      </c>
      <c r="B54" s="3">
        <f ca="1">VLOOKUP($A54,[1]!LOOKUP_SARS_Unified2,B$3,FALSE)</f>
        <v>-3.2000000000000001E-2</v>
      </c>
      <c r="C54" s="3"/>
      <c r="D54" s="12" t="e">
        <f ca="1">VLOOKUP($A54,[1]!LOOKUP_SARS_Unified2,D$3,FALSE)</f>
        <v>#VALUE!</v>
      </c>
      <c r="E54" s="12" t="e">
        <f ca="1">VLOOKUP($A54,[1]!LOOKUP_SARS_Unified2,E$3,FALSE)</f>
        <v>#VALUE!</v>
      </c>
      <c r="F54" s="12" t="e">
        <f ca="1">VLOOKUP($A54,[1]!LOOKUP_SARS_Unified2,F$3,FALSE)</f>
        <v>#VALUE!</v>
      </c>
      <c r="G54" s="12">
        <f ca="1">VLOOKUP($A54,[1]!LOOKUP_SARS_Unified2,G$3,FALSE)</f>
        <v>-136.75125860474674</v>
      </c>
      <c r="H54" s="12" t="e">
        <f ca="1">VLOOKUP($A54,[1]!LOOKUP_SARS_Unified2,H$3,FALSE)</f>
        <v>#VALUE!</v>
      </c>
      <c r="I54" s="12" t="e">
        <f ca="1">VLOOKUP($A54,[1]!LOOKUP_SARS_Unified2,I$3,FALSE)</f>
        <v>#VALUE!</v>
      </c>
      <c r="J54" s="12">
        <f ca="1">VLOOKUP($A54,[1]!LOOKUP_SARS_Unified2,J$3,FALSE)</f>
        <v>-136.75125860474674</v>
      </c>
      <c r="K54" s="12">
        <f ca="1">VLOOKUP($A54,[1]!LOOKUP_SARS_Unified2,K$3,FALSE)</f>
        <v>4256.5498818452688</v>
      </c>
      <c r="L54" s="16"/>
      <c r="M54" s="22"/>
      <c r="N54" s="22"/>
      <c r="O54" s="22"/>
      <c r="P54" s="21"/>
    </row>
    <row r="55" spans="1:16" s="1" customFormat="1" x14ac:dyDescent="0.25">
      <c r="A55" s="92" t="s">
        <v>39</v>
      </c>
      <c r="B55" s="3">
        <f ca="1">VLOOKUP($A55,[1]!LOOKUP_SARS_Unified2,B$3,FALSE)</f>
        <v>6.5000000000000002E-2</v>
      </c>
      <c r="C55" s="3"/>
      <c r="D55" s="12" t="e">
        <f ca="1">VLOOKUP($A55,[1]!LOOKUP_SARS_Unified2,D$3,FALSE)</f>
        <v>#VALUE!</v>
      </c>
      <c r="E55" s="12">
        <f ca="1">VLOOKUP($A55,[1]!LOOKUP_SARS_Unified2,E$3,FALSE)</f>
        <v>-145.70439525857549</v>
      </c>
      <c r="F55" s="12">
        <f ca="1">VLOOKUP($A55,[1]!LOOKUP_SARS_Unified2,F$3,FALSE)</f>
        <v>87.695373964124613</v>
      </c>
      <c r="G55" s="12">
        <f ca="1">VLOOKUP($A55,[1]!LOOKUP_SARS_Unified2,G$3,FALSE)</f>
        <v>721.38885975034088</v>
      </c>
      <c r="H55" s="12" t="e">
        <f ca="1">VLOOKUP($A55,[1]!LOOKUP_SARS_Unified2,H$3,FALSE)</f>
        <v>#VALUE!</v>
      </c>
      <c r="I55" s="12">
        <f ca="1">VLOOKUP($A55,[1]!LOOKUP_SARS_Unified2,I$3,FALSE)</f>
        <v>97.241162278401347</v>
      </c>
      <c r="J55" s="12">
        <f ca="1">VLOOKUP($A55,[1]!LOOKUP_SARS_Unified2,J$3,FALSE)</f>
        <v>760.62100073429144</v>
      </c>
      <c r="K55" s="12">
        <f ca="1">VLOOKUP($A55,[1]!LOOKUP_SARS_Unified2,K$3,FALSE)</f>
        <v>11752.229098919543</v>
      </c>
      <c r="L55" s="3"/>
      <c r="M55" s="23"/>
      <c r="N55" s="23"/>
      <c r="O55" s="22"/>
      <c r="P55" s="21"/>
    </row>
    <row r="56" spans="1:16" s="1" customFormat="1" x14ac:dyDescent="0.25">
      <c r="A56" s="92" t="s">
        <v>3</v>
      </c>
      <c r="B56" s="3">
        <f ca="1">VLOOKUP($A56,[1]!LOOKUP_SARS_Unified2,B$3,FALSE)</f>
        <v>-0.13</v>
      </c>
      <c r="C56" s="3"/>
      <c r="D56" s="12">
        <f ca="1">VLOOKUP($A56,[1]!LOOKUP_SARS_Unified2,D$3,FALSE)</f>
        <v>-2046.0104128829153</v>
      </c>
      <c r="E56" s="12">
        <f ca="1">VLOOKUP($A56,[1]!LOOKUP_SARS_Unified2,E$3,FALSE)</f>
        <v>-20.099285627799976</v>
      </c>
      <c r="F56" s="12">
        <f ca="1">VLOOKUP($A56,[1]!LOOKUP_SARS_Unified2,F$3,FALSE)</f>
        <v>42.983412035355364</v>
      </c>
      <c r="G56" s="12">
        <f ca="1">VLOOKUP($A56,[1]!LOOKUP_SARS_Unified2,G$3,FALSE)</f>
        <v>-210.07385882068044</v>
      </c>
      <c r="H56" s="12" t="e">
        <f ca="1">VLOOKUP($A56,[1]!LOOKUP_SARS_Unified2,H$3,FALSE)</f>
        <v>#VALUE!</v>
      </c>
      <c r="I56" s="12">
        <f ca="1">VLOOKUP($A56,[1]!LOOKUP_SARS_Unified2,I$3,FALSE)</f>
        <v>-131.12967671630946</v>
      </c>
      <c r="J56" s="12">
        <f ca="1">VLOOKUP($A56,[1]!LOOKUP_SARS_Unified2,J$3,FALSE)</f>
        <v>-2364.3298220123502</v>
      </c>
      <c r="K56" s="12">
        <f ca="1">VLOOKUP($A56,[1]!LOOKUP_SARS_Unified2,K$3,FALSE)</f>
        <v>4494.0065383218298</v>
      </c>
      <c r="L56" s="16"/>
      <c r="O56" s="22"/>
      <c r="P56" s="21"/>
    </row>
    <row r="57" spans="1:16" s="1" customFormat="1" x14ac:dyDescent="0.25">
      <c r="A57" s="92" t="s">
        <v>179</v>
      </c>
      <c r="B57" s="3">
        <f ca="1">VLOOKUP($A57,[1]!LOOKUP_SARS_Unified2,B$3,FALSE)</f>
        <v>-0.122</v>
      </c>
      <c r="C57" s="3"/>
      <c r="D57" s="12">
        <f ca="1">VLOOKUP($A57,[1]!LOOKUP_SARS_Unified2,D$3,FALSE)</f>
        <v>1530.9523809523812</v>
      </c>
      <c r="E57" s="12" t="e">
        <f ca="1">VLOOKUP($A57,[1]!LOOKUP_SARS_Unified2,E$3,FALSE)</f>
        <v>#VALUE!</v>
      </c>
      <c r="F57" s="12">
        <f ca="1">VLOOKUP($A57,[1]!LOOKUP_SARS_Unified2,F$3,FALSE)</f>
        <v>153.93374741200827</v>
      </c>
      <c r="G57" s="12">
        <f ca="1">VLOOKUP($A57,[1]!LOOKUP_SARS_Unified2,G$3,FALSE)</f>
        <v>-210.97308488612839</v>
      </c>
      <c r="H57" s="12" t="e">
        <f ca="1">VLOOKUP($A57,[1]!LOOKUP_SARS_Unified2,H$3,FALSE)</f>
        <v>#VALUE!</v>
      </c>
      <c r="I57" s="12">
        <f ca="1">VLOOKUP($A57,[1]!LOOKUP_SARS_Unified2,I$3,FALSE)</f>
        <v>-742.75362318840587</v>
      </c>
      <c r="J57" s="12">
        <f ca="1">VLOOKUP($A57,[1]!LOOKUP_SARS_Unified2,J$3,FALSE)</f>
        <v>731.15942028985501</v>
      </c>
      <c r="K57" s="12">
        <f ca="1">VLOOKUP($A57,[1]!LOOKUP_SARS_Unified2,K$3,FALSE)</f>
        <v>5027.5362318840589</v>
      </c>
      <c r="L57" s="3"/>
      <c r="M57" s="23"/>
      <c r="N57" s="23"/>
      <c r="P57" s="21"/>
    </row>
    <row r="58" spans="1:16" s="1" customFormat="1" x14ac:dyDescent="0.25">
      <c r="A58" s="92" t="s">
        <v>2</v>
      </c>
      <c r="B58" s="3" t="str">
        <f ca="1">VLOOKUP($A58,[1]!LOOKUP_SARS_Unified2,B$3,FALSE)</f>
        <v/>
      </c>
      <c r="C58" s="3"/>
      <c r="D58" s="12" t="e">
        <f ca="1">VLOOKUP($A58,[1]!LOOKUP_SARS_Unified2,D$3,FALSE)</f>
        <v>#VALUE!</v>
      </c>
      <c r="E58" s="12" t="e">
        <f ca="1">VLOOKUP($A58,[1]!LOOKUP_SARS_Unified2,E$3,FALSE)</f>
        <v>#VALUE!</v>
      </c>
      <c r="F58" s="12" t="e">
        <f ca="1">VLOOKUP($A58,[1]!LOOKUP_SARS_Unified2,F$3,FALSE)</f>
        <v>#VALUE!</v>
      </c>
      <c r="G58" s="12" t="e">
        <f ca="1">VLOOKUP($A58,[1]!LOOKUP_SARS_Unified2,G$3,FALSE)</f>
        <v>#VALUE!</v>
      </c>
      <c r="H58" s="12" t="e">
        <f ca="1">VLOOKUP($A58,[1]!LOOKUP_SARS_Unified2,H$3,FALSE)</f>
        <v>#VALUE!</v>
      </c>
      <c r="I58" s="12" t="e">
        <f ca="1">VLOOKUP($A58,[1]!LOOKUP_SARS_Unified2,I$3,FALSE)</f>
        <v>#VALUE!</v>
      </c>
      <c r="J58" s="12" t="e">
        <f ca="1">VLOOKUP($A58,[1]!LOOKUP_SARS_Unified2,J$3,FALSE)</f>
        <v>#VALUE!</v>
      </c>
      <c r="K58" s="12" t="e">
        <f ca="1">VLOOKUP($A58,[1]!LOOKUP_SARS_Unified2,K$3,FALSE)</f>
        <v>#VALUE!</v>
      </c>
      <c r="O58" s="22"/>
      <c r="P58" s="21"/>
    </row>
    <row r="59" spans="1:16" s="1" customFormat="1" x14ac:dyDescent="0.25">
      <c r="A59" s="92" t="s">
        <v>61</v>
      </c>
      <c r="B59" s="3">
        <f ca="1">VLOOKUP($A59,[1]!LOOKUP_SARS_Unified2,B$3,FALSE)</f>
        <v>0.44600000000000001</v>
      </c>
      <c r="C59" s="3"/>
      <c r="D59" s="12">
        <f ca="1">VLOOKUP($A59,[1]!LOOKUP_SARS_Unified2,D$3,FALSE)</f>
        <v>-276.9939935745216</v>
      </c>
      <c r="E59" s="12">
        <f ca="1">VLOOKUP($A59,[1]!LOOKUP_SARS_Unified2,E$3,FALSE)</f>
        <v>-29.054337197932675</v>
      </c>
      <c r="F59" s="12">
        <f ca="1">VLOOKUP($A59,[1]!LOOKUP_SARS_Unified2,F$3,FALSE)</f>
        <v>440.28495599944125</v>
      </c>
      <c r="G59" s="12">
        <f ca="1">VLOOKUP($A59,[1]!LOOKUP_SARS_Unified2,G$3,FALSE)</f>
        <v>1937.2817432602321</v>
      </c>
      <c r="H59" s="12" t="e">
        <f ca="1">VLOOKUP($A59,[1]!LOOKUP_SARS_Unified2,H$3,FALSE)</f>
        <v>#VALUE!</v>
      </c>
      <c r="I59" s="12">
        <f ca="1">VLOOKUP($A59,[1]!LOOKUP_SARS_Unified2,I$3,FALSE)</f>
        <v>27.797178376868278</v>
      </c>
      <c r="J59" s="12">
        <f ca="1">VLOOKUP($A59,[1]!LOOKUP_SARS_Unified2,J$3,FALSE)</f>
        <v>2099.3155468640875</v>
      </c>
      <c r="K59" s="12">
        <f ca="1">VLOOKUP($A59,[1]!LOOKUP_SARS_Unified2,K$3,FALSE)</f>
        <v>5610.2807654700382</v>
      </c>
      <c r="L59" s="3"/>
      <c r="M59" s="23"/>
      <c r="N59" s="23"/>
      <c r="O59" s="22"/>
      <c r="P59" s="21"/>
    </row>
    <row r="60" spans="1:16" s="1" customFormat="1" x14ac:dyDescent="0.25">
      <c r="A60" s="92" t="s">
        <v>5</v>
      </c>
      <c r="B60" s="3">
        <f ca="1">VLOOKUP($A60,[1]!LOOKUP_SARS_Unified2,B$3,FALSE)</f>
        <v>-0.12</v>
      </c>
      <c r="C60" s="3"/>
      <c r="D60" s="12">
        <f ca="1">VLOOKUP($A60,[1]!LOOKUP_SARS_Unified2,D$3,FALSE)</f>
        <v>-1339.4141002253461</v>
      </c>
      <c r="E60" s="12" t="e">
        <f ca="1">VLOOKUP($A60,[1]!LOOKUP_SARS_Unified2,E$3,FALSE)</f>
        <v>#VALUE!</v>
      </c>
      <c r="F60" s="12">
        <f ca="1">VLOOKUP($A60,[1]!LOOKUP_SARS_Unified2,F$3,FALSE)</f>
        <v>5.9019208069535365</v>
      </c>
      <c r="G60" s="12">
        <f ca="1">VLOOKUP($A60,[1]!LOOKUP_SARS_Unified2,G$3,FALSE)</f>
        <v>-353.04217190685699</v>
      </c>
      <c r="H60" s="12" t="e">
        <f ca="1">VLOOKUP($A60,[1]!LOOKUP_SARS_Unified2,H$3,FALSE)</f>
        <v>#VALUE!</v>
      </c>
      <c r="I60" s="12">
        <f ca="1">VLOOKUP($A60,[1]!LOOKUP_SARS_Unified2,I$3,FALSE)</f>
        <v>39.167292627964379</v>
      </c>
      <c r="J60" s="12">
        <f ca="1">VLOOKUP($A60,[1]!LOOKUP_SARS_Unified2,J$3,FALSE)</f>
        <v>-1647.3870586972853</v>
      </c>
      <c r="K60" s="12">
        <f ca="1">VLOOKUP($A60,[1]!LOOKUP_SARS_Unified2,K$3,FALSE)</f>
        <v>3900.8477304431808</v>
      </c>
      <c r="O60" s="22"/>
      <c r="P60" s="21"/>
    </row>
    <row r="61" spans="1:16" s="1" customFormat="1" x14ac:dyDescent="0.25">
      <c r="A61" s="92" t="s">
        <v>219</v>
      </c>
      <c r="B61" s="3">
        <f ca="1">VLOOKUP($A61,[1]!LOOKUP_SARS_Unified2,B$3,FALSE)</f>
        <v>-0.70599999999999996</v>
      </c>
      <c r="C61" s="3"/>
      <c r="D61" s="12">
        <f ca="1">VLOOKUP($A61,[1]!LOOKUP_SARS_Unified2,D$3,FALSE)</f>
        <v>-6848.5420847597688</v>
      </c>
      <c r="E61" s="12" t="e">
        <f ca="1">VLOOKUP($A61,[1]!LOOKUP_SARS_Unified2,E$3,FALSE)</f>
        <v>#VALUE!</v>
      </c>
      <c r="F61" s="12" t="e">
        <f ca="1">VLOOKUP($A61,[1]!LOOKUP_SARS_Unified2,F$3,FALSE)</f>
        <v>#VALUE!</v>
      </c>
      <c r="G61" s="12" t="e">
        <f ca="1">VLOOKUP($A61,[1]!LOOKUP_SARS_Unified2,G$3,FALSE)</f>
        <v>#VALUE!</v>
      </c>
      <c r="H61" s="12">
        <f ca="1">VLOOKUP($A61,[1]!LOOKUP_SARS_Unified2,H$3,FALSE)</f>
        <v>-807.93294770393106</v>
      </c>
      <c r="I61" s="12" t="e">
        <f ca="1">VLOOKUP($A61,[1]!LOOKUP_SARS_Unified2,I$3,FALSE)</f>
        <v>#VALUE!</v>
      </c>
      <c r="J61" s="12">
        <f ca="1">VLOOKUP($A61,[1]!LOOKUP_SARS_Unified2,J$3,FALSE)</f>
        <v>-7656.4750324636998</v>
      </c>
      <c r="K61" s="12">
        <f ca="1">VLOOKUP($A61,[1]!LOOKUP_SARS_Unified2,K$3,FALSE)</f>
        <v>7993.1531106126786</v>
      </c>
      <c r="L61" s="3"/>
      <c r="M61" s="23"/>
      <c r="N61" s="23"/>
      <c r="O61" s="22"/>
      <c r="P61" s="21"/>
    </row>
    <row r="62" spans="1:16" s="1" customFormat="1" x14ac:dyDescent="0.25">
      <c r="A62" s="92" t="s">
        <v>34</v>
      </c>
      <c r="B62" s="3">
        <f ca="1">VLOOKUP($A62,[1]!LOOKUP_SARS_Unified2,B$3,FALSE)</f>
        <v>0.27200000000000002</v>
      </c>
      <c r="C62" s="3"/>
      <c r="D62" s="12">
        <f ca="1">VLOOKUP($A62,[1]!LOOKUP_SARS_Unified2,D$3,FALSE)</f>
        <v>2494.063416678307</v>
      </c>
      <c r="E62" s="12">
        <f ca="1">VLOOKUP($A62,[1]!LOOKUP_SARS_Unified2,E$3,FALSE)</f>
        <v>-1.9555803883223912</v>
      </c>
      <c r="F62" s="12">
        <f ca="1">VLOOKUP($A62,[1]!LOOKUP_SARS_Unified2,F$3,FALSE)</f>
        <v>17.460539181449924</v>
      </c>
      <c r="G62" s="12">
        <f ca="1">VLOOKUP($A62,[1]!LOOKUP_SARS_Unified2,G$3,FALSE)</f>
        <v>1205.335940773851</v>
      </c>
      <c r="H62" s="12" t="e">
        <f ca="1">VLOOKUP($A62,[1]!LOOKUP_SARS_Unified2,H$3,FALSE)</f>
        <v>#VALUE!</v>
      </c>
      <c r="I62" s="12">
        <f ca="1">VLOOKUP($A62,[1]!LOOKUP_SARS_Unified2,I$3,FALSE)</f>
        <v>338.31540717977373</v>
      </c>
      <c r="J62" s="12">
        <f ca="1">VLOOKUP($A62,[1]!LOOKUP_SARS_Unified2,J$3,FALSE)</f>
        <v>4053.2197234250593</v>
      </c>
      <c r="K62" s="12">
        <f ca="1">VLOOKUP($A62,[1]!LOOKUP_SARS_Unified2,K$3,FALSE)</f>
        <v>3213.1582623271411</v>
      </c>
      <c r="O62" s="22"/>
      <c r="P62" s="21"/>
    </row>
    <row r="63" spans="1:16" s="1" customFormat="1" x14ac:dyDescent="0.25">
      <c r="A63" s="92" t="s">
        <v>181</v>
      </c>
      <c r="B63" s="3">
        <f ca="1">VLOOKUP($A63,[1]!LOOKUP_SARS_Unified2,B$3,FALSE)</f>
        <v>-7.4999999999999997E-2</v>
      </c>
      <c r="C63" s="3"/>
      <c r="D63" s="12">
        <f ca="1">VLOOKUP($A63,[1]!LOOKUP_SARS_Unified2,D$3,FALSE)</f>
        <v>-1384.6637994335465</v>
      </c>
      <c r="E63" s="12">
        <f ca="1">VLOOKUP($A63,[1]!LOOKUP_SARS_Unified2,E$3,FALSE)</f>
        <v>-11.433966222595195</v>
      </c>
      <c r="F63" s="12" t="e">
        <f ca="1">VLOOKUP($A63,[1]!LOOKUP_SARS_Unified2,F$3,FALSE)</f>
        <v>#VALUE!</v>
      </c>
      <c r="G63" s="12">
        <f ca="1">VLOOKUP($A63,[1]!LOOKUP_SARS_Unified2,G$3,FALSE)</f>
        <v>-40.805622574215882</v>
      </c>
      <c r="H63" s="12" t="e">
        <f ca="1">VLOOKUP($A63,[1]!LOOKUP_SARS_Unified2,H$3,FALSE)</f>
        <v>#VALUE!</v>
      </c>
      <c r="I63" s="12">
        <f ca="1">VLOOKUP($A63,[1]!LOOKUP_SARS_Unified2,I$3,FALSE)</f>
        <v>-115.70334627084863</v>
      </c>
      <c r="J63" s="12">
        <f ca="1">VLOOKUP($A63,[1]!LOOKUP_SARS_Unified2,J$3,FALSE)</f>
        <v>-1552.6067345012061</v>
      </c>
      <c r="K63" s="12">
        <f ca="1">VLOOKUP($A63,[1]!LOOKUP_SARS_Unified2,K$3,FALSE)</f>
        <v>3629.4975348788416</v>
      </c>
    </row>
    <row r="64" spans="1:16" s="1" customFormat="1" x14ac:dyDescent="0.25">
      <c r="A64" s="92" t="s">
        <v>78</v>
      </c>
      <c r="B64" s="3">
        <f ca="1">VLOOKUP($A64,[1]!LOOKUP_SARS_Unified2,B$3,FALSE)</f>
        <v>-0.222</v>
      </c>
      <c r="C64" s="3"/>
      <c r="D64" s="12">
        <f ca="1">VLOOKUP($A64,[1]!LOOKUP_SARS_Unified2,D$3,FALSE)</f>
        <v>-3294.3866468503484</v>
      </c>
      <c r="E64" s="12">
        <f ca="1">VLOOKUP($A64,[1]!LOOKUP_SARS_Unified2,E$3,FALSE)</f>
        <v>-59.10597919286613</v>
      </c>
      <c r="F64" s="12" t="e">
        <f ca="1">VLOOKUP($A64,[1]!LOOKUP_SARS_Unified2,F$3,FALSE)</f>
        <v>#VALUE!</v>
      </c>
      <c r="G64" s="12">
        <f ca="1">VLOOKUP($A64,[1]!LOOKUP_SARS_Unified2,G$3,FALSE)</f>
        <v>-18.291985823710984</v>
      </c>
      <c r="H64" s="12" t="e">
        <f ca="1">VLOOKUP($A64,[1]!LOOKUP_SARS_Unified2,H$3,FALSE)</f>
        <v>#VALUE!</v>
      </c>
      <c r="I64" s="12">
        <f ca="1">VLOOKUP($A64,[1]!LOOKUP_SARS_Unified2,I$3,FALSE)</f>
        <v>-676.80347547730651</v>
      </c>
      <c r="J64" s="12">
        <f ca="1">VLOOKUP($A64,[1]!LOOKUP_SARS_Unified2,J$3,FALSE)</f>
        <v>-4048.5880873442325</v>
      </c>
      <c r="K64" s="12">
        <f ca="1">VLOOKUP($A64,[1]!LOOKUP_SARS_Unified2,K$3,FALSE)</f>
        <v>6688.0073167943292</v>
      </c>
    </row>
    <row r="65" spans="1:11" s="1" customFormat="1" x14ac:dyDescent="0.25">
      <c r="A65" s="92" t="s">
        <v>6</v>
      </c>
      <c r="B65" s="3">
        <f ca="1">VLOOKUP($A65,[1]!LOOKUP_SARS_Unified2,B$3,FALSE)</f>
        <v>0.26100000000000001</v>
      </c>
      <c r="C65" s="3"/>
      <c r="D65" s="12">
        <f ca="1">VLOOKUP($A65,[1]!LOOKUP_SARS_Unified2,D$3,FALSE)</f>
        <v>9831.4276722962331</v>
      </c>
      <c r="E65" s="12" t="e">
        <f ca="1">VLOOKUP($A65,[1]!LOOKUP_SARS_Unified2,E$3,FALSE)</f>
        <v>#VALUE!</v>
      </c>
      <c r="F65" s="12" t="e">
        <f ca="1">VLOOKUP($A65,[1]!LOOKUP_SARS_Unified2,F$3,FALSE)</f>
        <v>#VALUE!</v>
      </c>
      <c r="G65" s="12">
        <f ca="1">VLOOKUP($A65,[1]!LOOKUP_SARS_Unified2,G$3,FALSE)</f>
        <v>-543.27074373229834</v>
      </c>
      <c r="H65" s="12" t="e">
        <f ca="1">VLOOKUP($A65,[1]!LOOKUP_SARS_Unified2,H$3,FALSE)</f>
        <v>#VALUE!</v>
      </c>
      <c r="I65" s="12">
        <f ca="1">VLOOKUP($A65,[1]!LOOKUP_SARS_Unified2,I$3,FALSE)</f>
        <v>9126.403021084654</v>
      </c>
      <c r="J65" s="12">
        <f ca="1">VLOOKUP($A65,[1]!LOOKUP_SARS_Unified2,J$3,FALSE)</f>
        <v>18414.559949648588</v>
      </c>
      <c r="K65" s="12">
        <f ca="1">VLOOKUP($A65,[1]!LOOKUP_SARS_Unified2,K$3,FALSE)</f>
        <v>23091.8913248715</v>
      </c>
    </row>
    <row r="66" spans="1:11" s="1" customFormat="1" x14ac:dyDescent="0.25">
      <c r="A66" s="92" t="s">
        <v>182</v>
      </c>
      <c r="B66" s="3">
        <f ca="1">VLOOKUP($A66,[1]!LOOKUP_SARS_Unified2,B$3,FALSE)</f>
        <v>-2.6000000000000002E-2</v>
      </c>
      <c r="C66" s="3"/>
      <c r="D66" s="12">
        <f ca="1">VLOOKUP($A66,[1]!LOOKUP_SARS_Unified2,D$3,FALSE)</f>
        <v>0.94408895415923633</v>
      </c>
      <c r="E66" s="12" t="e">
        <f ca="1">VLOOKUP($A66,[1]!LOOKUP_SARS_Unified2,E$3,FALSE)</f>
        <v>#VALUE!</v>
      </c>
      <c r="F66" s="12" t="e">
        <f ca="1">VLOOKUP($A66,[1]!LOOKUP_SARS_Unified2,F$3,FALSE)</f>
        <v>#VALUE!</v>
      </c>
      <c r="G66" s="12">
        <f ca="1">VLOOKUP($A66,[1]!LOOKUP_SARS_Unified2,G$3,FALSE)</f>
        <v>-62.939263610615754</v>
      </c>
      <c r="H66" s="12" t="e">
        <f ca="1">VLOOKUP($A66,[1]!LOOKUP_SARS_Unified2,H$3,FALSE)</f>
        <v>#VALUE!</v>
      </c>
      <c r="I66" s="12">
        <f ca="1">VLOOKUP($A66,[1]!LOOKUP_SARS_Unified2,I$3,FALSE)</f>
        <v>36.190076576104062</v>
      </c>
      <c r="J66" s="12">
        <f ca="1">VLOOKUP($A66,[1]!LOOKUP_SARS_Unified2,J$3,FALSE)</f>
        <v>-25.805098080352462</v>
      </c>
      <c r="K66" s="12">
        <f ca="1">VLOOKUP($A66,[1]!LOOKUP_SARS_Unified2,K$3,FALSE)</f>
        <v>1010.3849784957516</v>
      </c>
    </row>
    <row r="67" spans="1:11" s="1" customFormat="1" x14ac:dyDescent="0.25">
      <c r="A67" s="92" t="s">
        <v>21</v>
      </c>
      <c r="B67" s="3">
        <f ca="1">VLOOKUP($A67,[1]!LOOKUP_SARS_Unified2,B$3,FALSE)</f>
        <v>8.3000000000000004E-2</v>
      </c>
      <c r="C67" s="3"/>
      <c r="D67" s="12">
        <f ca="1">VLOOKUP($A67,[1]!LOOKUP_SARS_Unified2,D$3,FALSE)</f>
        <v>-157.35475896168109</v>
      </c>
      <c r="E67" s="12">
        <f ca="1">VLOOKUP($A67,[1]!LOOKUP_SARS_Unified2,E$3,FALSE)</f>
        <v>10.754017305315202</v>
      </c>
      <c r="F67" s="12">
        <f ca="1">VLOOKUP($A67,[1]!LOOKUP_SARS_Unified2,F$3,FALSE)</f>
        <v>411.00123609394313</v>
      </c>
      <c r="G67" s="12">
        <f ca="1">VLOOKUP($A67,[1]!LOOKUP_SARS_Unified2,G$3,FALSE)</f>
        <v>24.72187886279357</v>
      </c>
      <c r="H67" s="12">
        <f ca="1">VLOOKUP($A67,[1]!LOOKUP_SARS_Unified2,H$3,FALSE)</f>
        <v>50.803461063040793</v>
      </c>
      <c r="I67" s="12">
        <f ca="1">VLOOKUP($A67,[1]!LOOKUP_SARS_Unified2,I$3,FALSE)</f>
        <v>-45.859085290482078</v>
      </c>
      <c r="J67" s="12">
        <f ca="1">VLOOKUP($A67,[1]!LOOKUP_SARS_Unified2,J$3,FALSE)</f>
        <v>294.06674907292955</v>
      </c>
      <c r="K67" s="12">
        <f ca="1">VLOOKUP($A67,[1]!LOOKUP_SARS_Unified2,K$3,FALSE)</f>
        <v>5598.2694684796043</v>
      </c>
    </row>
    <row r="68" spans="1:11" s="1" customFormat="1" x14ac:dyDescent="0.25">
      <c r="A68" s="92" t="s">
        <v>220</v>
      </c>
      <c r="B68" s="3">
        <f ca="1">VLOOKUP($A68,[1]!LOOKUP_SARS_Unified2,B$3,FALSE)</f>
        <v>-0.27399999999999997</v>
      </c>
      <c r="C68" s="3"/>
      <c r="D68" s="12" t="e">
        <f ca="1">VLOOKUP($A68,[1]!LOOKUP_SARS_Unified2,D$3,FALSE)</f>
        <v>#VALUE!</v>
      </c>
      <c r="E68" s="12" t="e">
        <f ca="1">VLOOKUP($A68,[1]!LOOKUP_SARS_Unified2,E$3,FALSE)</f>
        <v>#VALUE!</v>
      </c>
      <c r="F68" s="12" t="e">
        <f ca="1">VLOOKUP($A68,[1]!LOOKUP_SARS_Unified2,F$3,FALSE)</f>
        <v>#VALUE!</v>
      </c>
      <c r="G68" s="12">
        <f ca="1">VLOOKUP($A68,[1]!LOOKUP_SARS_Unified2,G$3,FALSE)</f>
        <v>-441.13582108305064</v>
      </c>
      <c r="H68" s="12" t="e">
        <f ca="1">VLOOKUP($A68,[1]!LOOKUP_SARS_Unified2,H$3,FALSE)</f>
        <v>#VALUE!</v>
      </c>
      <c r="I68" s="12" t="e">
        <f ca="1">VLOOKUP($A68,[1]!LOOKUP_SARS_Unified2,I$3,FALSE)</f>
        <v>#VALUE!</v>
      </c>
      <c r="J68" s="12">
        <f ca="1">VLOOKUP($A68,[1]!LOOKUP_SARS_Unified2,J$3,FALSE)</f>
        <v>-441.13582108305064</v>
      </c>
      <c r="K68" s="12">
        <f ca="1">VLOOKUP($A68,[1]!LOOKUP_SARS_Unified2,K$3,FALSE)</f>
        <v>1610.2525442894835</v>
      </c>
    </row>
    <row r="69" spans="1:11" s="1" customFormat="1" x14ac:dyDescent="0.25">
      <c r="A69" s="92" t="s">
        <v>33</v>
      </c>
      <c r="B69" s="3">
        <f ca="1">VLOOKUP($A69,[1]!LOOKUP_SARS_Unified2,B$3,FALSE)</f>
        <v>-6.6000000000000003E-2</v>
      </c>
      <c r="C69" s="3"/>
      <c r="D69" s="12">
        <f ca="1">VLOOKUP($A69,[1]!LOOKUP_SARS_Unified2,D$3,FALSE)</f>
        <v>-3265.1022673220232</v>
      </c>
      <c r="E69" s="12">
        <f ca="1">VLOOKUP($A69,[1]!LOOKUP_SARS_Unified2,E$3,FALSE)</f>
        <v>13.159980973521485</v>
      </c>
      <c r="F69" s="12">
        <f ca="1">VLOOKUP($A69,[1]!LOOKUP_SARS_Unified2,F$3,FALSE)</f>
        <v>174.09227842080227</v>
      </c>
      <c r="G69" s="12">
        <f ca="1">VLOOKUP($A69,[1]!LOOKUP_SARS_Unified2,G$3,FALSE)</f>
        <v>-529.09465673061675</v>
      </c>
      <c r="H69" s="12" t="e">
        <f ca="1">VLOOKUP($A69,[1]!LOOKUP_SARS_Unified2,H$3,FALSE)</f>
        <v>#VALUE!</v>
      </c>
      <c r="I69" s="12">
        <f ca="1">VLOOKUP($A69,[1]!LOOKUP_SARS_Unified2,I$3,FALSE)</f>
        <v>-25.527192008879023</v>
      </c>
      <c r="J69" s="12">
        <f ca="1">VLOOKUP($A69,[1]!LOOKUP_SARS_Unified2,J$3,FALSE)</f>
        <v>-3632.471856667195</v>
      </c>
      <c r="K69" s="12">
        <f ca="1">VLOOKUP($A69,[1]!LOOKUP_SARS_Unified2,K$3,FALSE)</f>
        <v>8790.3916283494527</v>
      </c>
    </row>
    <row r="70" spans="1:11" s="1" customFormat="1" x14ac:dyDescent="0.25">
      <c r="A70" s="92" t="s">
        <v>68</v>
      </c>
      <c r="B70" s="3">
        <f ca="1">VLOOKUP($A70,[1]!LOOKUP_SARS_Unified2,B$3,FALSE)</f>
        <v>-0.54</v>
      </c>
      <c r="C70" s="3"/>
      <c r="D70" s="12">
        <f ca="1">VLOOKUP($A70,[1]!LOOKUP_SARS_Unified2,D$3,FALSE)</f>
        <v>-13936.341161928305</v>
      </c>
      <c r="E70" s="12">
        <f ca="1">VLOOKUP($A70,[1]!LOOKUP_SARS_Unified2,E$3,FALSE)</f>
        <v>-516.81087762669961</v>
      </c>
      <c r="F70" s="12">
        <f ca="1">VLOOKUP($A70,[1]!LOOKUP_SARS_Unified2,F$3,FALSE)</f>
        <v>-156.86032138442522</v>
      </c>
      <c r="G70" s="12">
        <f ca="1">VLOOKUP($A70,[1]!LOOKUP_SARS_Unified2,G$3,FALSE)</f>
        <v>708.89987639060564</v>
      </c>
      <c r="H70" s="12" t="e">
        <f ca="1">VLOOKUP($A70,[1]!LOOKUP_SARS_Unified2,H$3,FALSE)</f>
        <v>#VALUE!</v>
      </c>
      <c r="I70" s="12">
        <f ca="1">VLOOKUP($A70,[1]!LOOKUP_SARS_Unified2,I$3,FALSE)</f>
        <v>-2146.7243510506796</v>
      </c>
      <c r="J70" s="12">
        <f ca="1">VLOOKUP($A70,[1]!LOOKUP_SARS_Unified2,J$3,FALSE)</f>
        <v>-16047.836835599506</v>
      </c>
      <c r="K70" s="12">
        <f ca="1">VLOOKUP($A70,[1]!LOOKUP_SARS_Unified2,K$3,FALSE)</f>
        <v>17845.735475896166</v>
      </c>
    </row>
    <row r="71" spans="1:11" s="1" customFormat="1" x14ac:dyDescent="0.25">
      <c r="A71" s="92" t="s">
        <v>76</v>
      </c>
      <c r="B71" s="3">
        <f ca="1">VLOOKUP($A71,[1]!LOOKUP_SARS_Unified2,B$3,FALSE)</f>
        <v>-0.27600000000000002</v>
      </c>
      <c r="C71" s="3"/>
      <c r="D71" s="12">
        <f ca="1">VLOOKUP($A71,[1]!LOOKUP_SARS_Unified2,D$3,FALSE)</f>
        <v>1544.8646456453414</v>
      </c>
      <c r="E71" s="12">
        <f ca="1">VLOOKUP($A71,[1]!LOOKUP_SARS_Unified2,E$3,FALSE)</f>
        <v>383.04775423299202</v>
      </c>
      <c r="F71" s="12" t="e">
        <f ca="1">VLOOKUP($A71,[1]!LOOKUP_SARS_Unified2,F$3,FALSE)</f>
        <v>#VALUE!</v>
      </c>
      <c r="G71" s="12">
        <f ca="1">VLOOKUP($A71,[1]!LOOKUP_SARS_Unified2,G$3,FALSE)</f>
        <v>-4209.3683463449252</v>
      </c>
      <c r="H71" s="12" t="e">
        <f ca="1">VLOOKUP($A71,[1]!LOOKUP_SARS_Unified2,H$3,FALSE)</f>
        <v>#VALUE!</v>
      </c>
      <c r="I71" s="12">
        <f ca="1">VLOOKUP($A71,[1]!LOOKUP_SARS_Unified2,I$3,FALSE)</f>
        <v>630.84254283686516</v>
      </c>
      <c r="J71" s="12">
        <f ca="1">VLOOKUP($A71,[1]!LOOKUP_SARS_Unified2,J$3,FALSE)</f>
        <v>-1650.6134036297274</v>
      </c>
      <c r="K71" s="12">
        <f ca="1">VLOOKUP($A71,[1]!LOOKUP_SARS_Unified2,K$3,FALSE)</f>
        <v>10026.563925783232</v>
      </c>
    </row>
    <row r="72" spans="1:11" s="1" customFormat="1" x14ac:dyDescent="0.25">
      <c r="A72" s="92" t="s">
        <v>70</v>
      </c>
      <c r="B72" s="3">
        <f ca="1">VLOOKUP($A72,[1]!LOOKUP_SARS_Unified2,B$3,FALSE)</f>
        <v>1.109</v>
      </c>
      <c r="C72" s="3"/>
      <c r="D72" s="12" t="e">
        <f ca="1">VLOOKUP($A72,[1]!LOOKUP_SARS_Unified2,D$3,FALSE)</f>
        <v>#VALUE!</v>
      </c>
      <c r="E72" s="12" t="e">
        <f ca="1">VLOOKUP($A72,[1]!LOOKUP_SARS_Unified2,E$3,FALSE)</f>
        <v>#VALUE!</v>
      </c>
      <c r="F72" s="12">
        <f ca="1">VLOOKUP($A72,[1]!LOOKUP_SARS_Unified2,F$3,FALSE)</f>
        <v>801.11248454882571</v>
      </c>
      <c r="G72" s="12">
        <f ca="1">VLOOKUP($A72,[1]!LOOKUP_SARS_Unified2,G$3,FALSE)</f>
        <v>313.34981458590852</v>
      </c>
      <c r="H72" s="12" t="e">
        <f ca="1">VLOOKUP($A72,[1]!LOOKUP_SARS_Unified2,H$3,FALSE)</f>
        <v>#VALUE!</v>
      </c>
      <c r="I72" s="12" t="e">
        <f ca="1">VLOOKUP($A72,[1]!LOOKUP_SARS_Unified2,I$3,FALSE)</f>
        <v>#VALUE!</v>
      </c>
      <c r="J72" s="12">
        <f ca="1">VLOOKUP($A72,[1]!LOOKUP_SARS_Unified2,J$3,FALSE)</f>
        <v>1114.4622991347342</v>
      </c>
      <c r="K72" s="12">
        <f ca="1">VLOOKUP($A72,[1]!LOOKUP_SARS_Unified2,K$3,FALSE)</f>
        <v>1004.8207663782447</v>
      </c>
    </row>
    <row r="73" spans="1:11" s="1" customFormat="1" x14ac:dyDescent="0.25">
      <c r="A73" s="92" t="s">
        <v>45</v>
      </c>
      <c r="B73" s="3">
        <f ca="1">VLOOKUP($A73,[1]!LOOKUP_SARS_Unified2,B$3,FALSE)</f>
        <v>0.13800000000000001</v>
      </c>
      <c r="C73" s="3"/>
      <c r="D73" s="12" t="e">
        <f ca="1">VLOOKUP($A73,[1]!LOOKUP_SARS_Unified2,D$3,FALSE)</f>
        <v>#VALUE!</v>
      </c>
      <c r="E73" s="12" t="e">
        <f ca="1">VLOOKUP($A73,[1]!LOOKUP_SARS_Unified2,E$3,FALSE)</f>
        <v>#VALUE!</v>
      </c>
      <c r="F73" s="12" t="e">
        <f ca="1">VLOOKUP($A73,[1]!LOOKUP_SARS_Unified2,F$3,FALSE)</f>
        <v>#VALUE!</v>
      </c>
      <c r="G73" s="12">
        <f ca="1">VLOOKUP($A73,[1]!LOOKUP_SARS_Unified2,G$3,FALSE)</f>
        <v>55.70124829539494</v>
      </c>
      <c r="H73" s="12" t="e">
        <f ca="1">VLOOKUP($A73,[1]!LOOKUP_SARS_Unified2,H$3,FALSE)</f>
        <v>#VALUE!</v>
      </c>
      <c r="I73" s="12" t="e">
        <f ca="1">VLOOKUP($A73,[1]!LOOKUP_SARS_Unified2,I$3,FALSE)</f>
        <v>#VALUE!</v>
      </c>
      <c r="J73" s="12">
        <f ca="1">VLOOKUP($A73,[1]!LOOKUP_SARS_Unified2,J$3,FALSE)</f>
        <v>55.70124829539494</v>
      </c>
      <c r="K73" s="12">
        <f ca="1">VLOOKUP($A73,[1]!LOOKUP_SARS_Unified2,K$3,FALSE)</f>
        <v>402.39169201720341</v>
      </c>
    </row>
    <row r="74" spans="1:11" s="1" customFormat="1" x14ac:dyDescent="0.25">
      <c r="A74" s="92" t="s">
        <v>221</v>
      </c>
      <c r="B74" s="3">
        <f ca="1">VLOOKUP($A74,[1]!LOOKUP_SARS_Unified2,B$3,FALSE)</f>
        <v>-0.90400000000000003</v>
      </c>
      <c r="C74" s="3"/>
      <c r="D74" s="12">
        <f ca="1">VLOOKUP($A74,[1]!LOOKUP_SARS_Unified2,D$3,FALSE)</f>
        <v>5326.4317714008957</v>
      </c>
      <c r="E74" s="12">
        <f ca="1">VLOOKUP($A74,[1]!LOOKUP_SARS_Unified2,E$3,FALSE)</f>
        <v>11.986923356338538</v>
      </c>
      <c r="F74" s="12" t="e">
        <f ca="1">VLOOKUP($A74,[1]!LOOKUP_SARS_Unified2,F$3,FALSE)</f>
        <v>#VALUE!</v>
      </c>
      <c r="G74" s="12">
        <f ca="1">VLOOKUP($A74,[1]!LOOKUP_SARS_Unified2,G$3,FALSE)</f>
        <v>-4621.6248940549694</v>
      </c>
      <c r="H74" s="12">
        <f ca="1">VLOOKUP($A74,[1]!LOOKUP_SARS_Unified2,H$3,FALSE)</f>
        <v>-3061.9929773580334</v>
      </c>
      <c r="I74" s="12">
        <f ca="1">VLOOKUP($A74,[1]!LOOKUP_SARS_Unified2,I$3,FALSE)</f>
        <v>175.0817290228841</v>
      </c>
      <c r="J74" s="12">
        <f ca="1">VLOOKUP($A74,[1]!LOOKUP_SARS_Unified2,J$3,FALSE)</f>
        <v>-2170.1174476328852</v>
      </c>
      <c r="K74" s="12">
        <f ca="1">VLOOKUP($A74,[1]!LOOKUP_SARS_Unified2,K$3,FALSE)</f>
        <v>2968.2770311175686</v>
      </c>
    </row>
    <row r="75" spans="1:11" s="1" customFormat="1" x14ac:dyDescent="0.25">
      <c r="A75" s="92" t="s">
        <v>62</v>
      </c>
      <c r="B75" s="3">
        <f ca="1">VLOOKUP($A75,[1]!LOOKUP_SARS_Unified2,B$3,FALSE)</f>
        <v>-9.0000000000000011E-3</v>
      </c>
      <c r="C75" s="3"/>
      <c r="D75" s="12">
        <f ca="1">VLOOKUP($A75,[1]!LOOKUP_SARS_Unified2,D$3,FALSE)</f>
        <v>6789.3224273239757</v>
      </c>
      <c r="E75" s="12">
        <f ca="1">VLOOKUP($A75,[1]!LOOKUP_SARS_Unified2,E$3,FALSE)</f>
        <v>-36.807781585055821</v>
      </c>
      <c r="F75" s="12" t="e">
        <f ca="1">VLOOKUP($A75,[1]!LOOKUP_SARS_Unified2,F$3,FALSE)</f>
        <v>#VALUE!</v>
      </c>
      <c r="G75" s="12">
        <f ca="1">VLOOKUP($A75,[1]!LOOKUP_SARS_Unified2,G$3,FALSE)</f>
        <v>-325.74334033381234</v>
      </c>
      <c r="H75" s="12">
        <f ca="1">VLOOKUP($A75,[1]!LOOKUP_SARS_Unified2,H$3,FALSE)</f>
        <v>276.00309494860176</v>
      </c>
      <c r="I75" s="12" t="e">
        <f ca="1">VLOOKUP($A75,[1]!LOOKUP_SARS_Unified2,I$3,FALSE)</f>
        <v>#VALUE!</v>
      </c>
      <c r="J75" s="12">
        <f ca="1">VLOOKUP($A75,[1]!LOOKUP_SARS_Unified2,J$3,FALSE)</f>
        <v>6702.7744003537091</v>
      </c>
      <c r="K75" s="12">
        <f ca="1">VLOOKUP($A75,[1]!LOOKUP_SARS_Unified2,K$3,FALSE)</f>
        <v>3180.5018238089979</v>
      </c>
    </row>
    <row r="76" spans="1:11" s="1" customFormat="1" x14ac:dyDescent="0.25">
      <c r="A76" s="92" t="s">
        <v>245</v>
      </c>
      <c r="B76" s="3">
        <f ca="1">VLOOKUP($A76,[1]!LOOKUP_SARS_Unified2,B$3,FALSE)</f>
        <v>80.599999999999994</v>
      </c>
      <c r="C76" s="3"/>
      <c r="D76" s="12">
        <f ca="1">VLOOKUP($A76,[1]!LOOKUP_SARS_Unified2,D$3,FALSE)</f>
        <v>831.43757708647399</v>
      </c>
      <c r="E76" s="12">
        <f ca="1">VLOOKUP($A76,[1]!LOOKUP_SARS_Unified2,E$3,FALSE)</f>
        <v>7.6743867342743588</v>
      </c>
      <c r="F76" s="12">
        <f ca="1">VLOOKUP($A76,[1]!LOOKUP_SARS_Unified2,F$3,FALSE)</f>
        <v>3995.4775935315884</v>
      </c>
      <c r="G76" s="12">
        <f ca="1">VLOOKUP($A76,[1]!LOOKUP_SARS_Unified2,G$3,FALSE)</f>
        <v>2334.9321639029736</v>
      </c>
      <c r="H76" s="12" t="e">
        <f ca="1">VLOOKUP($A76,[1]!LOOKUP_SARS_Unified2,H$3,FALSE)</f>
        <v>#VALUE!</v>
      </c>
      <c r="I76" s="12">
        <f ca="1">VLOOKUP($A76,[1]!LOOKUP_SARS_Unified2,I$3,FALSE)</f>
        <v>620.66602713443876</v>
      </c>
      <c r="J76" s="12">
        <f ca="1">VLOOKUP($A76,[1]!LOOKUP_SARS_Unified2,J$3,FALSE)</f>
        <v>7790.1877483897488</v>
      </c>
      <c r="K76" s="12">
        <f ca="1">VLOOKUP($A76,[1]!LOOKUP_SARS_Unified2,K$3,FALSE)</f>
        <v>7798.5473482252983</v>
      </c>
    </row>
    <row r="77" spans="1:11" s="1" customFormat="1" x14ac:dyDescent="0.25">
      <c r="A77" s="92" t="s">
        <v>37</v>
      </c>
      <c r="B77" s="3">
        <f ca="1">VLOOKUP($A77,[1]!LOOKUP_SARS_Unified2,B$3,FALSE)</f>
        <v>0.85499999999999998</v>
      </c>
      <c r="C77" s="3"/>
      <c r="D77" s="12">
        <f ca="1">VLOOKUP($A77,[1]!LOOKUP_SARS_Unified2,D$3,FALSE)</f>
        <v>-1815.9517609976701</v>
      </c>
      <c r="E77" s="12">
        <f ca="1">VLOOKUP($A77,[1]!LOOKUP_SARS_Unified2,E$3,FALSE)</f>
        <v>568.589831437577</v>
      </c>
      <c r="F77" s="12" t="e">
        <f ca="1">VLOOKUP($A77,[1]!LOOKUP_SARS_Unified2,F$3,FALSE)</f>
        <v>#VALUE!</v>
      </c>
      <c r="G77" s="12">
        <f ca="1">VLOOKUP($A77,[1]!LOOKUP_SARS_Unified2,G$3,FALSE)</f>
        <v>6344.2510620803059</v>
      </c>
      <c r="H77" s="12">
        <f ca="1">VLOOKUP($A77,[1]!LOOKUP_SARS_Unified2,H$3,FALSE)</f>
        <v>2099.4929423050567</v>
      </c>
      <c r="I77" s="12" t="e">
        <f ca="1">VLOOKUP($A77,[1]!LOOKUP_SARS_Unified2,I$3,FALSE)</f>
        <v>#VALUE!</v>
      </c>
      <c r="J77" s="12">
        <f ca="1">VLOOKUP($A77,[1]!LOOKUP_SARS_Unified2,J$3,FALSE)</f>
        <v>7196.3820748252701</v>
      </c>
      <c r="K77" s="12">
        <f ca="1">VLOOKUP($A77,[1]!LOOKUP_SARS_Unified2,K$3,FALSE)</f>
        <v>12358.640537207071</v>
      </c>
    </row>
    <row r="78" spans="1:11" s="1" customFormat="1" x14ac:dyDescent="0.25">
      <c r="A78" s="92" t="s">
        <v>58</v>
      </c>
      <c r="B78" s="3">
        <f ca="1">VLOOKUP($A78,[1]!LOOKUP_SARS_Unified2,B$3,FALSE)</f>
        <v>2.6000000000000002E-2</v>
      </c>
      <c r="C78" s="3"/>
      <c r="D78" s="12">
        <f ca="1">VLOOKUP($A78,[1]!LOOKUP_SARS_Unified2,D$3,FALSE)</f>
        <v>122.1399358903504</v>
      </c>
      <c r="E78" s="12">
        <f ca="1">VLOOKUP($A78,[1]!LOOKUP_SARS_Unified2,E$3,FALSE)</f>
        <v>21.996241848126452</v>
      </c>
      <c r="F78" s="12">
        <f ca="1">VLOOKUP($A78,[1]!LOOKUP_SARS_Unified2,F$3,FALSE)</f>
        <v>82.237205703548142</v>
      </c>
      <c r="G78" s="12">
        <f ca="1">VLOOKUP($A78,[1]!LOOKUP_SARS_Unified2,G$3,FALSE)</f>
        <v>-89.974577207914237</v>
      </c>
      <c r="H78" s="12" t="e">
        <f ca="1">VLOOKUP($A78,[1]!LOOKUP_SARS_Unified2,H$3,FALSE)</f>
        <v>#VALUE!</v>
      </c>
      <c r="I78" s="12">
        <f ca="1">VLOOKUP($A78,[1]!LOOKUP_SARS_Unified2,I$3,FALSE)</f>
        <v>35.591908920084009</v>
      </c>
      <c r="J78" s="12">
        <f ca="1">VLOOKUP($A78,[1]!LOOKUP_SARS_Unified2,J$3,FALSE)</f>
        <v>171.99071515419476</v>
      </c>
      <c r="K78" s="12">
        <f ca="1">VLOOKUP($A78,[1]!LOOKUP_SARS_Unified2,K$3,FALSE)</f>
        <v>1810.8765336575661</v>
      </c>
    </row>
    <row r="79" spans="1:11" s="1" customFormat="1" x14ac:dyDescent="0.25">
      <c r="A79" s="92" t="s">
        <v>41</v>
      </c>
      <c r="B79" s="3">
        <f ca="1">VLOOKUP($A79,[1]!LOOKUP_SARS_Unified2,B$3,FALSE)</f>
        <v>0.13500000000000001</v>
      </c>
      <c r="C79" s="3"/>
      <c r="D79" s="12">
        <f ca="1">VLOOKUP($A79,[1]!LOOKUP_SARS_Unified2,D$3,FALSE)</f>
        <v>995.35757709738039</v>
      </c>
      <c r="E79" s="12">
        <f ca="1">VLOOKUP($A79,[1]!LOOKUP_SARS_Unified2,E$3,FALSE)</f>
        <v>58.140820161379466</v>
      </c>
      <c r="F79" s="12">
        <f ca="1">VLOOKUP($A79,[1]!LOOKUP_SARS_Unified2,F$3,FALSE)</f>
        <v>243.39560075163038</v>
      </c>
      <c r="G79" s="12">
        <f ca="1">VLOOKUP($A79,[1]!LOOKUP_SARS_Unified2,G$3,FALSE)</f>
        <v>1421.1340775947829</v>
      </c>
      <c r="H79" s="12" t="e">
        <f ca="1">VLOOKUP($A79,[1]!LOOKUP_SARS_Unified2,H$3,FALSE)</f>
        <v>#VALUE!</v>
      </c>
      <c r="I79" s="12">
        <f ca="1">VLOOKUP($A79,[1]!LOOKUP_SARS_Unified2,I$3,FALSE)</f>
        <v>-4.6424229026196535</v>
      </c>
      <c r="J79" s="12">
        <f ca="1">VLOOKUP($A79,[1]!LOOKUP_SARS_Unified2,J$3,FALSE)</f>
        <v>2713.3856527025537</v>
      </c>
      <c r="K79" s="12">
        <f ca="1">VLOOKUP($A79,[1]!LOOKUP_SARS_Unified2,K$3,FALSE)</f>
        <v>11746.435282414061</v>
      </c>
    </row>
    <row r="80" spans="1:11" s="1" customFormat="1" x14ac:dyDescent="0.25">
      <c r="A80" s="92" t="s">
        <v>44</v>
      </c>
      <c r="B80" s="3">
        <f ca="1">VLOOKUP($A80,[1]!LOOKUP_SARS_Unified2,B$3,FALSE)</f>
        <v>0.13500000000000001</v>
      </c>
      <c r="C80" s="3"/>
      <c r="D80" s="12">
        <f ca="1">VLOOKUP($A80,[1]!LOOKUP_SARS_Unified2,D$3,FALSE)</f>
        <v>760.79734219269108</v>
      </c>
      <c r="E80" s="12">
        <f ca="1">VLOOKUP($A80,[1]!LOOKUP_SARS_Unified2,E$3,FALSE)</f>
        <v>161.86046511627907</v>
      </c>
      <c r="F80" s="12">
        <f ca="1">VLOOKUP($A80,[1]!LOOKUP_SARS_Unified2,F$3,FALSE)</f>
        <v>-6.2458471760797352</v>
      </c>
      <c r="G80" s="12">
        <f ca="1">VLOOKUP($A80,[1]!LOOKUP_SARS_Unified2,G$3,FALSE)</f>
        <v>620.9966777408639</v>
      </c>
      <c r="H80" s="12" t="e">
        <f ca="1">VLOOKUP($A80,[1]!LOOKUP_SARS_Unified2,H$3,FALSE)</f>
        <v>#VALUE!</v>
      </c>
      <c r="I80" s="12">
        <f ca="1">VLOOKUP($A80,[1]!LOOKUP_SARS_Unified2,I$3,FALSE)</f>
        <v>268.70431893687709</v>
      </c>
      <c r="J80" s="12">
        <f ca="1">VLOOKUP($A80,[1]!LOOKUP_SARS_Unified2,J$3,FALSE)</f>
        <v>1806.1129568106312</v>
      </c>
      <c r="K80" s="12">
        <f ca="1">VLOOKUP($A80,[1]!LOOKUP_SARS_Unified2,K$3,FALSE)</f>
        <v>7003.4551495016622</v>
      </c>
    </row>
    <row r="81" spans="1:11" s="1" customFormat="1" x14ac:dyDescent="0.25">
      <c r="A81" s="92" t="s">
        <v>183</v>
      </c>
      <c r="B81" s="3">
        <f ca="1">VLOOKUP($A81,[1]!LOOKUP_SARS_Unified2,B$3,FALSE)</f>
        <v>0.14699999999999999</v>
      </c>
      <c r="C81" s="3"/>
      <c r="D81" s="12">
        <f ca="1">VLOOKUP($A81,[1]!LOOKUP_SARS_Unified2,D$3,FALSE)</f>
        <v>746.94272914396402</v>
      </c>
      <c r="E81" s="12">
        <f ca="1">VLOOKUP($A81,[1]!LOOKUP_SARS_Unified2,E$3,FALSE)</f>
        <v>-3.3902409492674654</v>
      </c>
      <c r="F81" s="12">
        <f ca="1">VLOOKUP($A81,[1]!LOOKUP_SARS_Unified2,F$3,FALSE)</f>
        <v>657.58566412398591</v>
      </c>
      <c r="G81" s="12">
        <f ca="1">VLOOKUP($A81,[1]!LOOKUP_SARS_Unified2,G$3,FALSE)</f>
        <v>-284.4169996367599</v>
      </c>
      <c r="H81" s="12" t="e">
        <f ca="1">VLOOKUP($A81,[1]!LOOKUP_SARS_Unified2,H$3,FALSE)</f>
        <v>#VALUE!</v>
      </c>
      <c r="I81" s="12">
        <f ca="1">VLOOKUP($A81,[1]!LOOKUP_SARS_Unified2,I$3,FALSE)</f>
        <v>64.172417968277031</v>
      </c>
      <c r="J81" s="12">
        <f ca="1">VLOOKUP($A81,[1]!LOOKUP_SARS_Unified2,J$3,FALSE)</f>
        <v>1180.8935706501995</v>
      </c>
      <c r="K81" s="12">
        <f ca="1">VLOOKUP($A81,[1]!LOOKUP_SARS_Unified2,K$3,FALSE)</f>
        <v>2209.468458651168</v>
      </c>
    </row>
    <row r="82" spans="1:11" s="1" customFormat="1" x14ac:dyDescent="0.25">
      <c r="A82" s="92" t="s">
        <v>66</v>
      </c>
      <c r="B82" s="3">
        <f ca="1">VLOOKUP($A82,[1]!LOOKUP_SARS_Unified2,B$3,FALSE)</f>
        <v>-20</v>
      </c>
      <c r="C82" s="3"/>
      <c r="D82" s="12" t="e">
        <f ca="1">VLOOKUP($A82,[1]!LOOKUP_SARS_Unified2,D$3,FALSE)</f>
        <v>#VALUE!</v>
      </c>
      <c r="E82" s="12">
        <f ca="1">VLOOKUP($A82,[1]!LOOKUP_SARS_Unified2,E$3,FALSE)</f>
        <v>224.79423868312756</v>
      </c>
      <c r="F82" s="12">
        <f ca="1">VLOOKUP($A82,[1]!LOOKUP_SARS_Unified2,F$3,FALSE)</f>
        <v>-372.55658436213986</v>
      </c>
      <c r="G82" s="12">
        <f ca="1">VLOOKUP($A82,[1]!LOOKUP_SARS_Unified2,G$3,FALSE)</f>
        <v>-225.69444444444443</v>
      </c>
      <c r="H82" s="12" t="e">
        <f ca="1">VLOOKUP($A82,[1]!LOOKUP_SARS_Unified2,H$3,FALSE)</f>
        <v>#VALUE!</v>
      </c>
      <c r="I82" s="12" t="e">
        <f ca="1">VLOOKUP($A82,[1]!LOOKUP_SARS_Unified2,I$3,FALSE)</f>
        <v>#VALUE!</v>
      </c>
      <c r="J82" s="12">
        <f ca="1">VLOOKUP($A82,[1]!LOOKUP_SARS_Unified2,J$3,FALSE)</f>
        <v>-373.45679012345676</v>
      </c>
      <c r="K82" s="12">
        <f ca="1">VLOOKUP($A82,[1]!LOOKUP_SARS_Unified2,K$3,FALSE)</f>
        <v>1863.8117283950614</v>
      </c>
    </row>
    <row r="83" spans="1:11" s="1" customFormat="1" x14ac:dyDescent="0.25">
      <c r="A83" s="92" t="s">
        <v>65</v>
      </c>
      <c r="B83" s="3">
        <f ca="1">VLOOKUP($A83,[1]!LOOKUP_SARS_Unified2,B$3,FALSE)</f>
        <v>0.04</v>
      </c>
      <c r="C83" s="3"/>
      <c r="D83" s="12" t="e">
        <f ca="1">VLOOKUP($A83,[1]!LOOKUP_SARS_Unified2,D$3,FALSE)</f>
        <v>#VALUE!</v>
      </c>
      <c r="E83" s="12">
        <f ca="1">VLOOKUP($A83,[1]!LOOKUP_SARS_Unified2,E$3,FALSE)</f>
        <v>2.9512454255695904</v>
      </c>
      <c r="F83" s="12" t="e">
        <f ca="1">VLOOKUP($A83,[1]!LOOKUP_SARS_Unified2,F$3,FALSE)</f>
        <v>#VALUE!</v>
      </c>
      <c r="G83" s="12">
        <f ca="1">VLOOKUP($A83,[1]!LOOKUP_SARS_Unified2,G$3,FALSE)</f>
        <v>271.75067878644791</v>
      </c>
      <c r="H83" s="12" t="e">
        <f ca="1">VLOOKUP($A83,[1]!LOOKUP_SARS_Unified2,H$3,FALSE)</f>
        <v>#VALUE!</v>
      </c>
      <c r="I83" s="12" t="e">
        <f ca="1">VLOOKUP($A83,[1]!LOOKUP_SARS_Unified2,I$3,FALSE)</f>
        <v>#VALUE!</v>
      </c>
      <c r="J83" s="12">
        <f ca="1">VLOOKUP($A83,[1]!LOOKUP_SARS_Unified2,J$3,FALSE)</f>
        <v>274.70192421201745</v>
      </c>
      <c r="K83" s="12">
        <f ca="1">VLOOKUP($A83,[1]!LOOKUP_SARS_Unified2,K$3,FALSE)</f>
        <v>6810.1758942273636</v>
      </c>
    </row>
    <row r="84" spans="1:11" s="1" customFormat="1" x14ac:dyDescent="0.25">
      <c r="A84" s="92" t="s">
        <v>46</v>
      </c>
      <c r="B84" s="3">
        <f ca="1">VLOOKUP($A84,[1]!LOOKUP_SARS_Unified2,B$3,FALSE)</f>
        <v>3.9E-2</v>
      </c>
      <c r="C84" s="3"/>
      <c r="D84" s="12">
        <f ca="1">VLOOKUP($A84,[1]!LOOKUP_SARS_Unified2,D$3,FALSE)</f>
        <v>-8.3457185320681369</v>
      </c>
      <c r="E84" s="12">
        <f ca="1">VLOOKUP($A84,[1]!LOOKUP_SARS_Unified2,E$3,FALSE)</f>
        <v>13.376014633588658</v>
      </c>
      <c r="F84" s="12" t="e">
        <f ca="1">VLOOKUP($A84,[1]!LOOKUP_SARS_Unified2,F$3,FALSE)</f>
        <v>#VALUE!</v>
      </c>
      <c r="G84" s="12">
        <f ca="1">VLOOKUP($A84,[1]!LOOKUP_SARS_Unified2,G$3,FALSE)</f>
        <v>93.060477878129646</v>
      </c>
      <c r="H84" s="12" t="e">
        <f ca="1">VLOOKUP($A84,[1]!LOOKUP_SARS_Unified2,H$3,FALSE)</f>
        <v>#VALUE!</v>
      </c>
      <c r="I84" s="12">
        <f ca="1">VLOOKUP($A84,[1]!LOOKUP_SARS_Unified2,I$3,FALSE)</f>
        <v>-46.072939293472039</v>
      </c>
      <c r="J84" s="12">
        <f ca="1">VLOOKUP($A84,[1]!LOOKUP_SARS_Unified2,J$3,FALSE)</f>
        <v>52.017834686178119</v>
      </c>
      <c r="K84" s="12">
        <f ca="1">VLOOKUP($A84,[1]!LOOKUP_SARS_Unified2,K$3,FALSE)</f>
        <v>1569.9096833199953</v>
      </c>
    </row>
    <row r="85" spans="1:11" s="1" customFormat="1" x14ac:dyDescent="0.25">
      <c r="A85" s="92" t="s">
        <v>63</v>
      </c>
      <c r="B85" s="3">
        <f ca="1">VLOOKUP($A85,[1]!LOOKUP_SARS_Unified2,B$3,FALSE)</f>
        <v>0.23800000000000002</v>
      </c>
      <c r="C85" s="3"/>
      <c r="D85" s="12">
        <f ca="1">VLOOKUP($A85,[1]!LOOKUP_SARS_Unified2,D$3,FALSE)</f>
        <v>25.720164609053494</v>
      </c>
      <c r="E85" s="12" t="e">
        <f ca="1">VLOOKUP($A85,[1]!LOOKUP_SARS_Unified2,E$3,FALSE)</f>
        <v>#VALUE!</v>
      </c>
      <c r="F85" s="12">
        <f ca="1">VLOOKUP($A85,[1]!LOOKUP_SARS_Unified2,F$3,FALSE)</f>
        <v>827.54629629629619</v>
      </c>
      <c r="G85" s="12">
        <f ca="1">VLOOKUP($A85,[1]!LOOKUP_SARS_Unified2,G$3,FALSE)</f>
        <v>690.45781893004107</v>
      </c>
      <c r="H85" s="12" t="e">
        <f ca="1">VLOOKUP($A85,[1]!LOOKUP_SARS_Unified2,H$3,FALSE)</f>
        <v>#VALUE!</v>
      </c>
      <c r="I85" s="12">
        <f ca="1">VLOOKUP($A85,[1]!LOOKUP_SARS_Unified2,I$3,FALSE)</f>
        <v>269.93312757201642</v>
      </c>
      <c r="J85" s="12">
        <f ca="1">VLOOKUP($A85,[1]!LOOKUP_SARS_Unified2,J$3,FALSE)</f>
        <v>1813.6574074074072</v>
      </c>
      <c r="K85" s="12">
        <f ca="1">VLOOKUP($A85,[1]!LOOKUP_SARS_Unified2,K$3,FALSE)</f>
        <v>7476.0802469135788</v>
      </c>
    </row>
    <row r="86" spans="1:11" s="1" customFormat="1" x14ac:dyDescent="0.25">
      <c r="A86" s="92" t="s">
        <v>71</v>
      </c>
      <c r="B86" s="3">
        <f ca="1">VLOOKUP($A86,[1]!LOOKUP_SARS_Unified2,B$3,FALSE)</f>
        <v>4.9000000000000002E-2</v>
      </c>
      <c r="C86" s="3"/>
      <c r="D86" s="12">
        <f ca="1">VLOOKUP($A86,[1]!LOOKUP_SARS_Unified2,D$3,FALSE)</f>
        <v>-69.097651421508033</v>
      </c>
      <c r="E86" s="12">
        <f ca="1">VLOOKUP($A86,[1]!LOOKUP_SARS_Unified2,E$3,FALSE)</f>
        <v>-0.8652657601977749</v>
      </c>
      <c r="F86" s="12" t="e">
        <f ca="1">VLOOKUP($A86,[1]!LOOKUP_SARS_Unified2,F$3,FALSE)</f>
        <v>#VALUE!</v>
      </c>
      <c r="G86" s="12">
        <f ca="1">VLOOKUP($A86,[1]!LOOKUP_SARS_Unified2,G$3,FALSE)</f>
        <v>89.493201483312731</v>
      </c>
      <c r="H86" s="12" t="e">
        <f ca="1">VLOOKUP($A86,[1]!LOOKUP_SARS_Unified2,H$3,FALSE)</f>
        <v>#VALUE!</v>
      </c>
      <c r="I86" s="12" t="e">
        <f ca="1">VLOOKUP($A86,[1]!LOOKUP_SARS_Unified2,I$3,FALSE)</f>
        <v>#VALUE!</v>
      </c>
      <c r="J86" s="12">
        <f ca="1">VLOOKUP($A86,[1]!LOOKUP_SARS_Unified2,J$3,FALSE)</f>
        <v>19.530284301606923</v>
      </c>
      <c r="K86" s="12">
        <f ca="1">VLOOKUP($A86,[1]!LOOKUP_SARS_Unified2,K$3,FALSE)</f>
        <v>1876.2669962917182</v>
      </c>
    </row>
    <row r="87" spans="1:11" s="1" customFormat="1" x14ac:dyDescent="0.25">
      <c r="A87" s="92" t="s">
        <v>69</v>
      </c>
      <c r="B87" s="3">
        <f ca="1">VLOOKUP($A87,[1]!LOOKUP_SARS_Unified2,B$3,FALSE)</f>
        <v>2.7370000000000001</v>
      </c>
      <c r="C87" s="3"/>
      <c r="D87" s="12">
        <f ca="1">VLOOKUP($A87,[1]!LOOKUP_SARS_Unified2,D$3,FALSE)</f>
        <v>-5906.7985166872686</v>
      </c>
      <c r="E87" s="12">
        <f ca="1">VLOOKUP($A87,[1]!LOOKUP_SARS_Unified2,E$3,FALSE)</f>
        <v>843.2632880098887</v>
      </c>
      <c r="F87" s="12">
        <f ca="1">VLOOKUP($A87,[1]!LOOKUP_SARS_Unified2,F$3,FALSE)</f>
        <v>-836.95920889987633</v>
      </c>
      <c r="G87" s="12">
        <f ca="1">VLOOKUP($A87,[1]!LOOKUP_SARS_Unified2,G$3,FALSE)</f>
        <v>2562.5463535228673</v>
      </c>
      <c r="H87" s="12" t="e">
        <f ca="1">VLOOKUP($A87,[1]!LOOKUP_SARS_Unified2,H$3,FALSE)</f>
        <v>#VALUE!</v>
      </c>
      <c r="I87" s="12" t="e">
        <f ca="1">VLOOKUP($A87,[1]!LOOKUP_SARS_Unified2,I$3,FALSE)</f>
        <v>#VALUE!</v>
      </c>
      <c r="J87" s="12">
        <f ca="1">VLOOKUP($A87,[1]!LOOKUP_SARS_Unified2,J$3,FALSE)</f>
        <v>-3337.9480840543879</v>
      </c>
      <c r="K87" s="12">
        <f ca="1">VLOOKUP($A87,[1]!LOOKUP_SARS_Unified2,K$3,FALSE)</f>
        <v>6845.4882571075395</v>
      </c>
    </row>
    <row r="88" spans="1:11" s="1" customFormat="1" x14ac:dyDescent="0.25">
      <c r="A88" s="92" t="s">
        <v>72</v>
      </c>
      <c r="B88" s="3">
        <f ca="1">VLOOKUP($A88,[1]!LOOKUP_SARS_Unified2,B$3,FALSE)</f>
        <v>-1.6E-2</v>
      </c>
      <c r="C88" s="3"/>
      <c r="D88" s="12" t="e">
        <f ca="1">VLOOKUP($A88,[1]!LOOKUP_SARS_Unified2,D$3,FALSE)</f>
        <v>#VALUE!</v>
      </c>
      <c r="E88" s="12">
        <f ca="1">VLOOKUP($A88,[1]!LOOKUP_SARS_Unified2,E$3,FALSE)</f>
        <v>150.51885338538992</v>
      </c>
      <c r="F88" s="12">
        <f ca="1">VLOOKUP($A88,[1]!LOOKUP_SARS_Unified2,F$3,FALSE)</f>
        <v>-233.43265180314395</v>
      </c>
      <c r="G88" s="12">
        <f ca="1">VLOOKUP($A88,[1]!LOOKUP_SARS_Unified2,G$3,FALSE)</f>
        <v>170.14281311003802</v>
      </c>
      <c r="H88" s="12" t="e">
        <f ca="1">VLOOKUP($A88,[1]!LOOKUP_SARS_Unified2,H$3,FALSE)</f>
        <v>#VALUE!</v>
      </c>
      <c r="I88" s="12">
        <f ca="1">VLOOKUP($A88,[1]!LOOKUP_SARS_Unified2,I$3,FALSE)</f>
        <v>-626.22007603000111</v>
      </c>
      <c r="J88" s="12">
        <f ca="1">VLOOKUP($A88,[1]!LOOKUP_SARS_Unified2,J$3,FALSE)</f>
        <v>-538.99106133771716</v>
      </c>
      <c r="K88" s="12">
        <f ca="1">VLOOKUP($A88,[1]!LOOKUP_SARS_Unified2,K$3,FALSE)</f>
        <v>33233.227165313881</v>
      </c>
    </row>
    <row r="89" spans="1:11" s="1" customFormat="1" x14ac:dyDescent="0.25">
      <c r="A89" s="92" t="s">
        <v>251</v>
      </c>
      <c r="B89" s="3">
        <f ca="1">VLOOKUP($A89,[1]!LOOKUP_SARS_Unified2,B$3,FALSE)</f>
        <v>5.6</v>
      </c>
      <c r="C89" s="3"/>
      <c r="D89" s="12">
        <f ca="1">VLOOKUP($A89,[1]!LOOKUP_SARS_Unified2,D$3,FALSE)</f>
        <v>716.81087762669961</v>
      </c>
      <c r="E89" s="12">
        <f ca="1">VLOOKUP($A89,[1]!LOOKUP_SARS_Unified2,E$3,FALSE)</f>
        <v>124.59826946847959</v>
      </c>
      <c r="F89" s="12" t="e">
        <f ca="1">VLOOKUP($A89,[1]!LOOKUP_SARS_Unified2,F$3,FALSE)</f>
        <v>#VALUE!</v>
      </c>
      <c r="G89" s="12">
        <f ca="1">VLOOKUP($A89,[1]!LOOKUP_SARS_Unified2,G$3,FALSE)</f>
        <v>544.99381953028421</v>
      </c>
      <c r="H89" s="12" t="e">
        <f ca="1">VLOOKUP($A89,[1]!LOOKUP_SARS_Unified2,H$3,FALSE)</f>
        <v>#VALUE!</v>
      </c>
      <c r="I89" s="12" t="e">
        <f ca="1">VLOOKUP($A89,[1]!LOOKUP_SARS_Unified2,I$3,FALSE)</f>
        <v>#VALUE!</v>
      </c>
      <c r="J89" s="12">
        <f ca="1">VLOOKUP($A89,[1]!LOOKUP_SARS_Unified2,J$3,FALSE)</f>
        <v>1386.4029666254633</v>
      </c>
      <c r="K89" s="12">
        <f ca="1">VLOOKUP($A89,[1]!LOOKUP_SARS_Unified2,K$3,FALSE)</f>
        <v>11228.67737948084</v>
      </c>
    </row>
    <row r="90" spans="1:11" s="1" customFormat="1" x14ac:dyDescent="0.25">
      <c r="A90" s="153" t="s">
        <v>253</v>
      </c>
      <c r="B90" s="3">
        <f ca="1">VLOOKUP($A90,[1]!LOOKUP_SARS_Unified2,B$3,FALSE)</f>
        <v>-4.0999999999999995E-2</v>
      </c>
      <c r="C90" s="3"/>
      <c r="D90" s="12" t="e">
        <f ca="1">VLOOKUP($A90,[1]!LOOKUP_SARS_Unified2,D$3,FALSE)</f>
        <v>#VALUE!</v>
      </c>
      <c r="E90" s="12" t="e">
        <f ca="1">VLOOKUP($A90,[1]!LOOKUP_SARS_Unified2,E$3,FALSE)</f>
        <v>#VALUE!</v>
      </c>
      <c r="F90" s="12" t="e">
        <f ca="1">VLOOKUP($A90,[1]!LOOKUP_SARS_Unified2,F$3,FALSE)</f>
        <v>#VALUE!</v>
      </c>
      <c r="G90" s="12">
        <f ca="1">VLOOKUP($A90,[1]!LOOKUP_SARS_Unified2,G$3,FALSE)</f>
        <v>-1002.1248967064101</v>
      </c>
      <c r="H90" s="12" t="e">
        <f ca="1">VLOOKUP($A90,[1]!LOOKUP_SARS_Unified2,H$3,FALSE)</f>
        <v>#VALUE!</v>
      </c>
      <c r="I90" s="12">
        <f ca="1">VLOOKUP($A90,[1]!LOOKUP_SARS_Unified2,I$3,FALSE)</f>
        <v>-92.314956911816793</v>
      </c>
      <c r="J90" s="12">
        <f ca="1">VLOOKUP($A90,[1]!LOOKUP_SARS_Unified2,J$3,FALSE)</f>
        <v>-1094.4398536182271</v>
      </c>
      <c r="K90" s="12">
        <f ca="1">VLOOKUP($A90,[1]!LOOKUP_SARS_Unified2,K$3,FALSE)</f>
        <v>26857.986070121595</v>
      </c>
    </row>
    <row r="91" spans="1:11" s="1" customFormat="1" x14ac:dyDescent="0.25">
      <c r="A91" s="92" t="s">
        <v>246</v>
      </c>
      <c r="B91" s="3" t="str">
        <f ca="1">VLOOKUP($A91,[1]!LOOKUP_SARS_Unified2,B$3,FALSE)</f>
        <v/>
      </c>
      <c r="C91" s="3"/>
      <c r="D91" s="12" t="e">
        <f ca="1">VLOOKUP($A91,[1]!LOOKUP_SARS_Unified2,D$3,FALSE)</f>
        <v>#VALUE!</v>
      </c>
      <c r="E91" s="12" t="e">
        <f ca="1">VLOOKUP($A91,[1]!LOOKUP_SARS_Unified2,E$3,FALSE)</f>
        <v>#VALUE!</v>
      </c>
      <c r="F91" s="12" t="e">
        <f ca="1">VLOOKUP($A91,[1]!LOOKUP_SARS_Unified2,F$3,FALSE)</f>
        <v>#VALUE!</v>
      </c>
      <c r="G91" s="12" t="e">
        <f ca="1">VLOOKUP($A91,[1]!LOOKUP_SARS_Unified2,G$3,FALSE)</f>
        <v>#VALUE!</v>
      </c>
      <c r="H91" s="12" t="e">
        <f ca="1">VLOOKUP($A91,[1]!LOOKUP_SARS_Unified2,H$3,FALSE)</f>
        <v>#VALUE!</v>
      </c>
      <c r="I91" s="12" t="e">
        <f ca="1">VLOOKUP($A91,[1]!LOOKUP_SARS_Unified2,I$3,FALSE)</f>
        <v>#VALUE!</v>
      </c>
      <c r="J91" s="12" t="e">
        <f ca="1">VLOOKUP($A91,[1]!LOOKUP_SARS_Unified2,J$3,FALSE)</f>
        <v>#VALUE!</v>
      </c>
      <c r="K91" s="12" t="e">
        <f ca="1">VLOOKUP($A91,[1]!LOOKUP_SARS_Unified2,K$3,FALSE)</f>
        <v>#VALUE!</v>
      </c>
    </row>
    <row r="92" spans="1:11" s="1" customFormat="1" x14ac:dyDescent="0.25">
      <c r="A92" s="92" t="s">
        <v>247</v>
      </c>
      <c r="B92" s="3">
        <f ca="1">VLOOKUP($A92,[1]!LOOKUP_SARS_Unified2,B$3,FALSE)</f>
        <v>5.7000000000000002E-2</v>
      </c>
      <c r="C92" s="3"/>
      <c r="D92" s="12">
        <f ca="1">VLOOKUP($A92,[1]!LOOKUP_SARS_Unified2,D$3,FALSE)</f>
        <v>175.70544424630231</v>
      </c>
      <c r="E92" s="12">
        <f ca="1">VLOOKUP($A92,[1]!LOOKUP_SARS_Unified2,E$3,FALSE)</f>
        <v>-0.73429140879051713</v>
      </c>
      <c r="F92" s="12">
        <f ca="1">VLOOKUP($A92,[1]!LOOKUP_SARS_Unified2,F$3,FALSE)</f>
        <v>85.387600965068714</v>
      </c>
      <c r="G92" s="12">
        <f ca="1">VLOOKUP($A92,[1]!LOOKUP_SARS_Unified2,G$3,FALSE)</f>
        <v>-179.27200251757054</v>
      </c>
      <c r="H92" s="12" t="e">
        <f ca="1">VLOOKUP($A92,[1]!LOOKUP_SARS_Unified2,H$3,FALSE)</f>
        <v>#VALUE!</v>
      </c>
      <c r="I92" s="12">
        <f ca="1">VLOOKUP($A92,[1]!LOOKUP_SARS_Unified2,I$3,FALSE)</f>
        <v>742.57841183258154</v>
      </c>
      <c r="J92" s="12">
        <f ca="1">VLOOKUP($A92,[1]!LOOKUP_SARS_Unified2,J$3,FALSE)</f>
        <v>823.66516311759153</v>
      </c>
      <c r="K92" s="12">
        <f ca="1">VLOOKUP($A92,[1]!LOOKUP_SARS_Unified2,K$3,FALSE)</f>
        <v>11277.981747613552</v>
      </c>
    </row>
    <row r="93" spans="1:11" s="1" customFormat="1" x14ac:dyDescent="0.25">
      <c r="A93" s="92" t="s">
        <v>50</v>
      </c>
      <c r="B93" s="3">
        <f ca="1">VLOOKUP($A93,[1]!LOOKUP_SARS_Unified2,B$3,FALSE)</f>
        <v>-1.1000000000000001E-2</v>
      </c>
      <c r="C93" s="3"/>
      <c r="D93" s="12" t="e">
        <f ca="1">VLOOKUP($A93,[1]!LOOKUP_SARS_Unified2,D$3,FALSE)</f>
        <v>#VALUE!</v>
      </c>
      <c r="E93" s="12" t="e">
        <f ca="1">VLOOKUP($A93,[1]!LOOKUP_SARS_Unified2,E$3,FALSE)</f>
        <v>#VALUE!</v>
      </c>
      <c r="F93" s="12" t="e">
        <f ca="1">VLOOKUP($A93,[1]!LOOKUP_SARS_Unified2,F$3,FALSE)</f>
        <v>#VALUE!</v>
      </c>
      <c r="G93" s="12">
        <f ca="1">VLOOKUP($A93,[1]!LOOKUP_SARS_Unified2,G$3,FALSE)</f>
        <v>-14.258870343760364</v>
      </c>
      <c r="H93" s="12" t="e">
        <f ca="1">VLOOKUP($A93,[1]!LOOKUP_SARS_Unified2,H$3,FALSE)</f>
        <v>#VALUE!</v>
      </c>
      <c r="I93" s="12">
        <f ca="1">VLOOKUP($A93,[1]!LOOKUP_SARS_Unified2,I$3,FALSE)</f>
        <v>-1.3264065436056152</v>
      </c>
      <c r="J93" s="12">
        <f ca="1">VLOOKUP($A93,[1]!LOOKUP_SARS_Unified2,J$3,FALSE)</f>
        <v>-15.585276887365978</v>
      </c>
      <c r="K93" s="12">
        <f ca="1">VLOOKUP($A93,[1]!LOOKUP_SARS_Unified2,K$3,FALSE)</f>
        <v>1414.3915109981208</v>
      </c>
    </row>
    <row r="94" spans="1:11" s="1" customFormat="1" x14ac:dyDescent="0.25">
      <c r="A94" s="92" t="s">
        <v>248</v>
      </c>
      <c r="B94" s="3">
        <f ca="1">VLOOKUP($A94,[1]!LOOKUP_SARS_Unified2,B$3,FALSE)</f>
        <v>0.99199999999999999</v>
      </c>
      <c r="C94" s="3"/>
      <c r="D94" s="12">
        <f ca="1">VLOOKUP($A94,[1]!LOOKUP_SARS_Unified2,D$3,FALSE)</f>
        <v>-523.14814814814815</v>
      </c>
      <c r="E94" s="12">
        <f ca="1">VLOOKUP($A94,[1]!LOOKUP_SARS_Unified2,E$3,FALSE)</f>
        <v>70.859053497942384</v>
      </c>
      <c r="F94" s="12">
        <f ca="1">VLOOKUP($A94,[1]!LOOKUP_SARS_Unified2,F$3,FALSE)</f>
        <v>2784.7222222222222</v>
      </c>
      <c r="G94" s="12">
        <f ca="1">VLOOKUP($A94,[1]!LOOKUP_SARS_Unified2,G$3,FALSE)</f>
        <v>1260.0308641975307</v>
      </c>
      <c r="H94" s="12" t="e">
        <f ca="1">VLOOKUP($A94,[1]!LOOKUP_SARS_Unified2,H$3,FALSE)</f>
        <v>#VALUE!</v>
      </c>
      <c r="I94" s="12">
        <f ca="1">VLOOKUP($A94,[1]!LOOKUP_SARS_Unified2,I$3,FALSE)</f>
        <v>914.48045267489704</v>
      </c>
      <c r="J94" s="12">
        <f ca="1">VLOOKUP($A94,[1]!LOOKUP_SARS_Unified2,J$3,FALSE)</f>
        <v>4506.9444444444443</v>
      </c>
      <c r="K94" s="12">
        <f ca="1">VLOOKUP($A94,[1]!LOOKUP_SARS_Unified2,K$3,FALSE)</f>
        <v>5594.5216049382716</v>
      </c>
    </row>
    <row r="95" spans="1:11" s="1" customFormat="1" x14ac:dyDescent="0.25">
      <c r="A95" s="92" t="s">
        <v>64</v>
      </c>
      <c r="B95" s="3">
        <f ca="1">VLOOKUP($A95,[1]!LOOKUP_SARS_Unified2,B$3,FALSE)</f>
        <v>1.7519999999999998</v>
      </c>
      <c r="C95" s="3"/>
      <c r="D95" s="12">
        <f ca="1">VLOOKUP($A95,[1]!LOOKUP_SARS_Unified2,D$3,FALSE)</f>
        <v>1884.3413884620757</v>
      </c>
      <c r="E95" s="12">
        <f ca="1">VLOOKUP($A95,[1]!LOOKUP_SARS_Unified2,E$3,FALSE)</f>
        <v>421.14820505657218</v>
      </c>
      <c r="F95" s="12">
        <f ca="1">VLOOKUP($A95,[1]!LOOKUP_SARS_Unified2,F$3,FALSE)</f>
        <v>633.88741444335801</v>
      </c>
      <c r="G95" s="12">
        <f ca="1">VLOOKUP($A95,[1]!LOOKUP_SARS_Unified2,G$3,FALSE)</f>
        <v>10148.763793825954</v>
      </c>
      <c r="H95" s="12" t="e">
        <f ca="1">VLOOKUP($A95,[1]!LOOKUP_SARS_Unified2,H$3,FALSE)</f>
        <v>#VALUE!</v>
      </c>
      <c r="I95" s="12">
        <f ca="1">VLOOKUP($A95,[1]!LOOKUP_SARS_Unified2,I$3,FALSE)</f>
        <v>1103.6457605810867</v>
      </c>
      <c r="J95" s="12">
        <f ca="1">VLOOKUP($A95,[1]!LOOKUP_SARS_Unified2,J$3,FALSE)</f>
        <v>14191.786562369045</v>
      </c>
      <c r="K95" s="12">
        <f ca="1">VLOOKUP($A95,[1]!LOOKUP_SARS_Unified2,K$3,FALSE)</f>
        <v>5139.6843134515993</v>
      </c>
    </row>
    <row r="96" spans="1:11" s="1" customFormat="1" x14ac:dyDescent="0.25">
      <c r="A96" s="92" t="s">
        <v>79</v>
      </c>
      <c r="B96" s="3">
        <f ca="1">VLOOKUP($A96,[1]!LOOKUP_SARS_Unified2,B$3,FALSE)</f>
        <v>0.114</v>
      </c>
      <c r="C96" s="3"/>
      <c r="D96" s="12" t="e">
        <f ca="1">VLOOKUP($A96,[1]!LOOKUP_SARS_Unified2,D$3,FALSE)</f>
        <v>#VALUE!</v>
      </c>
      <c r="E96" s="12">
        <f ca="1">VLOOKUP($A96,[1]!LOOKUP_SARS_Unified2,E$3,FALSE)</f>
        <v>105.16149801480846</v>
      </c>
      <c r="F96" s="12" t="e">
        <f ca="1">VLOOKUP($A96,[1]!LOOKUP_SARS_Unified2,F$3,FALSE)</f>
        <v>#VALUE!</v>
      </c>
      <c r="G96" s="12">
        <f ca="1">VLOOKUP($A96,[1]!LOOKUP_SARS_Unified2,G$3,FALSE)</f>
        <v>-6.1165361090245742</v>
      </c>
      <c r="H96" s="12" t="e">
        <f ca="1">VLOOKUP($A96,[1]!LOOKUP_SARS_Unified2,H$3,FALSE)</f>
        <v>#VALUE!</v>
      </c>
      <c r="I96" s="12" t="e">
        <f ca="1">VLOOKUP($A96,[1]!LOOKUP_SARS_Unified2,I$3,FALSE)</f>
        <v>#VALUE!</v>
      </c>
      <c r="J96" s="12">
        <f ca="1">VLOOKUP($A96,[1]!LOOKUP_SARS_Unified2,J$3,FALSE)</f>
        <v>99.044961905783879</v>
      </c>
      <c r="K96" s="12">
        <f ca="1">VLOOKUP($A96,[1]!LOOKUP_SARS_Unified2,K$3,FALSE)</f>
        <v>869.72851164288022</v>
      </c>
    </row>
    <row r="97" spans="1:11" s="1" customFormat="1" x14ac:dyDescent="0.25">
      <c r="A97" s="92" t="s">
        <v>67</v>
      </c>
      <c r="B97" s="3">
        <f ca="1">VLOOKUP($A97,[1]!LOOKUP_SARS_Unified2,B$3,FALSE)</f>
        <v>-3.1E-2</v>
      </c>
      <c r="C97" s="3"/>
      <c r="D97" s="12" t="e">
        <f ca="1">VLOOKUP($A97,[1]!LOOKUP_SARS_Unified2,D$3,FALSE)</f>
        <v>#VALUE!</v>
      </c>
      <c r="E97" s="12">
        <f ca="1">VLOOKUP($A97,[1]!LOOKUP_SARS_Unified2,E$3,FALSE)</f>
        <v>-4.1317435957974267</v>
      </c>
      <c r="F97" s="12" t="e">
        <f ca="1">VLOOKUP($A97,[1]!LOOKUP_SARS_Unified2,F$3,FALSE)</f>
        <v>#VALUE!</v>
      </c>
      <c r="G97" s="12">
        <f ca="1">VLOOKUP($A97,[1]!LOOKUP_SARS_Unified2,G$3,FALSE)</f>
        <v>-166.09609255105653</v>
      </c>
      <c r="H97" s="12" t="e">
        <f ca="1">VLOOKUP($A97,[1]!LOOKUP_SARS_Unified2,H$3,FALSE)</f>
        <v>#VALUE!</v>
      </c>
      <c r="I97" s="12">
        <f ca="1">VLOOKUP($A97,[1]!LOOKUP_SARS_Unified2,I$3,FALSE)</f>
        <v>-23.728013221579509</v>
      </c>
      <c r="J97" s="12">
        <f ca="1">VLOOKUP($A97,[1]!LOOKUP_SARS_Unified2,J$3,FALSE)</f>
        <v>-193.95584936843349</v>
      </c>
      <c r="K97" s="12">
        <f ca="1">VLOOKUP($A97,[1]!LOOKUP_SARS_Unified2,K$3,FALSE)</f>
        <v>6234.3288867902265</v>
      </c>
    </row>
    <row r="98" spans="1:11" s="1" customFormat="1" x14ac:dyDescent="0.25">
      <c r="A98" s="92" t="s">
        <v>75</v>
      </c>
      <c r="B98" s="3">
        <f ca="1">VLOOKUP($A98,[1]!LOOKUP_SARS_Unified2,B$3,FALSE)</f>
        <v>-3.4000000000000002E-2</v>
      </c>
      <c r="C98" s="3"/>
      <c r="D98" s="12" t="e">
        <f ca="1">VLOOKUP($A98,[1]!LOOKUP_SARS_Unified2,D$3,FALSE)</f>
        <v>#VALUE!</v>
      </c>
      <c r="E98" s="12">
        <f ca="1">VLOOKUP($A98,[1]!LOOKUP_SARS_Unified2,E$3,FALSE)</f>
        <v>181.17055454672439</v>
      </c>
      <c r="F98" s="12">
        <f ca="1">VLOOKUP($A98,[1]!LOOKUP_SARS_Unified2,F$3,FALSE)</f>
        <v>777.48288867160227</v>
      </c>
      <c r="G98" s="12">
        <f ca="1">VLOOKUP($A98,[1]!LOOKUP_SARS_Unified2,G$3,FALSE)</f>
        <v>-3765.6097220282168</v>
      </c>
      <c r="H98" s="12" t="e">
        <f ca="1">VLOOKUP($A98,[1]!LOOKUP_SARS_Unified2,H$3,FALSE)</f>
        <v>#VALUE!</v>
      </c>
      <c r="I98" s="12">
        <f ca="1">VLOOKUP($A98,[1]!LOOKUP_SARS_Unified2,I$3,FALSE)</f>
        <v>-221.67900544768821</v>
      </c>
      <c r="J98" s="12">
        <f ca="1">VLOOKUP($A98,[1]!LOOKUP_SARS_Unified2,J$3,FALSE)</f>
        <v>-3028.6352842575775</v>
      </c>
      <c r="K98" s="12">
        <f ca="1">VLOOKUP($A98,[1]!LOOKUP_SARS_Unified2,K$3,FALSE)</f>
        <v>89891.884341388461</v>
      </c>
    </row>
    <row r="99" spans="1:11" x14ac:dyDescent="0.25">
      <c r="A99" s="92" t="s">
        <v>40</v>
      </c>
      <c r="B99" s="3">
        <f ca="1">VLOOKUP($A99,[1]!LOOKUP_SARS_Unified2,B$3,FALSE)</f>
        <v>0.02</v>
      </c>
      <c r="C99" s="3"/>
      <c r="D99" s="12">
        <f ca="1">VLOOKUP($A99,[1]!LOOKUP_SARS_Unified2,D$3,FALSE)</f>
        <v>7290.0484004249793</v>
      </c>
      <c r="E99" s="12">
        <f ca="1">VLOOKUP($A99,[1]!LOOKUP_SARS_Unified2,E$3,FALSE)</f>
        <v>-110.49462873332546</v>
      </c>
      <c r="F99" s="12">
        <f ca="1">VLOOKUP($A99,[1]!LOOKUP_SARS_Unified2,F$3,FALSE)</f>
        <v>2775.1150985715976</v>
      </c>
      <c r="G99" s="12">
        <f ca="1">VLOOKUP($A99,[1]!LOOKUP_SARS_Unified2,G$3,FALSE)</f>
        <v>-5272.5770275056075</v>
      </c>
      <c r="H99" s="12" t="e">
        <f ca="1">VLOOKUP($A99,[1]!LOOKUP_SARS_Unified2,H$3,FALSE)</f>
        <v>#VALUE!</v>
      </c>
      <c r="I99" s="12">
        <f ca="1">VLOOKUP($A99,[1]!LOOKUP_SARS_Unified2,I$3,FALSE)</f>
        <v>2953.1342226419551</v>
      </c>
      <c r="J99" s="12">
        <f ca="1">VLOOKUP($A99,[1]!LOOKUP_SARS_Unified2,J$3,FALSE)</f>
        <v>7635.2260653995991</v>
      </c>
      <c r="K99" s="12">
        <f ca="1">VLOOKUP($A99,[1]!LOOKUP_SARS_Unified2,K$3,FALSE)</f>
        <v>9770.8653051587771</v>
      </c>
    </row>
    <row r="100" spans="1:11" x14ac:dyDescent="0.25">
      <c r="A100" s="92" t="s">
        <v>42</v>
      </c>
      <c r="B100" s="3">
        <f ca="1">VLOOKUP($A100,[1]!LOOKUP_SARS_Unified2,B$3,FALSE)</f>
        <v>0.32</v>
      </c>
      <c r="C100" s="3"/>
      <c r="D100" s="12">
        <f ca="1">VLOOKUP($A100,[1]!LOOKUP_SARS_Unified2,D$3,FALSE)</f>
        <v>1780.1967213114756</v>
      </c>
      <c r="E100" s="12">
        <f ca="1">VLOOKUP($A100,[1]!LOOKUP_SARS_Unified2,E$3,FALSE)</f>
        <v>359.73770491803282</v>
      </c>
      <c r="F100" s="12">
        <f ca="1">VLOOKUP($A100,[1]!LOOKUP_SARS_Unified2,F$3,FALSE)</f>
        <v>42.754098360655739</v>
      </c>
      <c r="G100" s="12">
        <f ca="1">VLOOKUP($A100,[1]!LOOKUP_SARS_Unified2,G$3,FALSE)</f>
        <v>1341.7704918032789</v>
      </c>
      <c r="H100" s="12" t="e">
        <f ca="1">VLOOKUP($A100,[1]!LOOKUP_SARS_Unified2,H$3,FALSE)</f>
        <v>#VALUE!</v>
      </c>
      <c r="I100" s="12">
        <f ca="1">VLOOKUP($A100,[1]!LOOKUP_SARS_Unified2,I$3,FALSE)</f>
        <v>75.278688524590166</v>
      </c>
      <c r="J100" s="12">
        <f ca="1">VLOOKUP($A100,[1]!LOOKUP_SARS_Unified2,J$3,FALSE)</f>
        <v>3599.7377049180332</v>
      </c>
      <c r="K100" s="12">
        <f ca="1">VLOOKUP($A100,[1]!LOOKUP_SARS_Unified2,K$3,FALSE)</f>
        <v>3904.6557377049185</v>
      </c>
    </row>
    <row r="101" spans="1:11" x14ac:dyDescent="0.25">
      <c r="A101" s="92" t="s">
        <v>52</v>
      </c>
      <c r="B101" s="3">
        <f ca="1">VLOOKUP($A101,[1]!LOOKUP_SARS_Unified2,B$3,FALSE)</f>
        <v>0.08</v>
      </c>
      <c r="C101" s="3"/>
      <c r="D101" s="12">
        <f ca="1">VLOOKUP($A101,[1]!LOOKUP_SARS_Unified2,D$3,FALSE)</f>
        <v>860.59670781892999</v>
      </c>
      <c r="E101" s="12">
        <f ca="1">VLOOKUP($A101,[1]!LOOKUP_SARS_Unified2,E$3,FALSE)</f>
        <v>17.103909465020575</v>
      </c>
      <c r="F101" s="12" t="e">
        <f ca="1">VLOOKUP($A101,[1]!LOOKUP_SARS_Unified2,F$3,FALSE)</f>
        <v>#VALUE!</v>
      </c>
      <c r="G101" s="12">
        <f ca="1">VLOOKUP($A101,[1]!LOOKUP_SARS_Unified2,G$3,FALSE)</f>
        <v>493.18415637860079</v>
      </c>
      <c r="H101" s="12" t="e">
        <f ca="1">VLOOKUP($A101,[1]!LOOKUP_SARS_Unified2,H$3,FALSE)</f>
        <v>#VALUE!</v>
      </c>
      <c r="I101" s="12" t="e">
        <f ca="1">VLOOKUP($A101,[1]!LOOKUP_SARS_Unified2,I$3,FALSE)</f>
        <v>#VALUE!</v>
      </c>
      <c r="J101" s="12">
        <f ca="1">VLOOKUP($A101,[1]!LOOKUP_SARS_Unified2,J$3,FALSE)</f>
        <v>1370.8847736625514</v>
      </c>
      <c r="K101" s="12">
        <f ca="1">VLOOKUP($A101,[1]!LOOKUP_SARS_Unified2,K$3,FALSE)</f>
        <v>5481.7386831275717</v>
      </c>
    </row>
    <row r="102" spans="1:11" x14ac:dyDescent="0.25">
      <c r="A102" s="92" t="s">
        <v>249</v>
      </c>
      <c r="B102" s="3">
        <f ca="1">VLOOKUP($A102,[1]!LOOKUP_SARS_Unified2,B$3,FALSE)</f>
        <v>0.20699999999999999</v>
      </c>
      <c r="C102" s="3"/>
      <c r="D102" s="12">
        <f ca="1">VLOOKUP($A102,[1]!LOOKUP_SARS_Unified2,D$3,FALSE)</f>
        <v>-7870.7631318136764</v>
      </c>
      <c r="E102" s="12">
        <f ca="1">VLOOKUP($A102,[1]!LOOKUP_SARS_Unified2,E$3,FALSE)</f>
        <v>-3.3696729435084238</v>
      </c>
      <c r="F102" s="12">
        <f ca="1">VLOOKUP($A102,[1]!LOOKUP_SARS_Unified2,F$3,FALSE)</f>
        <v>110.80277502477699</v>
      </c>
      <c r="G102" s="12">
        <f ca="1">VLOOKUP($A102,[1]!LOOKUP_SARS_Unified2,G$3,FALSE)</f>
        <v>7036.4717542120907</v>
      </c>
      <c r="H102" s="12" t="e">
        <f ca="1">VLOOKUP($A102,[1]!LOOKUP_SARS_Unified2,H$3,FALSE)</f>
        <v>#VALUE!</v>
      </c>
      <c r="I102" s="12">
        <f ca="1">VLOOKUP($A102,[1]!LOOKUP_SARS_Unified2,I$3,FALSE)</f>
        <v>2106.243805748265</v>
      </c>
      <c r="J102" s="12">
        <f ca="1">VLOOKUP($A102,[1]!LOOKUP_SARS_Unified2,J$3,FALSE)</f>
        <v>1379.3855302279483</v>
      </c>
      <c r="K102" s="12">
        <f ca="1">VLOOKUP($A102,[1]!LOOKUP_SARS_Unified2,K$3,FALSE)</f>
        <v>52638.850346878091</v>
      </c>
    </row>
    <row r="103" spans="1:11" x14ac:dyDescent="0.25">
      <c r="A103" s="92" t="s">
        <v>222</v>
      </c>
      <c r="B103" s="3">
        <f ca="1">VLOOKUP($A103,[1]!LOOKUP_SARS_Unified2,B$3,FALSE)</f>
        <v>2.7000000000000003E-2</v>
      </c>
      <c r="C103" s="3"/>
      <c r="D103" s="12" t="e">
        <f ca="1">VLOOKUP($A103,[1]!LOOKUP_SARS_Unified2,D$3,FALSE)</f>
        <v>#VALUE!</v>
      </c>
      <c r="E103" s="12">
        <f ca="1">VLOOKUP($A103,[1]!LOOKUP_SARS_Unified2,E$3,FALSE)</f>
        <v>745.24103831891216</v>
      </c>
      <c r="F103" s="12" t="e">
        <f ca="1">VLOOKUP($A103,[1]!LOOKUP_SARS_Unified2,F$3,FALSE)</f>
        <v>#VALUE!</v>
      </c>
      <c r="G103" s="12">
        <f ca="1">VLOOKUP($A103,[1]!LOOKUP_SARS_Unified2,G$3,FALSE)</f>
        <v>-224.22744128553768</v>
      </c>
      <c r="H103" s="12" t="e">
        <f ca="1">VLOOKUP($A103,[1]!LOOKUP_SARS_Unified2,H$3,FALSE)</f>
        <v>#VALUE!</v>
      </c>
      <c r="I103" s="12" t="e">
        <f ca="1">VLOOKUP($A103,[1]!LOOKUP_SARS_Unified2,I$3,FALSE)</f>
        <v>#VALUE!</v>
      </c>
      <c r="J103" s="12">
        <f ca="1">VLOOKUP($A103,[1]!LOOKUP_SARS_Unified2,J$3,FALSE)</f>
        <v>521.01359703337448</v>
      </c>
      <c r="K103" s="12">
        <f ca="1">VLOOKUP($A103,[1]!LOOKUP_SARS_Unified2,K$3,FALSE)</f>
        <v>19218.046971569838</v>
      </c>
    </row>
    <row r="104" spans="1:11" x14ac:dyDescent="0.25">
      <c r="A104" s="152" t="s">
        <v>49</v>
      </c>
      <c r="B104" s="3">
        <f ca="1">VLOOKUP($A104,[1]!LOOKUP_SARS_Unified2,B$3,FALSE)</f>
        <v>0.127</v>
      </c>
      <c r="C104" s="3"/>
      <c r="D104" s="12" t="e">
        <f ca="1">VLOOKUP($A104,[1]!LOOKUP_SARS_Unified2,D$3,FALSE)</f>
        <v>#VALUE!</v>
      </c>
      <c r="E104" s="12">
        <f ca="1">VLOOKUP($A104,[1]!LOOKUP_SARS_Unified2,E$3,FALSE)</f>
        <v>128.1582256773751</v>
      </c>
      <c r="F104" s="12">
        <f ca="1">VLOOKUP($A104,[1]!LOOKUP_SARS_Unified2,F$3,FALSE)</f>
        <v>1021.8360580770549</v>
      </c>
      <c r="G104" s="12">
        <f ca="1">VLOOKUP($A104,[1]!LOOKUP_SARS_Unified2,G$3,FALSE)</f>
        <v>1156.3964787927289</v>
      </c>
      <c r="H104" s="12" t="e">
        <f ca="1">VLOOKUP($A104,[1]!LOOKUP_SARS_Unified2,H$3,FALSE)</f>
        <v>#VALUE!</v>
      </c>
      <c r="I104" s="12">
        <f ca="1">VLOOKUP($A104,[1]!LOOKUP_SARS_Unified2,I$3,FALSE)</f>
        <v>132.73122213330282</v>
      </c>
      <c r="J104" s="12">
        <f ca="1">VLOOKUP($A104,[1]!LOOKUP_SARS_Unified2,J$3,FALSE)</f>
        <v>2439.121984680462</v>
      </c>
      <c r="K104" s="12">
        <f ca="1">VLOOKUP($A104,[1]!LOOKUP_SARS_Unified2,K$3,FALSE)</f>
        <v>19208.528638390304</v>
      </c>
    </row>
    <row r="105" spans="1:11" x14ac:dyDescent="0.25">
      <c r="A105" s="92" t="s">
        <v>60</v>
      </c>
      <c r="B105" s="3">
        <f ca="1">VLOOKUP($A105,[1]!LOOKUP_SARS_Unified2,B$3,FALSE)</f>
        <v>-6.9999999999999993E-3</v>
      </c>
      <c r="C105" s="3"/>
      <c r="D105" s="12">
        <f ca="1">VLOOKUP($A105,[1]!LOOKUP_SARS_Unified2,D$3,FALSE)</f>
        <v>67.566022636332463</v>
      </c>
      <c r="E105" s="12">
        <f ca="1">VLOOKUP($A105,[1]!LOOKUP_SARS_Unified2,E$3,FALSE)</f>
        <v>603.86418200525895</v>
      </c>
      <c r="F105" s="12">
        <f ca="1">VLOOKUP($A105,[1]!LOOKUP_SARS_Unified2,F$3,FALSE)</f>
        <v>179.60443580656224</v>
      </c>
      <c r="G105" s="12">
        <f ca="1">VLOOKUP($A105,[1]!LOOKUP_SARS_Unified2,G$3,FALSE)</f>
        <v>-1643.6492511718304</v>
      </c>
      <c r="H105" s="12" t="e">
        <f ca="1">VLOOKUP($A105,[1]!LOOKUP_SARS_Unified2,H$3,FALSE)</f>
        <v>#VALUE!</v>
      </c>
      <c r="I105" s="12">
        <f ca="1">VLOOKUP($A105,[1]!LOOKUP_SARS_Unified2,I$3,FALSE)</f>
        <v>485.99519835372126</v>
      </c>
      <c r="J105" s="12">
        <f ca="1">VLOOKUP($A105,[1]!LOOKUP_SARS_Unified2,J$3,FALSE)</f>
        <v>-306.6194123699554</v>
      </c>
      <c r="K105" s="12">
        <f ca="1">VLOOKUP($A105,[1]!LOOKUP_SARS_Unified2,K$3,FALSE)</f>
        <v>57448.725277237907</v>
      </c>
    </row>
    <row r="106" spans="1:11" x14ac:dyDescent="0.25">
      <c r="A106" s="92" t="s">
        <v>223</v>
      </c>
      <c r="B106" s="3">
        <f ca="1">VLOOKUP($A106,[1]!LOOKUP_SARS_Unified2,B$3,FALSE)</f>
        <v>-3.3000000000000002E-2</v>
      </c>
      <c r="C106" s="3"/>
      <c r="D106" s="12">
        <f ca="1">VLOOKUP($A106,[1]!LOOKUP_SARS_Unified2,D$3,FALSE)</f>
        <v>329.33769221455378</v>
      </c>
      <c r="E106" s="12">
        <f ca="1">VLOOKUP($A106,[1]!LOOKUP_SARS_Unified2,E$3,FALSE)</f>
        <v>157.88836420874196</v>
      </c>
      <c r="F106" s="12" t="e">
        <f ca="1">VLOOKUP($A106,[1]!LOOKUP_SARS_Unified2,F$3,FALSE)</f>
        <v>#VALUE!</v>
      </c>
      <c r="G106" s="12">
        <f ca="1">VLOOKUP($A106,[1]!LOOKUP_SARS_Unified2,G$3,FALSE)</f>
        <v>-366.38818258869111</v>
      </c>
      <c r="H106" s="12" t="e">
        <f ca="1">VLOOKUP($A106,[1]!LOOKUP_SARS_Unified2,H$3,FALSE)</f>
        <v>#VALUE!</v>
      </c>
      <c r="I106" s="12">
        <f ca="1">VLOOKUP($A106,[1]!LOOKUP_SARS_Unified2,I$3,FALSE)</f>
        <v>-26.516527424627675</v>
      </c>
      <c r="J106" s="12">
        <f ca="1">VLOOKUP($A106,[1]!LOOKUP_SARS_Unified2,J$3,FALSE)</f>
        <v>94.321346409976996</v>
      </c>
      <c r="K106" s="12">
        <f ca="1">VLOOKUP($A106,[1]!LOOKUP_SARS_Unified2,K$3,FALSE)</f>
        <v>6845.3807967066232</v>
      </c>
    </row>
    <row r="107" spans="1:11" x14ac:dyDescent="0.25">
      <c r="A107" s="92" t="s">
        <v>56</v>
      </c>
      <c r="B107" s="3">
        <f ca="1">VLOOKUP($A107,[1]!LOOKUP_SARS_Unified2,B$3,FALSE)</f>
        <v>-8.0000000000000002E-3</v>
      </c>
      <c r="C107" s="3"/>
      <c r="D107" s="12" t="e">
        <f ca="1">VLOOKUP($A107,[1]!LOOKUP_SARS_Unified2,D$3,FALSE)</f>
        <v>#VALUE!</v>
      </c>
      <c r="E107" s="12">
        <f ca="1">VLOOKUP($A107,[1]!LOOKUP_SARS_Unified2,E$3,FALSE)</f>
        <v>-2.7633469658450318</v>
      </c>
      <c r="F107" s="12">
        <f ca="1">VLOOKUP($A107,[1]!LOOKUP_SARS_Unified2,F$3,FALSE)</f>
        <v>0.22106775726760255</v>
      </c>
      <c r="G107" s="12">
        <f ca="1">VLOOKUP($A107,[1]!LOOKUP_SARS_Unified2,G$3,FALSE)</f>
        <v>-73.394495412844051</v>
      </c>
      <c r="H107" s="12" t="e">
        <f ca="1">VLOOKUP($A107,[1]!LOOKUP_SARS_Unified2,H$3,FALSE)</f>
        <v>#VALUE!</v>
      </c>
      <c r="I107" s="12">
        <f ca="1">VLOOKUP($A107,[1]!LOOKUP_SARS_Unified2,I$3,FALSE)</f>
        <v>54.382668287830228</v>
      </c>
      <c r="J107" s="12">
        <f ca="1">VLOOKUP($A107,[1]!LOOKUP_SARS_Unified2,J$3,FALSE)</f>
        <v>-21.554106333591246</v>
      </c>
      <c r="K107" s="12">
        <f ca="1">VLOOKUP($A107,[1]!LOOKUP_SARS_Unified2,K$3,FALSE)</f>
        <v>2615.6737039902732</v>
      </c>
    </row>
    <row r="108" spans="1:11" x14ac:dyDescent="0.25">
      <c r="A108" s="92" t="s">
        <v>59</v>
      </c>
      <c r="B108" s="3">
        <f ca="1">VLOOKUP($A108,[1]!LOOKUP_SARS_Unified2,B$3,FALSE)</f>
        <v>-2.5000000000000001E-2</v>
      </c>
      <c r="C108" s="3"/>
      <c r="D108" s="12">
        <f ca="1">VLOOKUP($A108,[1]!LOOKUP_SARS_Unified2,D$3,FALSE)</f>
        <v>393.50662693927876</v>
      </c>
      <c r="E108" s="12" t="e">
        <f ca="1">VLOOKUP($A108,[1]!LOOKUP_SARS_Unified2,E$3,FALSE)</f>
        <v>#VALUE!</v>
      </c>
      <c r="F108" s="12" t="e">
        <f ca="1">VLOOKUP($A108,[1]!LOOKUP_SARS_Unified2,F$3,FALSE)</f>
        <v>#VALUE!</v>
      </c>
      <c r="G108" s="12">
        <f ca="1">VLOOKUP($A108,[1]!LOOKUP_SARS_Unified2,G$3,FALSE)</f>
        <v>-102.53775814240214</v>
      </c>
      <c r="H108" s="12" t="e">
        <f ca="1">VLOOKUP($A108,[1]!LOOKUP_SARS_Unified2,H$3,FALSE)</f>
        <v>#VALUE!</v>
      </c>
      <c r="I108" s="12">
        <f ca="1">VLOOKUP($A108,[1]!LOOKUP_SARS_Unified2,I$3,FALSE)</f>
        <v>-0.10274324463166548</v>
      </c>
      <c r="J108" s="12">
        <f ca="1">VLOOKUP($A108,[1]!LOOKUP_SARS_Unified2,J$3,FALSE)</f>
        <v>290.86612555224497</v>
      </c>
      <c r="K108" s="12">
        <f ca="1">VLOOKUP($A108,[1]!LOOKUP_SARS_Unified2,K$3,FALSE)</f>
        <v>3709.6475906709134</v>
      </c>
    </row>
    <row r="109" spans="1:11" x14ac:dyDescent="0.25">
      <c r="A109" s="92" t="s">
        <v>43</v>
      </c>
      <c r="B109" s="3">
        <f ca="1">VLOOKUP($A109,[1]!LOOKUP_SARS_Unified2,B$3,FALSE)</f>
        <v>2.1000000000000001E-2</v>
      </c>
      <c r="C109" s="3"/>
      <c r="D109" s="12">
        <f ca="1">VLOOKUP($A109,[1]!LOOKUP_SARS_Unified2,D$3,FALSE)</f>
        <v>244.44682905891193</v>
      </c>
      <c r="E109" s="12" t="e">
        <f ca="1">VLOOKUP($A109,[1]!LOOKUP_SARS_Unified2,E$3,FALSE)</f>
        <v>#VALUE!</v>
      </c>
      <c r="F109" s="12" t="e">
        <f ca="1">VLOOKUP($A109,[1]!LOOKUP_SARS_Unified2,F$3,FALSE)</f>
        <v>#VALUE!</v>
      </c>
      <c r="G109" s="12">
        <f ca="1">VLOOKUP($A109,[1]!LOOKUP_SARS_Unified2,G$3,FALSE)</f>
        <v>-200.12876918124263</v>
      </c>
      <c r="H109" s="12" t="e">
        <f ca="1">VLOOKUP($A109,[1]!LOOKUP_SARS_Unified2,H$3,FALSE)</f>
        <v>#VALUE!</v>
      </c>
      <c r="I109" s="12">
        <f ca="1">VLOOKUP($A109,[1]!LOOKUP_SARS_Unified2,I$3,FALSE)</f>
        <v>289.08681188968774</v>
      </c>
      <c r="J109" s="12">
        <f ca="1">VLOOKUP($A109,[1]!LOOKUP_SARS_Unified2,J$3,FALSE)</f>
        <v>333.40487176735701</v>
      </c>
      <c r="K109" s="12">
        <f ca="1">VLOOKUP($A109,[1]!LOOKUP_SARS_Unified2,K$3,FALSE)</f>
        <v>4075.5445863290056</v>
      </c>
    </row>
    <row r="110" spans="1:11" x14ac:dyDescent="0.25">
      <c r="A110" s="92" t="s">
        <v>57</v>
      </c>
      <c r="B110" s="3">
        <f ca="1">VLOOKUP($A110,[1]!LOOKUP_SARS_Unified2,B$3,FALSE)</f>
        <v>6.2E-2</v>
      </c>
      <c r="C110" s="3"/>
      <c r="D110" s="12">
        <f ca="1">VLOOKUP($A110,[1]!LOOKUP_SARS_Unified2,D$3,FALSE)</f>
        <v>903.21586355697116</v>
      </c>
      <c r="E110" s="12" t="e">
        <f ca="1">VLOOKUP($A110,[1]!LOOKUP_SARS_Unified2,E$3,FALSE)</f>
        <v>#VALUE!</v>
      </c>
      <c r="F110" s="12" t="e">
        <f ca="1">VLOOKUP($A110,[1]!LOOKUP_SARS_Unified2,F$3,FALSE)</f>
        <v>#VALUE!</v>
      </c>
      <c r="G110" s="12">
        <f ca="1">VLOOKUP($A110,[1]!LOOKUP_SARS_Unified2,G$3,FALSE)</f>
        <v>-80.447960546594061</v>
      </c>
      <c r="H110" s="12" t="e">
        <f ca="1">VLOOKUP($A110,[1]!LOOKUP_SARS_Unified2,H$3,FALSE)</f>
        <v>#VALUE!</v>
      </c>
      <c r="I110" s="12">
        <f ca="1">VLOOKUP($A110,[1]!LOOKUP_SARS_Unified2,I$3,FALSE)</f>
        <v>432.34357341004835</v>
      </c>
      <c r="J110" s="12">
        <f ca="1">VLOOKUP($A110,[1]!LOOKUP_SARS_Unified2,J$3,FALSE)</f>
        <v>1255.1114764204253</v>
      </c>
      <c r="K110" s="12">
        <f ca="1">VLOOKUP($A110,[1]!LOOKUP_SARS_Unified2,K$3,FALSE)</f>
        <v>4814.548443439844</v>
      </c>
    </row>
    <row r="111" spans="1:11" x14ac:dyDescent="0.25">
      <c r="A111" s="92" t="s">
        <v>185</v>
      </c>
      <c r="B111" s="3">
        <f ca="1">VLOOKUP($A111,[1]!LOOKUP_SARS_Unified2,B$3,FALSE)</f>
        <v>-0.19500000000000001</v>
      </c>
      <c r="C111" s="3"/>
      <c r="D111" s="12">
        <f ca="1">VLOOKUP($A111,[1]!LOOKUP_SARS_Unified2,D$3,FALSE)</f>
        <v>-899.5859213250518</v>
      </c>
      <c r="E111" s="12">
        <f ca="1">VLOOKUP($A111,[1]!LOOKUP_SARS_Unified2,E$3,FALSE)</f>
        <v>-13.975155279503106</v>
      </c>
      <c r="F111" s="12">
        <f ca="1">VLOOKUP($A111,[1]!LOOKUP_SARS_Unified2,F$3,FALSE)</f>
        <v>-1915.1138716356108</v>
      </c>
      <c r="G111" s="12">
        <f ca="1">VLOOKUP($A111,[1]!LOOKUP_SARS_Unified2,G$3,FALSE)</f>
        <v>-1434.7826086956522</v>
      </c>
      <c r="H111" s="12" t="e">
        <f ca="1">VLOOKUP($A111,[1]!LOOKUP_SARS_Unified2,H$3,FALSE)</f>
        <v>#VALUE!</v>
      </c>
      <c r="I111" s="12">
        <f ca="1">VLOOKUP($A111,[1]!LOOKUP_SARS_Unified2,I$3,FALSE)</f>
        <v>350.10351966873708</v>
      </c>
      <c r="J111" s="12">
        <f ca="1">VLOOKUP($A111,[1]!LOOKUP_SARS_Unified2,J$3,FALSE)</f>
        <v>-3913.3540372670809</v>
      </c>
      <c r="K111" s="12">
        <f ca="1">VLOOKUP($A111,[1]!LOOKUP_SARS_Unified2,K$3,FALSE)</f>
        <v>16364.285714285714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09"/>
  <sheetViews>
    <sheetView topLeftCell="A37" zoomScaleNormal="100" workbookViewId="0">
      <selection activeCell="A42" sqref="A42"/>
    </sheetView>
  </sheetViews>
  <sheetFormatPr defaultRowHeight="15" x14ac:dyDescent="0.25"/>
  <cols>
    <col min="1" max="1" width="19" customWidth="1"/>
    <col min="5" max="5" width="9.140625" style="92"/>
  </cols>
  <sheetData>
    <row r="1" spans="1:42" ht="57" x14ac:dyDescent="0.85">
      <c r="A1" s="11" t="s">
        <v>81</v>
      </c>
      <c r="B1" s="1"/>
      <c r="C1" s="1"/>
      <c r="D1" s="1"/>
      <c r="E1" s="9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57" x14ac:dyDescent="0.25">
      <c r="A2" s="10"/>
      <c r="B2" s="119">
        <f>HLOOKUP(B3,[1]!LOOKUP_SARS_Unified2,2,FALSE)</f>
        <v>39</v>
      </c>
      <c r="C2" s="119">
        <f>HLOOKUP(C3,[1]!LOOKUP_SARS_Unified2,2,FALSE)</f>
        <v>38</v>
      </c>
      <c r="D2" s="119">
        <f>HLOOKUP(D3,[1]!LOOKUP_SARS_Unified2,2,FALSE)</f>
        <v>37</v>
      </c>
      <c r="E2" s="120">
        <v>49</v>
      </c>
      <c r="F2" s="119">
        <f ca="1">HLOOKUP(F3,[1]!LOOKUP_SARS_Unified2,2,FALSE)</f>
        <v>41</v>
      </c>
      <c r="G2" s="119" t="e">
        <f ca="1">HLOOKUP(G3,[1]!LOOKUP_SARS_Unified2,2,FALSE)</f>
        <v>#N/A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02" x14ac:dyDescent="0.25">
      <c r="A3" s="9" t="s">
        <v>80</v>
      </c>
      <c r="B3" s="114" t="s">
        <v>243</v>
      </c>
      <c r="C3" s="115" t="s">
        <v>169</v>
      </c>
      <c r="D3" s="114" t="s">
        <v>170</v>
      </c>
      <c r="E3" s="116" t="s">
        <v>243</v>
      </c>
      <c r="F3" s="2" t="s">
        <v>171</v>
      </c>
      <c r="G3" s="2" t="s">
        <v>172</v>
      </c>
      <c r="H3" s="1"/>
      <c r="I3" s="1"/>
      <c r="J3" s="1"/>
      <c r="K3" s="1" t="str">
        <f>'[1]SARS Unified'!$AQ$5</f>
        <v>Base Year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25">
      <c r="A4" t="s">
        <v>0</v>
      </c>
      <c r="B4" s="14">
        <f ca="1">VLOOKUP($A4,[1]!LOOKUP_SARS_Unified2,B$2,FALSE)</f>
        <v>2006</v>
      </c>
      <c r="C4" s="113">
        <f ca="1">VLOOKUP($A4,[1]!LOOKUP_SARS_Unified2,C$2,FALSE)</f>
        <v>0.42399999999999999</v>
      </c>
      <c r="D4" s="113">
        <f ca="1">VLOOKUP($A4,[1]!LOOKUP_SARS_Unified2,D$2,FALSE)</f>
        <v>9.2389450339989132E-2</v>
      </c>
      <c r="E4" s="117">
        <f ca="1">IF(VLOOKUP($A4,[1]!LOOKUP_MDAPs,E$2,FALSE)&lt;&gt;0,VLOOKUP($A4,[1]!LOOKUP_MDAPs,E$2,FALSE),"")</f>
        <v>2006</v>
      </c>
      <c r="F4" s="113">
        <f ca="1">VLOOKUP($A4,[1]!LOOKUP_SARS_Unified2,F$2,FALSE)</f>
        <v>0.377</v>
      </c>
      <c r="G4" s="3" t="e">
        <f>VLOOKUP($A4,[1]!LOOKUP_SARS_Unified,G$2,FALSE)</f>
        <v>#NAME?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25">
      <c r="A5" s="92" t="s">
        <v>212</v>
      </c>
      <c r="B5" s="14">
        <f ca="1">VLOOKUP($A5,[1]!LOOKUP_SARS_Unified2,B$2,FALSE)</f>
        <v>2003</v>
      </c>
      <c r="C5" s="113">
        <f ca="1">VLOOKUP($A5,[1]!LOOKUP_SARS_Unified2,C$2,FALSE)</f>
        <v>-0.14899999999999999</v>
      </c>
      <c r="D5" s="113">
        <f ca="1">VLOOKUP($A5,[1]!LOOKUP_SARS_Unified2,D$2,FALSE)</f>
        <v>-5.2360430656423151E-2</v>
      </c>
      <c r="E5" s="117">
        <f ca="1">IF(VLOOKUP($A5,[1]!LOOKUP_MDAPs,E$2,FALSE)&lt;&gt;0,VLOOKUP($A5,[1]!LOOKUP_MDAPs,E$2,FALSE),"")</f>
        <v>2003</v>
      </c>
      <c r="F5" s="113">
        <f ca="1">VLOOKUP($A5,[1]!LOOKUP_SARS_Unified2,F$2,FALSE)</f>
        <v>1.2E-2</v>
      </c>
      <c r="G5" s="3" t="e">
        <f>VLOOKUP($A5,[1]!LOOKUP_SARS_Unified,G$2,FALSE)</f>
        <v>#NAME?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25">
      <c r="A6" s="92" t="s">
        <v>25</v>
      </c>
      <c r="B6" s="14">
        <f ca="1">VLOOKUP($A6,[1]!LOOKUP_SARS_Unified2,B$2,FALSE)</f>
        <v>2002</v>
      </c>
      <c r="C6" s="113">
        <f ca="1">VLOOKUP($A6,[1]!LOOKUP_SARS_Unified2,C$2,FALSE)</f>
        <v>0.33600000000000002</v>
      </c>
      <c r="D6" s="113">
        <f ca="1">VLOOKUP($A6,[1]!LOOKUP_SARS_Unified2,D$2,FALSE)</f>
        <v>2.9391661147386561E-2</v>
      </c>
      <c r="E6" s="117">
        <f ca="1">IF(VLOOKUP($A6,[1]!LOOKUP_MDAPs,E$2,FALSE)&lt;&gt;0,VLOOKUP($A6,[1]!LOOKUP_MDAPs,E$2,FALSE),"")</f>
        <v>2002</v>
      </c>
      <c r="F6" s="113">
        <f ca="1">VLOOKUP($A6,[1]!LOOKUP_SARS_Unified2,F$2,FALSE)</f>
        <v>0.39600000000000002</v>
      </c>
      <c r="G6" s="3" t="e">
        <f>VLOOKUP($A6,[1]!LOOKUP_SARS_Unified,G$2,FALSE)</f>
        <v>#NAME?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25">
      <c r="A7" s="92" t="s">
        <v>18</v>
      </c>
      <c r="B7" s="14">
        <f ca="1">VLOOKUP($A7,[1]!LOOKUP_SARS_Unified2,B$2,FALSE)</f>
        <v>2003</v>
      </c>
      <c r="C7" s="113">
        <f ca="1">VLOOKUP($A7,[1]!LOOKUP_SARS_Unified2,C$2,FALSE)</f>
        <v>7.8E-2</v>
      </c>
      <c r="D7" s="113">
        <f ca="1">VLOOKUP($A7,[1]!LOOKUP_SARS_Unified2,D$2,FALSE)</f>
        <v>8.3801935941125727E-3</v>
      </c>
      <c r="E7" s="117">
        <f ca="1">IF(VLOOKUP($A7,[1]!LOOKUP_MDAPs,E$2,FALSE)&lt;&gt;0,VLOOKUP($A7,[1]!LOOKUP_MDAPs,E$2,FALSE),"")</f>
        <v>2003</v>
      </c>
      <c r="F7" s="113">
        <f ca="1">VLOOKUP($A7,[1]!LOOKUP_SARS_Unified2,F$2,FALSE)</f>
        <v>7.8E-2</v>
      </c>
      <c r="G7" s="3" t="e">
        <f>VLOOKUP($A7,[1]!LOOKUP_SARS_Unified,G$2,FALSE)</f>
        <v>#NAME?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25">
      <c r="A8" s="92" t="s">
        <v>12</v>
      </c>
      <c r="B8" s="14">
        <f ca="1">VLOOKUP($A8,[1]!LOOKUP_SARS_Unified2,B$2,FALSE)</f>
        <v>1997</v>
      </c>
      <c r="C8" s="113">
        <f ca="1">VLOOKUP($A8,[1]!LOOKUP_SARS_Unified2,C$2,FALSE)</f>
        <v>0.187</v>
      </c>
      <c r="D8" s="113">
        <f ca="1">VLOOKUP($A8,[1]!LOOKUP_SARS_Unified2,D$2,FALSE)</f>
        <v>1.2320213006425051E-2</v>
      </c>
      <c r="E8" s="117">
        <f ca="1">IF(VLOOKUP($A8,[1]!LOOKUP_MDAPs,E$2,FALSE)&lt;&gt;0,VLOOKUP($A8,[1]!LOOKUP_MDAPs,E$2,FALSE),"")</f>
        <v>1997</v>
      </c>
      <c r="F8" s="113">
        <f ca="1">VLOOKUP($A8,[1]!LOOKUP_SARS_Unified2,F$2,FALSE)</f>
        <v>0.154</v>
      </c>
      <c r="G8" s="3" t="e">
        <f>VLOOKUP($A8,[1]!LOOKUP_SARS_Unified,G$2,FALSE)</f>
        <v>#NAME?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25">
      <c r="A9" s="92" t="s">
        <v>174</v>
      </c>
      <c r="B9" s="14">
        <f ca="1">VLOOKUP($A9,[1]!LOOKUP_SARS_Unified2,B$2,FALSE)</f>
        <v>2008</v>
      </c>
      <c r="C9" s="113">
        <f ca="1">VLOOKUP($A9,[1]!LOOKUP_SARS_Unified2,C$2,FALSE)</f>
        <v>-0.191</v>
      </c>
      <c r="D9" s="113">
        <f ca="1">VLOOKUP($A9,[1]!LOOKUP_SARS_Unified2,D$2,FALSE)</f>
        <v>-5.1609641091415193E-2</v>
      </c>
      <c r="E9" s="117">
        <f ca="1">IF(VLOOKUP($A9,[1]!LOOKUP_MDAPs,E$2,FALSE)&lt;&gt;0,VLOOKUP($A9,[1]!LOOKUP_MDAPs,E$2,FALSE),"")</f>
        <v>2008</v>
      </c>
      <c r="F9" s="113">
        <f ca="1">VLOOKUP($A9,[1]!LOOKUP_SARS_Unified2,F$2,FALSE)</f>
        <v>-0.183</v>
      </c>
      <c r="G9" s="3" t="e">
        <f>VLOOKUP($A9,[1]!LOOKUP_SARS_Unified,G$2,FALSE)</f>
        <v>#NAME?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92" t="s">
        <v>9</v>
      </c>
      <c r="B10" s="14">
        <f ca="1">VLOOKUP($A10,[1]!LOOKUP_SARS_Unified2,B$2,FALSE)</f>
        <v>1992</v>
      </c>
      <c r="C10" s="113">
        <f ca="1">VLOOKUP($A10,[1]!LOOKUP_SARS_Unified2,C$2,FALSE)</f>
        <v>0.28300000000000003</v>
      </c>
      <c r="D10" s="113">
        <f ca="1">VLOOKUP($A10,[1]!LOOKUP_SARS_Unified2,D$2,FALSE)</f>
        <v>1.2538004174882156E-2</v>
      </c>
      <c r="E10" s="117">
        <f ca="1">IF(VLOOKUP($A10,[1]!LOOKUP_MDAPs,E$2,FALSE)&lt;&gt;0,VLOOKUP($A10,[1]!LOOKUP_MDAPs,E$2,FALSE),"")</f>
        <v>1992</v>
      </c>
      <c r="F10" s="113">
        <f ca="1">VLOOKUP($A10,[1]!LOOKUP_SARS_Unified2,F$2,FALSE)</f>
        <v>0.46100000000000002</v>
      </c>
      <c r="G10" s="3" t="e">
        <f>VLOOKUP($A10,[1]!LOOKUP_SARS_Unified,G$2,FALSE)</f>
        <v>#NAME?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92" t="s">
        <v>213</v>
      </c>
      <c r="B11" s="14">
        <f ca="1">VLOOKUP($A11,[1]!LOOKUP_SARS_Unified2,B$2,FALSE)</f>
        <v>2005</v>
      </c>
      <c r="C11" s="113">
        <f ca="1">VLOOKUP($A11,[1]!LOOKUP_SARS_Unified2,C$2,FALSE)</f>
        <v>-0.60099999999999998</v>
      </c>
      <c r="D11" s="113">
        <f ca="1">VLOOKUP($A11,[1]!LOOKUP_SARS_Unified2,D$2,FALSE)</f>
        <v>-0.2052267820980942</v>
      </c>
      <c r="E11" s="117">
        <f ca="1">IF(VLOOKUP($A11,[1]!LOOKUP_MDAPs,E$2,FALSE)&lt;&gt;0,VLOOKUP($A11,[1]!LOOKUP_MDAPs,E$2,FALSE),"")</f>
        <v>2005</v>
      </c>
      <c r="F11" s="113">
        <f ca="1">VLOOKUP($A11,[1]!LOOKUP_SARS_Unified2,F$2,FALSE)</f>
        <v>-0.56899999999999995</v>
      </c>
      <c r="G11" s="3" t="e">
        <f>VLOOKUP($A11,[1]!LOOKUP_SARS_Unified,G$2,FALSE)</f>
        <v>#NAME?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92" t="s">
        <v>214</v>
      </c>
      <c r="B12" s="14">
        <f ca="1">VLOOKUP($A12,[1]!LOOKUP_SARS_Unified2,B$2,FALSE)</f>
        <v>2003</v>
      </c>
      <c r="C12" s="113">
        <f ca="1">VLOOKUP($A12,[1]!LOOKUP_SARS_Unified2,C$2,FALSE)</f>
        <v>2.7999999999999997E-2</v>
      </c>
      <c r="D12" s="113">
        <f ca="1">VLOOKUP($A12,[1]!LOOKUP_SARS_Unified2,D$2,FALSE)</f>
        <v>9.2475524977846391E-3</v>
      </c>
      <c r="E12" s="117">
        <f ca="1">IF(VLOOKUP($A12,[1]!LOOKUP_MDAPs,E$2,FALSE)&lt;&gt;0,VLOOKUP($A12,[1]!LOOKUP_MDAPs,E$2,FALSE),"")</f>
        <v>2003</v>
      </c>
      <c r="F12" s="113">
        <f ca="1">VLOOKUP($A12,[1]!LOOKUP_SARS_Unified2,F$2,FALSE)</f>
        <v>0.1</v>
      </c>
      <c r="G12" s="3" t="e">
        <f>VLOOKUP($A12,[1]!LOOKUP_SARS_Unified,G$2,FALSE)</f>
        <v>#NAME?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92" t="s">
        <v>175</v>
      </c>
      <c r="B13" s="14">
        <f ca="1">VLOOKUP($A13,[1]!LOOKUP_SARS_Unified2,B$2,FALSE)</f>
        <v>2010</v>
      </c>
      <c r="C13" s="113">
        <f ca="1">VLOOKUP($A13,[1]!LOOKUP_SARS_Unified2,C$2,FALSE)</f>
        <v>-1E-3</v>
      </c>
      <c r="D13" s="113">
        <f ca="1">VLOOKUP($A13,[1]!LOOKUP_SARS_Unified2,D$2,FALSE)</f>
        <v>-1.0000000000000009E-3</v>
      </c>
      <c r="E13" s="117">
        <f ca="1">IF(VLOOKUP($A13,[1]!LOOKUP_MDAPs,E$2,FALSE)&lt;&gt;0,VLOOKUP($A13,[1]!LOOKUP_MDAPs,E$2,FALSE),"")</f>
        <v>2010</v>
      </c>
      <c r="F13" s="113">
        <f ca="1">VLOOKUP($A13,[1]!LOOKUP_SARS_Unified2,F$2,FALSE)</f>
        <v>0</v>
      </c>
      <c r="G13" s="3" t="e">
        <f>VLOOKUP($A13,[1]!LOOKUP_SARS_Unified,G$2,FALSE)</f>
        <v>#NAME?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25">
      <c r="A14" s="92" t="s">
        <v>13</v>
      </c>
      <c r="B14" s="14">
        <f ca="1">VLOOKUP($A14,[1]!LOOKUP_SARS_Unified2,B$2,FALSE)</f>
        <v>2003</v>
      </c>
      <c r="C14" s="113">
        <f ca="1">VLOOKUP($A14,[1]!LOOKUP_SARS_Unified2,C$2,FALSE)</f>
        <v>1.8000000000000002E-2</v>
      </c>
      <c r="D14" s="113">
        <f ca="1">VLOOKUP($A14,[1]!LOOKUP_SARS_Unified2,D$2,FALSE)</f>
        <v>2.9777443873004739E-3</v>
      </c>
      <c r="E14" s="117">
        <f ca="1">IF(VLOOKUP($A14,[1]!LOOKUP_MDAPs,E$2,FALSE)&lt;&gt;0,VLOOKUP($A14,[1]!LOOKUP_MDAPs,E$2,FALSE),"")</f>
        <v>2003</v>
      </c>
      <c r="F14" s="113">
        <f ca="1">VLOOKUP($A14,[1]!LOOKUP_SARS_Unified2,F$2,FALSE)</f>
        <v>-4.4999999999999998E-2</v>
      </c>
      <c r="G14" s="3" t="e">
        <f>VLOOKUP($A14,[1]!LOOKUP_SARS_Unified,G$2,FALSE)</f>
        <v>#NAME?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92" t="s">
        <v>17</v>
      </c>
      <c r="B15" s="14">
        <f ca="1">VLOOKUP($A15,[1]!LOOKUP_SARS_Unified2,B$2,FALSE)</f>
        <v>2007</v>
      </c>
      <c r="C15" s="113">
        <f ca="1">VLOOKUP($A15,[1]!LOOKUP_SARS_Unified2,C$2,FALSE)</f>
        <v>-0.17699999999999999</v>
      </c>
      <c r="D15" s="113">
        <f ca="1">VLOOKUP($A15,[1]!LOOKUP_SARS_Unified2,D$2,FALSE)</f>
        <v>-3.8210642760597602E-2</v>
      </c>
      <c r="E15" s="117">
        <f ca="1">IF(VLOOKUP($A15,[1]!LOOKUP_MDAPs,E$2,FALSE)&lt;&gt;0,VLOOKUP($A15,[1]!LOOKUP_MDAPs,E$2,FALSE),"")</f>
        <v>2007</v>
      </c>
      <c r="F15" s="113">
        <f ca="1">VLOOKUP($A15,[1]!LOOKUP_SARS_Unified2,F$2,FALSE)</f>
        <v>-0.18</v>
      </c>
      <c r="G15" s="3" t="e">
        <f>VLOOKUP($A15,[1]!LOOKUP_SARS_Unified,G$2,FALSE)</f>
        <v>#NAME?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25">
      <c r="A16" s="92" t="s">
        <v>30</v>
      </c>
      <c r="B16" s="14">
        <f ca="1">VLOOKUP($A16,[1]!LOOKUP_SARS_Unified2,B$2,FALSE)</f>
        <v>2008</v>
      </c>
      <c r="C16" s="113">
        <f ca="1">VLOOKUP($A16,[1]!LOOKUP_SARS_Unified2,C$2,FALSE)</f>
        <v>-7.8E-2</v>
      </c>
      <c r="D16" s="113">
        <f ca="1">VLOOKUP($A16,[1]!LOOKUP_SARS_Unified2,D$2,FALSE)</f>
        <v>-2.6706909359656805E-2</v>
      </c>
      <c r="E16" s="117">
        <f ca="1">IF(VLOOKUP($A16,[1]!LOOKUP_MDAPs,E$2,FALSE)&lt;&gt;0,VLOOKUP($A16,[1]!LOOKUP_MDAPs,E$2,FALSE),"")</f>
        <v>2008</v>
      </c>
      <c r="F16" s="113">
        <f ca="1">VLOOKUP($A16,[1]!LOOKUP_SARS_Unified2,F$2,FALSE)</f>
        <v>-9.0999999999999998E-2</v>
      </c>
      <c r="G16" s="3" t="e">
        <f>VLOOKUP($A16,[1]!LOOKUP_SARS_Unified,G$2,FALSE)</f>
        <v>#NAME?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25">
      <c r="A17" s="92" t="s">
        <v>176</v>
      </c>
      <c r="B17" s="14">
        <f ca="1">VLOOKUP($A17,[1]!LOOKUP_SARS_Unified2,B$2,FALSE)</f>
        <v>2008</v>
      </c>
      <c r="C17" s="113">
        <f ca="1">VLOOKUP($A17,[1]!LOOKUP_SARS_Unified2,C$2,FALSE)</f>
        <v>0.2</v>
      </c>
      <c r="D17" s="113">
        <f ca="1">VLOOKUP($A17,[1]!LOOKUP_SARS_Unified2,D$2,FALSE)</f>
        <v>4.6635139392105618E-2</v>
      </c>
      <c r="E17" s="117">
        <f ca="1">IF(VLOOKUP($A17,[1]!LOOKUP_MDAPs,E$2,FALSE)&lt;&gt;0,VLOOKUP($A17,[1]!LOOKUP_MDAPs,E$2,FALSE),"")</f>
        <v>2008</v>
      </c>
      <c r="F17" s="113">
        <f ca="1">VLOOKUP($A17,[1]!LOOKUP_SARS_Unified2,F$2,FALSE)</f>
        <v>-1.9</v>
      </c>
      <c r="G17" s="3" t="e">
        <f>VLOOKUP($A17,[1]!LOOKUP_SARS_Unified,G$2,FALSE)</f>
        <v>#NAME?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25">
      <c r="A18" s="104" t="s">
        <v>28</v>
      </c>
      <c r="B18" s="14">
        <f ca="1">VLOOKUP($A18,[1]!LOOKUP_SARS_Unified2,B$2,FALSE)</f>
        <v>2010</v>
      </c>
      <c r="C18" s="113">
        <f ca="1">VLOOKUP($A18,[1]!LOOKUP_SARS_Unified2,C$2,FALSE)</f>
        <v>-9.8000000000000004E-2</v>
      </c>
      <c r="D18" s="113">
        <f ca="1">VLOOKUP($A18,[1]!LOOKUP_SARS_Unified2,D$2,FALSE)</f>
        <v>-5.0263194353298735E-2</v>
      </c>
      <c r="E18" s="118">
        <f ca="1">IF(VLOOKUP($A18,[1]!LOOKUP_MDAPs,E$2,FALSE)&lt;&gt;0,VLOOKUP($A18,[1]!LOOKUP_MDAPs,E$2,FALSE),"")</f>
        <v>2010</v>
      </c>
      <c r="F18" s="113">
        <f ca="1">VLOOKUP($A18,[1]!LOOKUP_SARS_Unified2,F$2,FALSE)</f>
        <v>-8.5000000000000006E-2</v>
      </c>
      <c r="G18" s="106" t="e">
        <f>VLOOKUP($A18,[1]!LOOKUP_SARS_Unified,G$2,FALSE)</f>
        <v>#NAME?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92" t="s">
        <v>19</v>
      </c>
      <c r="B19" s="14">
        <f ca="1">VLOOKUP($A19,[1]!LOOKUP_SARS_Unified2,B$2,FALSE)</f>
        <v>1996</v>
      </c>
      <c r="C19" s="113">
        <f ca="1">VLOOKUP($A19,[1]!LOOKUP_SARS_Unified2,C$2,FALSE)</f>
        <v>0.318</v>
      </c>
      <c r="D19" s="113">
        <f ca="1">VLOOKUP($A19,[1]!LOOKUP_SARS_Unified2,D$2,FALSE)</f>
        <v>1.7406980759904656E-2</v>
      </c>
      <c r="E19" s="117">
        <f ca="1">IF(VLOOKUP($A19,[1]!LOOKUP_MDAPs,E$2,FALSE)&lt;&gt;0,VLOOKUP($A19,[1]!LOOKUP_MDAPs,E$2,FALSE),"")</f>
        <v>1996</v>
      </c>
      <c r="F19" s="113">
        <f ca="1">VLOOKUP($A19,[1]!LOOKUP_SARS_Unified2,F$2,FALSE)</f>
        <v>0.312</v>
      </c>
      <c r="G19" s="3" t="e">
        <f>VLOOKUP($A19,[1]!LOOKUP_SARS_Unified,G$2,FALSE)</f>
        <v>#NAME?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25">
      <c r="A20" s="92" t="s">
        <v>24</v>
      </c>
      <c r="B20" s="14">
        <f ca="1">VLOOKUP($A20,[1]!LOOKUP_SARS_Unified2,B$2,FALSE)</f>
        <v>1996</v>
      </c>
      <c r="C20" s="113">
        <f ca="1">VLOOKUP($A20,[1]!LOOKUP_SARS_Unified2,C$2,FALSE)</f>
        <v>0.47</v>
      </c>
      <c r="D20" s="113">
        <f ca="1">VLOOKUP($A20,[1]!LOOKUP_SARS_Unified2,D$2,FALSE)</f>
        <v>2.7900880784120563E-2</v>
      </c>
      <c r="E20" s="117">
        <f ca="1">IF(VLOOKUP($A20,[1]!LOOKUP_MDAPs,E$2,FALSE)&lt;&gt;0,VLOOKUP($A20,[1]!LOOKUP_MDAPs,E$2,FALSE),"")</f>
        <v>1996</v>
      </c>
      <c r="F20" s="113">
        <f ca="1">VLOOKUP($A20,[1]!LOOKUP_SARS_Unified2,F$2,FALSE)</f>
        <v>0.56399999999999995</v>
      </c>
      <c r="G20" s="3" t="e">
        <f>VLOOKUP($A20,[1]!LOOKUP_SARS_Unified,G$2,FALSE)</f>
        <v>#NAME?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92" t="s">
        <v>27</v>
      </c>
      <c r="B21" s="14">
        <f ca="1">VLOOKUP($A21,[1]!LOOKUP_SARS_Unified2,B$2,FALSE)</f>
        <v>2008</v>
      </c>
      <c r="C21" s="113">
        <f ca="1">VLOOKUP($A21,[1]!LOOKUP_SARS_Unified2,C$2,FALSE)</f>
        <v>-1.9E-2</v>
      </c>
      <c r="D21" s="113">
        <f ca="1">VLOOKUP($A21,[1]!LOOKUP_SARS_Unified2,D$2,FALSE)</f>
        <v>-4.7842238222152167E-3</v>
      </c>
      <c r="E21" s="117">
        <f ca="1">IF(VLOOKUP($A21,[1]!LOOKUP_MDAPs,E$2,FALSE)&lt;&gt;0,VLOOKUP($A21,[1]!LOOKUP_MDAPs,E$2,FALSE),"")</f>
        <v>2008</v>
      </c>
      <c r="F21" s="113">
        <f ca="1">VLOOKUP($A21,[1]!LOOKUP_SARS_Unified2,F$2,FALSE)</f>
        <v>-3.4000000000000002E-2</v>
      </c>
      <c r="G21" s="3" t="e">
        <f>VLOOKUP($A21,[1]!LOOKUP_SARS_Unified,G$2,FALSE)</f>
        <v>#NAME?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25">
      <c r="A22" s="92" t="s">
        <v>31</v>
      </c>
      <c r="B22" s="14" t="e">
        <f>VLOOKUP($A22,[1]!LOOKUP_SARS_Unified2,B$2,FALSE)</f>
        <v>#N/A</v>
      </c>
      <c r="C22" s="113" t="e">
        <f>VLOOKUP($A22,[1]!LOOKUP_SARS_Unified2,C$2,FALSE)</f>
        <v>#N/A</v>
      </c>
      <c r="D22" s="113" t="e">
        <f>VLOOKUP($A22,[1]!LOOKUP_SARS_Unified2,D$2,FALSE)</f>
        <v>#N/A</v>
      </c>
      <c r="E22" s="117" t="e">
        <f>IF(VLOOKUP($A22,[1]!LOOKUP_MDAPs,E$2,FALSE)&lt;&gt;0,VLOOKUP($A22,[1]!LOOKUP_MDAPs,E$2,FALSE),"")</f>
        <v>#N/A</v>
      </c>
      <c r="F22" s="113" t="e">
        <f>VLOOKUP($A22,[1]!LOOKUP_SARS_Unified2,F$2,FALSE)</f>
        <v>#N/A</v>
      </c>
      <c r="G22" s="3" t="e">
        <f>VLOOKUP($A22,[1]!LOOKUP_SARS_Unified,G$2,FALSE)</f>
        <v>#NAME?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25">
      <c r="A23" s="92" t="s">
        <v>16</v>
      </c>
      <c r="B23" s="14">
        <f ca="1">VLOOKUP($A23,[1]!LOOKUP_SARS_Unified2,B$2,FALSE)</f>
        <v>2002</v>
      </c>
      <c r="C23" s="113">
        <f ca="1">VLOOKUP($A23,[1]!LOOKUP_SARS_Unified2,C$2,FALSE)</f>
        <v>0.11699999999999999</v>
      </c>
      <c r="D23" s="113">
        <f ca="1">VLOOKUP($A23,[1]!LOOKUP_SARS_Unified2,D$2,FALSE)</f>
        <v>1.1126091664452664E-2</v>
      </c>
      <c r="E23" s="117">
        <f ca="1">IF(VLOOKUP($A23,[1]!LOOKUP_MDAPs,E$2,FALSE)&lt;&gt;0,VLOOKUP($A23,[1]!LOOKUP_MDAPs,E$2,FALSE),"")</f>
        <v>2002</v>
      </c>
      <c r="F23" s="113">
        <f ca="1">VLOOKUP($A23,[1]!LOOKUP_SARS_Unified2,F$2,FALSE)</f>
        <v>0.17399999999999999</v>
      </c>
      <c r="G23" s="3" t="e">
        <f>VLOOKUP($A23,[1]!LOOKUP_SARS_Unified,G$2,FALSE)</f>
        <v>#NAME?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25">
      <c r="A24" s="92" t="s">
        <v>22</v>
      </c>
      <c r="B24" s="14">
        <f ca="1">VLOOKUP($A24,[1]!LOOKUP_SARS_Unified2,B$2,FALSE)</f>
        <v>2005</v>
      </c>
      <c r="C24" s="113">
        <f ca="1">VLOOKUP($A24,[1]!LOOKUP_SARS_Unified2,C$2,FALSE)</f>
        <v>0.13100000000000001</v>
      </c>
      <c r="D24" s="113">
        <f ca="1">VLOOKUP($A24,[1]!LOOKUP_SARS_Unified2,D$2,FALSE)</f>
        <v>1.7741572821694529E-2</v>
      </c>
      <c r="E24" s="117">
        <f ca="1">IF(VLOOKUP($A24,[1]!LOOKUP_MDAPs,E$2,FALSE)&lt;&gt;0,VLOOKUP($A24,[1]!LOOKUP_MDAPs,E$2,FALSE),"")</f>
        <v>2005</v>
      </c>
      <c r="F24" s="113">
        <f ca="1">VLOOKUP($A24,[1]!LOOKUP_SARS_Unified2,F$2,FALSE)</f>
        <v>0.127</v>
      </c>
      <c r="G24" s="3" t="e">
        <f>VLOOKUP($A24,[1]!LOOKUP_SARS_Unified,G$2,FALSE)</f>
        <v>#NAME?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25">
      <c r="A25" s="92" t="s">
        <v>23</v>
      </c>
      <c r="B25" s="14">
        <f ca="1">VLOOKUP($A25,[1]!LOOKUP_SARS_Unified2,B$2,FALSE)</f>
        <v>2006</v>
      </c>
      <c r="C25" s="113">
        <f ca="1">VLOOKUP($A25,[1]!LOOKUP_SARS_Unified2,C$2,FALSE)</f>
        <v>0.17699999999999999</v>
      </c>
      <c r="D25" s="113">
        <f ca="1">VLOOKUP($A25,[1]!LOOKUP_SARS_Unified2,D$2,FALSE)</f>
        <v>2.7533706654055301E-2</v>
      </c>
      <c r="E25" s="117">
        <f ca="1">IF(VLOOKUP($A25,[1]!LOOKUP_MDAPs,E$2,FALSE)&lt;&gt;0,VLOOKUP($A25,[1]!LOOKUP_MDAPs,E$2,FALSE),"")</f>
        <v>2006</v>
      </c>
      <c r="F25" s="113">
        <f ca="1">VLOOKUP($A25,[1]!LOOKUP_SARS_Unified2,F$2,FALSE)</f>
        <v>0.217</v>
      </c>
      <c r="G25" s="3" t="e">
        <f>VLOOKUP($A25,[1]!LOOKUP_SARS_Unified,G$2,FALSE)</f>
        <v>#NAME?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25">
      <c r="A26" s="92" t="s">
        <v>47</v>
      </c>
      <c r="B26" s="14">
        <f ca="1">VLOOKUP($A26,[1]!LOOKUP_SARS_Unified2,B$2,FALSE)</f>
        <v>2011</v>
      </c>
      <c r="C26" s="113">
        <f ca="1">VLOOKUP($A26,[1]!LOOKUP_SARS_Unified2,C$2,FALSE)</f>
        <v>2.8439999999999999</v>
      </c>
      <c r="D26" s="113">
        <f ca="1">VLOOKUP($A26,[1]!LOOKUP_SARS_Unified2,D$2,FALSE)</f>
        <v>2.8439999999999999</v>
      </c>
      <c r="E26" s="117">
        <f ca="1">IF(VLOOKUP($A26,[1]!LOOKUP_MDAPs,E$2,FALSE)&lt;&gt;0,VLOOKUP($A26,[1]!LOOKUP_MDAPs,E$2,FALSE),"")</f>
        <v>2011</v>
      </c>
      <c r="F26" s="113">
        <f ca="1">VLOOKUP($A26,[1]!LOOKUP_SARS_Unified2,F$2,FALSE)</f>
        <v>3.3680000000000003</v>
      </c>
      <c r="G26" s="3" t="e">
        <f>VLOOKUP($A26,[1]!LOOKUP_SARS_Unified,G$2,FALSE)</f>
        <v>#NAME?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25">
      <c r="A27" s="92" t="s">
        <v>55</v>
      </c>
      <c r="B27" s="14">
        <f ca="1">VLOOKUP($A27,[1]!LOOKUP_SARS_Unified2,B$2,FALSE)</f>
        <v>1994</v>
      </c>
      <c r="C27" s="113">
        <f ca="1">VLOOKUP($A27,[1]!LOOKUP_SARS_Unified2,C$2,FALSE)</f>
        <v>0.80200000000000005</v>
      </c>
      <c r="D27" s="113">
        <f ca="1">VLOOKUP($A27,[1]!LOOKUP_SARS_Unified2,D$2,FALSE)</f>
        <v>3.3257578331690851E-2</v>
      </c>
      <c r="E27" s="117">
        <f ca="1">IF(VLOOKUP($A27,[1]!LOOKUP_MDAPs,E$2,FALSE)&lt;&gt;0,VLOOKUP($A27,[1]!LOOKUP_MDAPs,E$2,FALSE),"")</f>
        <v>1994</v>
      </c>
      <c r="F27" s="113">
        <f ca="1">VLOOKUP($A27,[1]!LOOKUP_SARS_Unified2,F$2,FALSE)</f>
        <v>0.93</v>
      </c>
      <c r="G27" s="3" t="e">
        <f>VLOOKUP($A27,[1]!LOOKUP_SARS_Unified,G$2,FALSE)</f>
        <v>#NAME?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25">
      <c r="A28" s="152" t="s">
        <v>256</v>
      </c>
      <c r="B28" s="14">
        <f ca="1">VLOOKUP($A28,[1]!LOOKUP_SARS_Unified2,B$2,FALSE)</f>
        <v>2003</v>
      </c>
      <c r="C28" s="113">
        <f ca="1">VLOOKUP($A28,[1]!LOOKUP_SARS_Unified2,C$2,FALSE)</f>
        <v>0.11699999999999999</v>
      </c>
      <c r="D28" s="113">
        <f ca="1">VLOOKUP($A28,[1]!LOOKUP_SARS_Unified2,D$2,FALSE)</f>
        <v>1.2369940365308585E-2</v>
      </c>
      <c r="E28" s="117">
        <f ca="1">IF(VLOOKUP($A28,[1]!LOOKUP_MDAPs,E$2,FALSE)&lt;&gt;0,VLOOKUP($A28,[1]!LOOKUP_MDAPs,E$2,FALSE),"")</f>
        <v>2003</v>
      </c>
      <c r="F28" s="113">
        <f ca="1">VLOOKUP($A28,[1]!LOOKUP_SARS_Unified2,F$2,FALSE)</f>
        <v>0.17100000000000001</v>
      </c>
      <c r="G28" s="3" t="e">
        <f>VLOOKUP($A28,[1]!LOOKUP_SARS_Unified,G$2,FALSE)</f>
        <v>#NAME?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25">
      <c r="A29" s="92" t="s">
        <v>215</v>
      </c>
      <c r="B29" s="14">
        <f ca="1">VLOOKUP($A29,[1]!LOOKUP_SARS_Unified2,B$2,FALSE)</f>
        <v>2000</v>
      </c>
      <c r="C29" s="113">
        <f ca="1">VLOOKUP($A29,[1]!LOOKUP_SARS_Unified2,C$2,FALSE)</f>
        <v>0.151</v>
      </c>
      <c r="D29" s="113">
        <f ca="1">VLOOKUP($A29,[1]!LOOKUP_SARS_Unified2,D$2,FALSE)</f>
        <v>3.5783124290653889E-2</v>
      </c>
      <c r="E29" s="117">
        <f ca="1">IF(VLOOKUP($A29,[1]!LOOKUP_MDAPs,E$2,FALSE)&lt;&gt;0,VLOOKUP($A29,[1]!LOOKUP_MDAPs,E$2,FALSE),"")</f>
        <v>2000</v>
      </c>
      <c r="F29" s="113">
        <f ca="1">VLOOKUP($A29,[1]!LOOKUP_SARS_Unified2,F$2,FALSE)</f>
        <v>0.11</v>
      </c>
      <c r="G29" s="3" t="e">
        <f>VLOOKUP($A29,[1]!LOOKUP_SARS_Unified,G$2,FALSE)</f>
        <v>#NAME?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25">
      <c r="A30" s="92" t="s">
        <v>11</v>
      </c>
      <c r="B30" s="14">
        <f ca="1">VLOOKUP($A30,[1]!LOOKUP_SARS_Unified2,B$2,FALSE)</f>
        <v>2000</v>
      </c>
      <c r="C30" s="113">
        <f ca="1">VLOOKUP($A30,[1]!LOOKUP_SARS_Unified2,C$2,FALSE)</f>
        <v>-0.129</v>
      </c>
      <c r="D30" s="113">
        <f ca="1">VLOOKUP($A30,[1]!LOOKUP_SARS_Unified2,D$2,FALSE)</f>
        <v>-1.5228773807717588E-2</v>
      </c>
      <c r="E30" s="117">
        <f ca="1">IF(VLOOKUP($A30,[1]!LOOKUP_MDAPs,E$2,FALSE)&lt;&gt;0,VLOOKUP($A30,[1]!LOOKUP_MDAPs,E$2,FALSE),"")</f>
        <v>2000</v>
      </c>
      <c r="F30" s="113">
        <f ca="1">VLOOKUP($A30,[1]!LOOKUP_SARS_Unified2,F$2,FALSE)</f>
        <v>-2.7000000000000003E-2</v>
      </c>
      <c r="G30" s="3" t="e">
        <f>VLOOKUP($A30,[1]!LOOKUP_SARS_Unified,G$2,FALSE)</f>
        <v>#NAME?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25">
      <c r="A31" s="92" t="s">
        <v>32</v>
      </c>
      <c r="B31" s="14">
        <f ca="1">VLOOKUP($A31,[1]!LOOKUP_SARS_Unified2,B$2,FALSE)</f>
        <v>2005</v>
      </c>
      <c r="C31" s="113">
        <f ca="1">VLOOKUP($A31,[1]!LOOKUP_SARS_Unified2,C$2,FALSE)</f>
        <v>8.3000000000000004E-2</v>
      </c>
      <c r="D31" s="113">
        <f ca="1">VLOOKUP($A31,[1]!LOOKUP_SARS_Unified2,D$2,FALSE)</f>
        <v>1.1455830874759876E-2</v>
      </c>
      <c r="E31" s="117">
        <f ca="1">IF(VLOOKUP($A31,[1]!LOOKUP_MDAPs,E$2,FALSE)&lt;&gt;0,VLOOKUP($A31,[1]!LOOKUP_MDAPs,E$2,FALSE),"")</f>
        <v>2005</v>
      </c>
      <c r="F31" s="113">
        <f ca="1">VLOOKUP($A31,[1]!LOOKUP_SARS_Unified2,F$2,FALSE)</f>
        <v>0.222</v>
      </c>
      <c r="G31" s="3" t="e">
        <f>VLOOKUP($A31,[1]!LOOKUP_SARS_Unified,G$2,FALSE)</f>
        <v>#NAME?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25">
      <c r="A32" s="104" t="s">
        <v>51</v>
      </c>
      <c r="B32" s="14">
        <f ca="1">VLOOKUP($A32,[1]!LOOKUP_SARS_Unified2,B$2,FALSE)</f>
        <v>1987</v>
      </c>
      <c r="C32" s="113">
        <f ca="1">VLOOKUP($A32,[1]!LOOKUP_SARS_Unified2,C$2,FALSE)</f>
        <v>0.22399999999999998</v>
      </c>
      <c r="D32" s="113">
        <f ca="1">VLOOKUP($A32,[1]!LOOKUP_SARS_Unified2,D$2,FALSE)</f>
        <v>8.1177389718314341E-3</v>
      </c>
      <c r="E32" s="118">
        <f ca="1">IF(VLOOKUP($A32,[1]!LOOKUP_MDAPs,E$2,FALSE)&lt;&gt;0,VLOOKUP($A32,[1]!LOOKUP_MDAPs,E$2,FALSE),"")</f>
        <v>1987</v>
      </c>
      <c r="F32" s="113">
        <f ca="1">VLOOKUP($A32,[1]!LOOKUP_SARS_Unified2,F$2,FALSE)</f>
        <v>0.23600000000000002</v>
      </c>
      <c r="G32" s="106" t="e">
        <f>VLOOKUP($A32,[1]!LOOKUP_SARS_Unified,G$2,FALSE)</f>
        <v>#NAME?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25">
      <c r="A33" s="92" t="s">
        <v>216</v>
      </c>
      <c r="B33" s="14">
        <f ca="1">VLOOKUP($A33,[1]!LOOKUP_SARS_Unified2,B$2,FALSE)</f>
        <v>2007</v>
      </c>
      <c r="C33" s="113">
        <f ca="1">VLOOKUP($A33,[1]!LOOKUP_SARS_Unified2,C$2,FALSE)</f>
        <v>-0.10300000000000001</v>
      </c>
      <c r="D33" s="113">
        <f ca="1">VLOOKUP($A33,[1]!LOOKUP_SARS_Unified2,D$2,FALSE)</f>
        <v>-0.10299999999999998</v>
      </c>
      <c r="E33" s="117">
        <f ca="1">IF(VLOOKUP($A33,[1]!LOOKUP_MDAPs,E$2,FALSE)&lt;&gt;0,VLOOKUP($A33,[1]!LOOKUP_MDAPs,E$2,FALSE),"")</f>
        <v>2007</v>
      </c>
      <c r="F33" s="113">
        <f ca="1">VLOOKUP($A33,[1]!LOOKUP_SARS_Unified2,F$2,FALSE)</f>
        <v>-0.11199999999999999</v>
      </c>
      <c r="G33" s="3" t="e">
        <f>VLOOKUP($A33,[1]!LOOKUP_SARS_Unified,G$2,FALSE)</f>
        <v>#NAME?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25">
      <c r="A34" s="92" t="s">
        <v>8</v>
      </c>
      <c r="B34" s="14">
        <f ca="1">VLOOKUP($A34,[1]!LOOKUP_SARS_Unified2,B$2,FALSE)</f>
        <v>2009</v>
      </c>
      <c r="C34" s="113">
        <f ca="1">VLOOKUP($A34,[1]!LOOKUP_SARS_Unified2,C$2,FALSE)</f>
        <v>7.0999999999999994E-2</v>
      </c>
      <c r="D34" s="113">
        <f ca="1">VLOOKUP($A34,[1]!LOOKUP_SARS_Unified2,D$2,FALSE)</f>
        <v>2.3127654683995136E-2</v>
      </c>
      <c r="E34" s="117">
        <f ca="1">IF(VLOOKUP($A34,[1]!LOOKUP_MDAPs,E$2,FALSE)&lt;&gt;0,VLOOKUP($A34,[1]!LOOKUP_MDAPs,E$2,FALSE),"")</f>
        <v>2009</v>
      </c>
      <c r="F34" s="113">
        <f ca="1">VLOOKUP($A34,[1]!LOOKUP_SARS_Unified2,F$2,FALSE)</f>
        <v>0.09</v>
      </c>
      <c r="G34" s="3" t="e">
        <f>VLOOKUP($A34,[1]!LOOKUP_SARS_Unified,G$2,FALSE)</f>
        <v>#NAME?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25">
      <c r="A35" s="92" t="s">
        <v>15</v>
      </c>
      <c r="B35" s="14">
        <f ca="1">VLOOKUP($A35,[1]!LOOKUP_SARS_Unified2,B$2,FALSE)</f>
        <v>2004</v>
      </c>
      <c r="C35" s="113">
        <f ca="1">VLOOKUP($A35,[1]!LOOKUP_SARS_Unified2,C$2,FALSE)</f>
        <v>2.7999999999999997E-2</v>
      </c>
      <c r="D35" s="113">
        <f ca="1">VLOOKUP($A35,[1]!LOOKUP_SARS_Unified2,D$2,FALSE)</f>
        <v>3.4578605328483558E-3</v>
      </c>
      <c r="E35" s="117">
        <f ca="1">IF(VLOOKUP($A35,[1]!LOOKUP_MDAPs,E$2,FALSE)&lt;&gt;0,VLOOKUP($A35,[1]!LOOKUP_MDAPs,E$2,FALSE),"")</f>
        <v>2004</v>
      </c>
      <c r="F35" s="113">
        <f ca="1">VLOOKUP($A35,[1]!LOOKUP_SARS_Unified2,F$2,FALSE)</f>
        <v>2.7000000000000003E-2</v>
      </c>
      <c r="G35" s="3" t="e">
        <f>VLOOKUP($A35,[1]!LOOKUP_SARS_Unified,G$2,FALSE)</f>
        <v>#NAME?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25">
      <c r="A36" s="104" t="s">
        <v>26</v>
      </c>
      <c r="B36" s="14">
        <f ca="1">VLOOKUP($A36,[1]!LOOKUP_SARS_Unified2,B$2,FALSE)</f>
        <v>2007</v>
      </c>
      <c r="C36" s="113">
        <f ca="1">VLOOKUP($A36,[1]!LOOKUP_SARS_Unified2,C$2,FALSE)</f>
        <v>0.63400000000000001</v>
      </c>
      <c r="D36" s="113">
        <f ca="1">VLOOKUP($A36,[1]!LOOKUP_SARS_Unified2,D$2,FALSE)</f>
        <v>0.13061049636998479</v>
      </c>
      <c r="E36" s="118">
        <f ca="1">IF(VLOOKUP($A36,[1]!LOOKUP_MDAPs,E$2,FALSE)&lt;&gt;0,VLOOKUP($A36,[1]!LOOKUP_MDAPs,E$2,FALSE),"")</f>
        <v>2007</v>
      </c>
      <c r="F36" s="113">
        <f ca="1">VLOOKUP($A36,[1]!LOOKUP_SARS_Unified2,F$2,FALSE)</f>
        <v>3.395</v>
      </c>
      <c r="G36" s="106" t="e">
        <f>VLOOKUP($A36,[1]!LOOKUP_SARS_Unified,G$2,FALSE)</f>
        <v>#NAME?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25">
      <c r="A37" s="92" t="s">
        <v>180</v>
      </c>
      <c r="B37" s="14">
        <f ca="1">VLOOKUP($A37,[1]!LOOKUP_SARS_Unified2,B$2,FALSE)</f>
        <v>2010</v>
      </c>
      <c r="C37" s="113">
        <f ca="1">VLOOKUP($A37,[1]!LOOKUP_SARS_Unified2,C$2,FALSE)</f>
        <v>-0.183</v>
      </c>
      <c r="D37" s="113">
        <f ca="1">VLOOKUP($A37,[1]!LOOKUP_SARS_Unified2,D$2,FALSE)</f>
        <v>-0.18300000000000005</v>
      </c>
      <c r="E37" s="117">
        <f ca="1">IF(VLOOKUP($A37,[1]!LOOKUP_MDAPs,E$2,FALSE)&lt;&gt;0,VLOOKUP($A37,[1]!LOOKUP_MDAPs,E$2,FALSE),"")</f>
        <v>2010</v>
      </c>
      <c r="F37" s="113">
        <f ca="1">VLOOKUP($A37,[1]!LOOKUP_SARS_Unified2,F$2,FALSE)</f>
        <v>-0.19500000000000001</v>
      </c>
      <c r="G37" s="3" t="e">
        <f>VLOOKUP($A37,[1]!LOOKUP_SARS_Unified,G$2,FALSE)</f>
        <v>#NAME?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25">
      <c r="A38" s="92" t="s">
        <v>178</v>
      </c>
      <c r="B38" s="14" t="str">
        <f ca="1">VLOOKUP($A38,[1]!LOOKUP_SARS_Unified2,B$2,FALSE)</f>
        <v/>
      </c>
      <c r="C38" s="113" t="str">
        <f ca="1">VLOOKUP($A38,[1]!LOOKUP_SARS_Unified2,C$2,FALSE)</f>
        <v/>
      </c>
      <c r="D38" s="113" t="str">
        <f ca="1">VLOOKUP($A38,[1]!LOOKUP_SARS_Unified2,D$2,FALSE)</f>
        <v/>
      </c>
      <c r="E38" s="117" t="str">
        <f ca="1">IF(VLOOKUP($A38,[1]!LOOKUP_MDAPs,E$2,FALSE)&lt;&gt;0,VLOOKUP($A38,[1]!LOOKUP_MDAPs,E$2,FALSE),"")</f>
        <v/>
      </c>
      <c r="F38" s="113" t="str">
        <f ca="1">VLOOKUP($A38,[1]!LOOKUP_SARS_Unified2,F$2,FALSE)</f>
        <v/>
      </c>
      <c r="G38" s="3" t="e">
        <f>VLOOKUP($A38,[1]!LOOKUP_SARS_Unified,G$2,FALSE)</f>
        <v>#NAME?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25">
      <c r="A39" s="92" t="s">
        <v>217</v>
      </c>
      <c r="B39" s="14">
        <f ca="1">VLOOKUP($A39,[1]!LOOKUP_SARS_Unified2,B$2,FALSE)</f>
        <v>2005</v>
      </c>
      <c r="C39" s="113">
        <f ca="1">VLOOKUP($A39,[1]!LOOKUP_SARS_Unified2,C$2,FALSE)</f>
        <v>3.6000000000000004E-2</v>
      </c>
      <c r="D39" s="113">
        <f ca="1">VLOOKUP($A39,[1]!LOOKUP_SARS_Unified2,D$2,FALSE)</f>
        <v>1.1858812655120232E-2</v>
      </c>
      <c r="E39" s="117">
        <f ca="1">IF(VLOOKUP($A39,[1]!LOOKUP_MDAPs,E$2,FALSE)&lt;&gt;0,VLOOKUP($A39,[1]!LOOKUP_MDAPs,E$2,FALSE),"")</f>
        <v>2005</v>
      </c>
      <c r="F39" s="113">
        <f ca="1">VLOOKUP($A39,[1]!LOOKUP_SARS_Unified2,F$2,FALSE)</f>
        <v>2.8999999999999998E-2</v>
      </c>
      <c r="G39" s="3" t="e">
        <f>VLOOKUP($A39,[1]!LOOKUP_SARS_Unified,G$2,FALSE)</f>
        <v>#NAME?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25">
      <c r="A40" s="92" t="s">
        <v>29</v>
      </c>
      <c r="B40" s="14">
        <f ca="1">VLOOKUP($A40,[1]!LOOKUP_SARS_Unified2,B$2,FALSE)</f>
        <v>2007</v>
      </c>
      <c r="C40" s="113">
        <f ca="1">VLOOKUP($A40,[1]!LOOKUP_SARS_Unified2,C$2,FALSE)</f>
        <v>-1.6E-2</v>
      </c>
      <c r="D40" s="113">
        <f ca="1">VLOOKUP($A40,[1]!LOOKUP_SARS_Unified2,D$2,FALSE)</f>
        <v>-3.220678837133395E-3</v>
      </c>
      <c r="E40" s="117">
        <f ca="1">IF(VLOOKUP($A40,[1]!LOOKUP_MDAPs,E$2,FALSE)&lt;&gt;0,VLOOKUP($A40,[1]!LOOKUP_MDAPs,E$2,FALSE),"")</f>
        <v>2007</v>
      </c>
      <c r="F40" s="113">
        <f ca="1">VLOOKUP($A40,[1]!LOOKUP_SARS_Unified2,F$2,FALSE)</f>
        <v>-1.1000000000000001E-2</v>
      </c>
      <c r="G40" s="3" t="e">
        <f>VLOOKUP($A40,[1]!LOOKUP_SARS_Unified,G$2,FALSE)</f>
        <v>#NAME?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25">
      <c r="A41" s="92" t="s">
        <v>48</v>
      </c>
      <c r="B41" s="14">
        <f ca="1">VLOOKUP($A41,[1]!LOOKUP_SARS_Unified2,B$2,FALSE)</f>
        <v>2000</v>
      </c>
      <c r="C41" s="113">
        <f ca="1">VLOOKUP($A41,[1]!LOOKUP_SARS_Unified2,C$2,FALSE)</f>
        <v>5.0999999999999997E-2</v>
      </c>
      <c r="D41" s="113">
        <f ca="1">VLOOKUP($A41,[1]!LOOKUP_SARS_Unified2,D$2,FALSE)</f>
        <v>4.1537774426925189E-3</v>
      </c>
      <c r="E41" s="117">
        <f ca="1">IF(VLOOKUP($A41,[1]!LOOKUP_MDAPs,E$2,FALSE)&lt;&gt;0,VLOOKUP($A41,[1]!LOOKUP_MDAPs,E$2,FALSE),"")</f>
        <v>2000</v>
      </c>
      <c r="F41" s="113">
        <f ca="1">VLOOKUP($A41,[1]!LOOKUP_SARS_Unified2,F$2,FALSE)</f>
        <v>0.05</v>
      </c>
      <c r="G41" s="3" t="e">
        <f>VLOOKUP($A41,[1]!LOOKUP_SARS_Unified,G$2,FALSE)</f>
        <v>#NAME?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25">
      <c r="A42" s="92" t="s">
        <v>244</v>
      </c>
      <c r="B42" s="14">
        <f ca="1">VLOOKUP($A42,[1]!LOOKUP_SARS_Unified2,B$2,FALSE)</f>
        <v>2005</v>
      </c>
      <c r="C42" s="113">
        <f ca="1">VLOOKUP($A42,[1]!LOOKUP_SARS_Unified2,C$2,FALSE)</f>
        <v>6.8000000000000005E-2</v>
      </c>
      <c r="D42" s="113">
        <f ca="1">VLOOKUP($A42,[1]!LOOKUP_SARS_Unified2,D$2,FALSE)</f>
        <v>1.1024955209885778E-2</v>
      </c>
      <c r="E42" s="117">
        <f ca="1">IF(VLOOKUP($A42,[1]!LOOKUP_MDAPs,E$2,FALSE)&lt;&gt;0,VLOOKUP($A42,[1]!LOOKUP_MDAPs,E$2,FALSE),"")</f>
        <v>2005</v>
      </c>
      <c r="F42" s="113">
        <f ca="1">VLOOKUP($A42,[1]!LOOKUP_SARS_Unified2,F$2,FALSE)</f>
        <v>8.3000000000000004E-2</v>
      </c>
      <c r="G42" s="3" t="e">
        <f>VLOOKUP($A42,[1]!LOOKUP_SARS_Unified,G$2,FALSE)</f>
        <v>#NAME?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25">
      <c r="A43" s="92" t="s">
        <v>10</v>
      </c>
      <c r="B43" s="14">
        <f ca="1">VLOOKUP($A43,[1]!LOOKUP_SARS_Unified2,B$2,FALSE)</f>
        <v>2002</v>
      </c>
      <c r="C43" s="113">
        <f ca="1">VLOOKUP($A43,[1]!LOOKUP_SARS_Unified2,C$2,FALSE)</f>
        <v>0.52800000000000002</v>
      </c>
      <c r="D43" s="113">
        <f ca="1">VLOOKUP($A43,[1]!LOOKUP_SARS_Unified2,D$2,FALSE)</f>
        <v>4.8233778704347197E-2</v>
      </c>
      <c r="E43" s="117">
        <f ca="1">IF(VLOOKUP($A43,[1]!LOOKUP_MDAPs,E$2,FALSE)&lt;&gt;0,VLOOKUP($A43,[1]!LOOKUP_MDAPs,E$2,FALSE),"")</f>
        <v>2002</v>
      </c>
      <c r="F43" s="113">
        <f ca="1">VLOOKUP($A43,[1]!LOOKUP_SARS_Unified2,F$2,FALSE)</f>
        <v>0.628</v>
      </c>
      <c r="G43" s="3" t="e">
        <f>VLOOKUP($A43,[1]!LOOKUP_SARS_Unified,G$2,FALSE)</f>
        <v>#NAME?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25">
      <c r="A44" s="92" t="s">
        <v>1</v>
      </c>
      <c r="B44" s="14">
        <f ca="1">VLOOKUP($A44,[1]!LOOKUP_SARS_Unified2,B$2,FALSE)</f>
        <v>2002</v>
      </c>
      <c r="C44" s="113">
        <f ca="1">VLOOKUP($A44,[1]!LOOKUP_SARS_Unified2,C$2,FALSE)</f>
        <v>0.32299999999999995</v>
      </c>
      <c r="D44" s="113">
        <f ca="1">VLOOKUP($A44,[1]!LOOKUP_SARS_Unified2,D$2,FALSE)</f>
        <v>2.8385594380325507E-2</v>
      </c>
      <c r="E44" s="117">
        <f ca="1">IF(VLOOKUP($A44,[1]!LOOKUP_MDAPs,E$2,FALSE)&lt;&gt;0,VLOOKUP($A44,[1]!LOOKUP_MDAPs,E$2,FALSE),"")</f>
        <v>2002</v>
      </c>
      <c r="F44" s="113">
        <f ca="1">VLOOKUP($A44,[1]!LOOKUP_SARS_Unified2,F$2,FALSE)</f>
        <v>0.39899999999999997</v>
      </c>
      <c r="G44" s="3" t="e">
        <f>VLOOKUP($A44,[1]!LOOKUP_SARS_Unified,G$2,FALSE)</f>
        <v>#NAME?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25">
      <c r="A45" s="92" t="s">
        <v>14</v>
      </c>
      <c r="B45" s="14">
        <f ca="1">VLOOKUP($A45,[1]!LOOKUP_SARS_Unified2,B$2,FALSE)</f>
        <v>2005</v>
      </c>
      <c r="C45" s="113">
        <f ca="1">VLOOKUP($A45,[1]!LOOKUP_SARS_Unified2,C$2,FALSE)</f>
        <v>0.20899999999999999</v>
      </c>
      <c r="D45" s="113">
        <f ca="1">VLOOKUP($A45,[1]!LOOKUP_SARS_Unified2,D$2,FALSE)</f>
        <v>3.2137879125313296E-2</v>
      </c>
      <c r="E45" s="117">
        <f ca="1">IF(VLOOKUP($A45,[1]!LOOKUP_MDAPs,E$2,FALSE)&lt;&gt;0,VLOOKUP($A45,[1]!LOOKUP_MDAPs,E$2,FALSE),"")</f>
        <v>2005</v>
      </c>
      <c r="F45" s="113">
        <f ca="1">VLOOKUP($A45,[1]!LOOKUP_SARS_Unified2,F$2,FALSE)</f>
        <v>0.20899999999999999</v>
      </c>
      <c r="G45" s="3" t="e">
        <f>VLOOKUP($A45,[1]!LOOKUP_SARS_Unified,G$2,FALSE)</f>
        <v>#NAME?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25">
      <c r="A46" s="92" t="s">
        <v>218</v>
      </c>
      <c r="B46" s="14">
        <f ca="1">VLOOKUP($A46,[1]!LOOKUP_SARS_Unified2,B$2,FALSE)</f>
        <v>2003</v>
      </c>
      <c r="C46" s="113">
        <f ca="1">VLOOKUP($A46,[1]!LOOKUP_SARS_Unified2,C$2,FALSE)</f>
        <v>0.44500000000000001</v>
      </c>
      <c r="D46" s="113">
        <f ca="1">VLOOKUP($A46,[1]!LOOKUP_SARS_Unified2,D$2,FALSE)</f>
        <v>6.3272645810104944E-2</v>
      </c>
      <c r="E46" s="117">
        <f ca="1">IF(VLOOKUP($A46,[1]!LOOKUP_MDAPs,E$2,FALSE)&lt;&gt;0,VLOOKUP($A46,[1]!LOOKUP_MDAPs,E$2,FALSE),"")</f>
        <v>2003</v>
      </c>
      <c r="F46" s="113">
        <f ca="1">VLOOKUP($A46,[1]!LOOKUP_SARS_Unified2,F$2,FALSE)</f>
        <v>0.72799999999999998</v>
      </c>
      <c r="G46" s="3" t="e">
        <f>VLOOKUP($A46,[1]!LOOKUP_SARS_Unified,G$2,FALSE)</f>
        <v>#NAME?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1:42" x14ac:dyDescent="0.25">
      <c r="A47" s="92" t="s">
        <v>7</v>
      </c>
      <c r="B47" s="14">
        <f ca="1">VLOOKUP($A47,[1]!LOOKUP_SARS_Unified2,B$2,FALSE)</f>
        <v>1996</v>
      </c>
      <c r="C47" s="113">
        <f ca="1">VLOOKUP($A47,[1]!LOOKUP_SARS_Unified2,C$2,FALSE)</f>
        <v>0.252</v>
      </c>
      <c r="D47" s="113">
        <f ca="1">VLOOKUP($A47,[1]!LOOKUP_SARS_Unified2,D$2,FALSE)</f>
        <v>1.4145506128465213E-2</v>
      </c>
      <c r="E47" s="117">
        <f ca="1">IF(VLOOKUP($A47,[1]!LOOKUP_MDAPs,E$2,FALSE)&lt;&gt;0,VLOOKUP($A47,[1]!LOOKUP_MDAPs,E$2,FALSE),"")</f>
        <v>1996</v>
      </c>
      <c r="F47" s="113">
        <f ca="1">VLOOKUP($A47,[1]!LOOKUP_SARS_Unified2,F$2,FALSE)</f>
        <v>-0.06</v>
      </c>
      <c r="G47" s="3" t="e">
        <f>VLOOKUP($A47,[1]!LOOKUP_SARS_Unified,G$2,FALSE)</f>
        <v>#NAME?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1:42" x14ac:dyDescent="0.25">
      <c r="A48" s="92" t="s">
        <v>54</v>
      </c>
      <c r="B48" s="14">
        <f ca="1">VLOOKUP($A48,[1]!LOOKUP_SARS_Unified2,B$2,FALSE)</f>
        <v>1997</v>
      </c>
      <c r="C48" s="113">
        <f ca="1">VLOOKUP($A48,[1]!LOOKUP_SARS_Unified2,C$2,FALSE)</f>
        <v>0.20100000000000001</v>
      </c>
      <c r="D48" s="113">
        <f ca="1">VLOOKUP($A48,[1]!LOOKUP_SARS_Unified2,D$2,FALSE)</f>
        <v>1.2285152958482648E-2</v>
      </c>
      <c r="E48" s="117">
        <f ca="1">IF(VLOOKUP($A48,[1]!LOOKUP_MDAPs,E$2,FALSE)&lt;&gt;0,VLOOKUP($A48,[1]!LOOKUP_MDAPs,E$2,FALSE),"")</f>
        <v>1997</v>
      </c>
      <c r="F48" s="113">
        <f ca="1">VLOOKUP($A48,[1]!LOOKUP_SARS_Unified2,F$2,FALSE)</f>
        <v>0.218</v>
      </c>
      <c r="G48" s="3" t="e">
        <f>VLOOKUP($A48,[1]!LOOKUP_SARS_Unified,G$2,FALSE)</f>
        <v>#NAME?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1:42" x14ac:dyDescent="0.25">
      <c r="A49" s="92" t="s">
        <v>53</v>
      </c>
      <c r="B49" s="14">
        <f ca="1">VLOOKUP($A49,[1]!LOOKUP_SARS_Unified2,B$2,FALSE)</f>
        <v>2003</v>
      </c>
      <c r="C49" s="113">
        <f ca="1">VLOOKUP($A49,[1]!LOOKUP_SARS_Unified2,C$2,FALSE)</f>
        <v>0.25800000000000001</v>
      </c>
      <c r="D49" s="113">
        <f ca="1">VLOOKUP($A49,[1]!LOOKUP_SARS_Unified2,D$2,FALSE)</f>
        <v>2.5830545874739208E-2</v>
      </c>
      <c r="E49" s="117">
        <f ca="1">IF(VLOOKUP($A49,[1]!LOOKUP_MDAPs,E$2,FALSE)&lt;&gt;0,VLOOKUP($A49,[1]!LOOKUP_MDAPs,E$2,FALSE),"")</f>
        <v>2003</v>
      </c>
      <c r="F49" s="113">
        <f ca="1">VLOOKUP($A49,[1]!LOOKUP_SARS_Unified2,F$2,FALSE)</f>
        <v>1.054</v>
      </c>
      <c r="G49" s="3" t="e">
        <f>VLOOKUP($A49,[1]!LOOKUP_SARS_Unified,G$2,FALSE)</f>
        <v>#NAME?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1:42" x14ac:dyDescent="0.25">
      <c r="A50" s="92" t="s">
        <v>4</v>
      </c>
      <c r="B50" s="14">
        <f ca="1">VLOOKUP($A50,[1]!LOOKUP_SARS_Unified2,B$2,FALSE)</f>
        <v>2010</v>
      </c>
      <c r="C50" s="113">
        <f ca="1">VLOOKUP($A50,[1]!LOOKUP_SARS_Unified2,C$2,FALSE)</f>
        <v>-3.2000000000000001E-2</v>
      </c>
      <c r="D50" s="113">
        <f ca="1">VLOOKUP($A50,[1]!LOOKUP_SARS_Unified2,D$2,FALSE)</f>
        <v>-1.613008990009257E-2</v>
      </c>
      <c r="E50" s="117">
        <f ca="1">IF(VLOOKUP($A50,[1]!LOOKUP_MDAPs,E$2,FALSE)&lt;&gt;0,VLOOKUP($A50,[1]!LOOKUP_MDAPs,E$2,FALSE),"")</f>
        <v>2010</v>
      </c>
      <c r="F50" s="113">
        <f ca="1">VLOOKUP($A50,[1]!LOOKUP_SARS_Unified2,F$2,FALSE)</f>
        <v>-2.4E-2</v>
      </c>
      <c r="G50" s="3" t="e">
        <f>VLOOKUP($A50,[1]!LOOKUP_SARS_Unified,G$2,FALSE)</f>
        <v>#NAME?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1:42" x14ac:dyDescent="0.25">
      <c r="A51" s="92" t="s">
        <v>39</v>
      </c>
      <c r="B51" s="14">
        <f ca="1">VLOOKUP($A51,[1]!LOOKUP_SARS_Unified2,B$2,FALSE)</f>
        <v>2008</v>
      </c>
      <c r="C51" s="113">
        <f ca="1">VLOOKUP($A51,[1]!LOOKUP_SARS_Unified2,C$2,FALSE)</f>
        <v>6.5000000000000002E-2</v>
      </c>
      <c r="D51" s="113">
        <f ca="1">VLOOKUP($A51,[1]!LOOKUP_SARS_Unified2,D$2,FALSE)</f>
        <v>1.586828478278357E-2</v>
      </c>
      <c r="E51" s="117">
        <f ca="1">IF(VLOOKUP($A51,[1]!LOOKUP_MDAPs,E$2,FALSE)&lt;&gt;0,VLOOKUP($A51,[1]!LOOKUP_MDAPs,E$2,FALSE),"")</f>
        <v>2008</v>
      </c>
      <c r="F51" s="113">
        <f ca="1">VLOOKUP($A51,[1]!LOOKUP_SARS_Unified2,F$2,FALSE)</f>
        <v>5.4000000000000006E-2</v>
      </c>
      <c r="G51" s="3" t="e">
        <f>VLOOKUP($A51,[1]!LOOKUP_SARS_Unified,G$2,FALSE)</f>
        <v>#NAME?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1:42" x14ac:dyDescent="0.25">
      <c r="A52" s="92" t="s">
        <v>3</v>
      </c>
      <c r="B52" s="14">
        <f ca="1">VLOOKUP($A52,[1]!LOOKUP_SARS_Unified2,B$2,FALSE)</f>
        <v>2003</v>
      </c>
      <c r="C52" s="113">
        <f ca="1">VLOOKUP($A52,[1]!LOOKUP_SARS_Unified2,C$2,FALSE)</f>
        <v>-0.13</v>
      </c>
      <c r="D52" s="113">
        <f ca="1">VLOOKUP($A52,[1]!LOOKUP_SARS_Unified2,D$2,FALSE)</f>
        <v>-1.53544625547688E-2</v>
      </c>
      <c r="E52" s="117">
        <f ca="1">IF(VLOOKUP($A52,[1]!LOOKUP_MDAPs,E$2,FALSE)&lt;&gt;0,VLOOKUP($A52,[1]!LOOKUP_MDAPs,E$2,FALSE),"")</f>
        <v>2003</v>
      </c>
      <c r="F52" s="113">
        <f ca="1">VLOOKUP($A52,[1]!LOOKUP_SARS_Unified2,F$2,FALSE)</f>
        <v>-3.2000000000000001E-2</v>
      </c>
      <c r="G52" s="3" t="e">
        <f>VLOOKUP($A52,[1]!LOOKUP_SARS_Unified,G$2,FALSE)</f>
        <v>#NAME?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1:42" x14ac:dyDescent="0.25">
      <c r="A53" s="92" t="s">
        <v>179</v>
      </c>
      <c r="B53" s="14">
        <f ca="1">VLOOKUP($A53,[1]!LOOKUP_SARS_Unified2,B$2,FALSE)</f>
        <v>2009</v>
      </c>
      <c r="C53" s="113">
        <f ca="1">VLOOKUP($A53,[1]!LOOKUP_SARS_Unified2,C$2,FALSE)</f>
        <v>-0.122</v>
      </c>
      <c r="D53" s="113">
        <f ca="1">VLOOKUP($A53,[1]!LOOKUP_SARS_Unified2,D$2,FALSE)</f>
        <v>-4.2442551967853404E-2</v>
      </c>
      <c r="E53" s="117">
        <f ca="1">IF(VLOOKUP($A53,[1]!LOOKUP_MDAPs,E$2,FALSE)&lt;&gt;0,VLOOKUP($A53,[1]!LOOKUP_MDAPs,E$2,FALSE),"")</f>
        <v>2009</v>
      </c>
      <c r="F53" s="113">
        <f ca="1">VLOOKUP($A53,[1]!LOOKUP_SARS_Unified2,F$2,FALSE)</f>
        <v>-0.14800000000000002</v>
      </c>
      <c r="G53" s="3" t="e">
        <f>VLOOKUP($A53,[1]!LOOKUP_SARS_Unified,G$2,FALSE)</f>
        <v>#NAME?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1:42" x14ac:dyDescent="0.25">
      <c r="A54" s="92" t="s">
        <v>2</v>
      </c>
      <c r="B54" s="14" t="str">
        <f ca="1">VLOOKUP($A54,[1]!LOOKUP_SARS_Unified2,B$2,FALSE)</f>
        <v/>
      </c>
      <c r="C54" s="113" t="str">
        <f ca="1">VLOOKUP($A54,[1]!LOOKUP_SARS_Unified2,C$2,FALSE)</f>
        <v/>
      </c>
      <c r="D54" s="113" t="str">
        <f ca="1">VLOOKUP($A54,[1]!LOOKUP_SARS_Unified2,D$2,FALSE)</f>
        <v/>
      </c>
      <c r="E54" s="117" t="str">
        <f ca="1">IF(VLOOKUP($A54,[1]!LOOKUP_MDAPs,E$2,FALSE)&lt;&gt;0,VLOOKUP($A54,[1]!LOOKUP_MDAPs,E$2,FALSE),"")</f>
        <v/>
      </c>
      <c r="F54" s="113" t="str">
        <f ca="1">VLOOKUP($A54,[1]!LOOKUP_SARS_Unified2,F$2,FALSE)</f>
        <v/>
      </c>
      <c r="G54" s="3" t="e">
        <f>VLOOKUP($A54,[1]!LOOKUP_SARS_Unified,G$2,FALSE)</f>
        <v>#NAME?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1:42" x14ac:dyDescent="0.25">
      <c r="A55" s="92" t="s">
        <v>61</v>
      </c>
      <c r="B55" s="14">
        <f ca="1">VLOOKUP($A55,[1]!LOOKUP_SARS_Unified2,B$2,FALSE)</f>
        <v>1995</v>
      </c>
      <c r="C55" s="113">
        <f ca="1">VLOOKUP($A55,[1]!LOOKUP_SARS_Unified2,C$2,FALSE)</f>
        <v>0.44600000000000001</v>
      </c>
      <c r="D55" s="113">
        <f ca="1">VLOOKUP($A55,[1]!LOOKUP_SARS_Unified2,D$2,FALSE)</f>
        <v>2.4891487961109071E-2</v>
      </c>
      <c r="E55" s="117">
        <f ca="1">IF(VLOOKUP($A55,[1]!LOOKUP_MDAPs,E$2,FALSE)&lt;&gt;0,VLOOKUP($A55,[1]!LOOKUP_MDAPs,E$2,FALSE),"")</f>
        <v>1995</v>
      </c>
      <c r="F55" s="113">
        <f ca="1">VLOOKUP($A55,[1]!LOOKUP_SARS_Unified2,F$2,FALSE)</f>
        <v>0.64</v>
      </c>
      <c r="G55" s="3" t="e">
        <f>VLOOKUP($A55,[1]!LOOKUP_SARS_Unified,G$2,FALSE)</f>
        <v>#NAME?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1:42" x14ac:dyDescent="0.25">
      <c r="A56" s="92" t="s">
        <v>5</v>
      </c>
      <c r="B56" s="14">
        <f ca="1">VLOOKUP($A56,[1]!LOOKUP_SARS_Unified2,B$2,FALSE)</f>
        <v>2007</v>
      </c>
      <c r="C56" s="113">
        <f ca="1">VLOOKUP($A56,[1]!LOOKUP_SARS_Unified2,C$2,FALSE)</f>
        <v>-0.12</v>
      </c>
      <c r="D56" s="113">
        <f ca="1">VLOOKUP($A56,[1]!LOOKUP_SARS_Unified2,D$2,FALSE)</f>
        <v>-3.145307188309876E-2</v>
      </c>
      <c r="E56" s="117">
        <f ca="1">IF(VLOOKUP($A56,[1]!LOOKUP_MDAPs,E$2,FALSE)&lt;&gt;0,VLOOKUP($A56,[1]!LOOKUP_MDAPs,E$2,FALSE),"")</f>
        <v>2007</v>
      </c>
      <c r="F56" s="113">
        <f ca="1">VLOOKUP($A56,[1]!LOOKUP_SARS_Unified2,F$2,FALSE)</f>
        <v>-0.158</v>
      </c>
      <c r="G56" s="3" t="e">
        <f>VLOOKUP($A56,[1]!LOOKUP_SARS_Unified,G$2,FALSE)</f>
        <v>#NAME?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1:42" x14ac:dyDescent="0.25">
      <c r="A57" s="92" t="s">
        <v>219</v>
      </c>
      <c r="B57" s="14">
        <f ca="1">VLOOKUP($A57,[1]!LOOKUP_SARS_Unified2,B$2,FALSE)</f>
        <v>2004</v>
      </c>
      <c r="C57" s="113">
        <f ca="1">VLOOKUP($A57,[1]!LOOKUP_SARS_Unified2,C$2,FALSE)</f>
        <v>-0.70599999999999996</v>
      </c>
      <c r="D57" s="113">
        <f ca="1">VLOOKUP($A57,[1]!LOOKUP_SARS_Unified2,D$2,FALSE)</f>
        <v>-0.70599999999999996</v>
      </c>
      <c r="E57" s="117">
        <f ca="1">IF(VLOOKUP($A57,[1]!LOOKUP_MDAPs,E$2,FALSE)&lt;&gt;0,VLOOKUP($A57,[1]!LOOKUP_MDAPs,E$2,FALSE),"")</f>
        <v>2004</v>
      </c>
      <c r="F57" s="113">
        <f ca="1">VLOOKUP($A57,[1]!LOOKUP_SARS_Unified2,F$2,FALSE)</f>
        <v>-0.71099999999999997</v>
      </c>
      <c r="G57" s="3" t="e">
        <f>VLOOKUP($A57,[1]!LOOKUP_SARS_Unified,G$2,FALSE)</f>
        <v>#NAME?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1:42" x14ac:dyDescent="0.25">
      <c r="A58" s="92" t="s">
        <v>34</v>
      </c>
      <c r="B58" s="14">
        <f ca="1">VLOOKUP($A58,[1]!LOOKUP_SARS_Unified2,B$2,FALSE)</f>
        <v>1995</v>
      </c>
      <c r="C58" s="113">
        <f ca="1">VLOOKUP($A58,[1]!LOOKUP_SARS_Unified2,C$2,FALSE)</f>
        <v>0.27200000000000002</v>
      </c>
      <c r="D58" s="113">
        <f ca="1">VLOOKUP($A58,[1]!LOOKUP_SARS_Unified2,D$2,FALSE)</f>
        <v>1.4252999329189553E-2</v>
      </c>
      <c r="E58" s="117">
        <f ca="1">IF(VLOOKUP($A58,[1]!LOOKUP_MDAPs,E$2,FALSE)&lt;&gt;0,VLOOKUP($A58,[1]!LOOKUP_MDAPs,E$2,FALSE),"")</f>
        <v>1995</v>
      </c>
      <c r="F58" s="113">
        <f ca="1">VLOOKUP($A58,[1]!LOOKUP_SARS_Unified2,F$2,FALSE)</f>
        <v>0.28000000000000003</v>
      </c>
      <c r="G58" s="3" t="e">
        <f>VLOOKUP($A58,[1]!LOOKUP_SARS_Unified,G$2,FALSE)</f>
        <v>#NAME?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1:42" x14ac:dyDescent="0.25">
      <c r="A59" s="92" t="s">
        <v>181</v>
      </c>
      <c r="B59" s="14">
        <f ca="1">VLOOKUP($A59,[1]!LOOKUP_SARS_Unified2,B$2,FALSE)</f>
        <v>2008</v>
      </c>
      <c r="C59" s="113">
        <f ca="1">VLOOKUP($A59,[1]!LOOKUP_SARS_Unified2,C$2,FALSE)</f>
        <v>-7.4999999999999997E-2</v>
      </c>
      <c r="D59" s="113">
        <f ca="1">VLOOKUP($A59,[1]!LOOKUP_SARS_Unified2,D$2,FALSE)</f>
        <v>-1.9301675802610885E-2</v>
      </c>
      <c r="E59" s="117">
        <f ca="1">IF(VLOOKUP($A59,[1]!LOOKUP_MDAPs,E$2,FALSE)&lt;&gt;0,VLOOKUP($A59,[1]!LOOKUP_MDAPs,E$2,FALSE),"")</f>
        <v>2008</v>
      </c>
      <c r="F59" s="113">
        <f ca="1">VLOOKUP($A59,[1]!LOOKUP_SARS_Unified2,F$2,FALSE)</f>
        <v>-4.4000000000000004E-2</v>
      </c>
      <c r="G59" s="3" t="e">
        <f>VLOOKUP($A59,[1]!LOOKUP_SARS_Unified,G$2,FALSE)</f>
        <v>#NAME?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1:42" x14ac:dyDescent="0.25">
      <c r="A60" s="92" t="s">
        <v>78</v>
      </c>
      <c r="B60" s="14">
        <f ca="1">VLOOKUP($A60,[1]!LOOKUP_SARS_Unified2,B$2,FALSE)</f>
        <v>2005</v>
      </c>
      <c r="C60" s="113">
        <f ca="1">VLOOKUP($A60,[1]!LOOKUP_SARS_Unified2,C$2,FALSE)</f>
        <v>-0.222</v>
      </c>
      <c r="D60" s="113">
        <f ca="1">VLOOKUP($A60,[1]!LOOKUP_SARS_Unified2,D$2,FALSE)</f>
        <v>-3.5225854052385874E-2</v>
      </c>
      <c r="E60" s="117">
        <f ca="1">IF(VLOOKUP($A60,[1]!LOOKUP_MDAPs,E$2,FALSE)&lt;&gt;0,VLOOKUP($A60,[1]!LOOKUP_MDAPs,E$2,FALSE),"")</f>
        <v>2005</v>
      </c>
      <c r="F60" s="113">
        <f ca="1">VLOOKUP($A60,[1]!LOOKUP_SARS_Unified2,F$2,FALSE)</f>
        <v>-0.223</v>
      </c>
      <c r="G60" s="3" t="e">
        <f>VLOOKUP($A60,[1]!LOOKUP_SARS_Unified,G$2,FALSE)</f>
        <v>#NAME?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1:42" x14ac:dyDescent="0.25">
      <c r="A61" s="92" t="s">
        <v>6</v>
      </c>
      <c r="B61" s="14">
        <f ca="1">VLOOKUP($A61,[1]!LOOKUP_SARS_Unified2,B$2,FALSE)</f>
        <v>2008</v>
      </c>
      <c r="C61" s="113">
        <f ca="1">VLOOKUP($A61,[1]!LOOKUP_SARS_Unified2,C$2,FALSE)</f>
        <v>0.26100000000000001</v>
      </c>
      <c r="D61" s="113">
        <f ca="1">VLOOKUP($A61,[1]!LOOKUP_SARS_Unified2,D$2,FALSE)</f>
        <v>8.0367958754792523E-2</v>
      </c>
      <c r="E61" s="117">
        <f ca="1">IF(VLOOKUP($A61,[1]!LOOKUP_MDAPs,E$2,FALSE)&lt;&gt;0,VLOOKUP($A61,[1]!LOOKUP_MDAPs,E$2,FALSE),"")</f>
        <v>2008</v>
      </c>
      <c r="F61" s="113">
        <f ca="1">VLOOKUP($A61,[1]!LOOKUP_SARS_Unified2,F$2,FALSE)</f>
        <v>0.27399999999999997</v>
      </c>
      <c r="G61" s="3" t="e">
        <f>VLOOKUP($A61,[1]!LOOKUP_SARS_Unified,G$2,FALSE)</f>
        <v>#NAME?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1:42" x14ac:dyDescent="0.25">
      <c r="A62" s="92" t="s">
        <v>182</v>
      </c>
      <c r="B62" s="14">
        <f ca="1">VLOOKUP($A62,[1]!LOOKUP_SARS_Unified2,B$2,FALSE)</f>
        <v>2008</v>
      </c>
      <c r="C62" s="113">
        <f ca="1">VLOOKUP($A62,[1]!LOOKUP_SARS_Unified2,C$2,FALSE)</f>
        <v>-2.6000000000000002E-2</v>
      </c>
      <c r="D62" s="113">
        <f ca="1">VLOOKUP($A62,[1]!LOOKUP_SARS_Unified2,D$2,FALSE)</f>
        <v>-6.5643537108072136E-3</v>
      </c>
      <c r="E62" s="117">
        <f ca="1">IF(VLOOKUP($A62,[1]!LOOKUP_MDAPs,E$2,FALSE)&lt;&gt;0,VLOOKUP($A62,[1]!LOOKUP_MDAPs,E$2,FALSE),"")</f>
        <v>2008</v>
      </c>
      <c r="F62" s="113">
        <f ca="1">VLOOKUP($A62,[1]!LOOKUP_SARS_Unified2,F$2,FALSE)</f>
        <v>-3.6000000000000004E-2</v>
      </c>
      <c r="G62" s="3" t="e">
        <f>VLOOKUP($A62,[1]!LOOKUP_SARS_Unified,G$2,FALSE)</f>
        <v>#NAME?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1:42" x14ac:dyDescent="0.25">
      <c r="A63" s="92" t="s">
        <v>21</v>
      </c>
      <c r="B63" s="14">
        <f ca="1">VLOOKUP($A63,[1]!LOOKUP_SARS_Unified2,B$2,FALSE)</f>
        <v>2002</v>
      </c>
      <c r="C63" s="113">
        <f ca="1">VLOOKUP($A63,[1]!LOOKUP_SARS_Unified2,C$2,FALSE)</f>
        <v>8.3000000000000004E-2</v>
      </c>
      <c r="D63" s="113">
        <f ca="1">VLOOKUP($A63,[1]!LOOKUP_SARS_Unified2,D$2,FALSE)</f>
        <v>8.0053697842330518E-3</v>
      </c>
      <c r="E63" s="117">
        <f ca="1">IF(VLOOKUP($A63,[1]!LOOKUP_MDAPs,E$2,FALSE)&lt;&gt;0,VLOOKUP($A63,[1]!LOOKUP_MDAPs,E$2,FALSE),"")</f>
        <v>2002</v>
      </c>
      <c r="F63" s="113">
        <f ca="1">VLOOKUP($A63,[1]!LOOKUP_SARS_Unified2,F$2,FALSE)</f>
        <v>9.4E-2</v>
      </c>
      <c r="G63" s="3" t="e">
        <f>VLOOKUP($A63,[1]!LOOKUP_SARS_Unified,G$2,FALSE)</f>
        <v>#NAME?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1:42" x14ac:dyDescent="0.25">
      <c r="A64" s="92" t="s">
        <v>220</v>
      </c>
      <c r="B64" s="14">
        <f ca="1">VLOOKUP($A64,[1]!LOOKUP_SARS_Unified2,B$2,FALSE)</f>
        <v>2001</v>
      </c>
      <c r="C64" s="113">
        <f ca="1">VLOOKUP($A64,[1]!LOOKUP_SARS_Unified2,C$2,FALSE)</f>
        <v>-0.27399999999999997</v>
      </c>
      <c r="D64" s="113">
        <f ca="1">VLOOKUP($A64,[1]!LOOKUP_SARS_Unified2,D$2,FALSE)</f>
        <v>-0.1479436638343683</v>
      </c>
      <c r="E64" s="117">
        <f ca="1">IF(VLOOKUP($A64,[1]!LOOKUP_MDAPs,E$2,FALSE)&lt;&gt;0,VLOOKUP($A64,[1]!LOOKUP_MDAPs,E$2,FALSE),"")</f>
        <v>2001</v>
      </c>
      <c r="F64" s="113">
        <f ca="1">VLOOKUP($A64,[1]!LOOKUP_SARS_Unified2,F$2,FALSE)</f>
        <v>-0.29299999999999998</v>
      </c>
      <c r="G64" s="3" t="e">
        <f>VLOOKUP($A64,[1]!LOOKUP_SARS_Unified,G$2,FALSE)</f>
        <v>#NAME?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1:42" x14ac:dyDescent="0.25">
      <c r="A65" s="92" t="s">
        <v>33</v>
      </c>
      <c r="B65" s="14">
        <f ca="1">VLOOKUP($A65,[1]!LOOKUP_SARS_Unified2,B$2,FALSE)</f>
        <v>1990</v>
      </c>
      <c r="C65" s="113">
        <f ca="1">VLOOKUP($A65,[1]!LOOKUP_SARS_Unified2,C$2,FALSE)</f>
        <v>-6.6000000000000003E-2</v>
      </c>
      <c r="D65" s="113">
        <f ca="1">VLOOKUP($A65,[1]!LOOKUP_SARS_Unified2,D$2,FALSE)</f>
        <v>-4.0083474407349717E-3</v>
      </c>
      <c r="E65" s="117">
        <f ca="1">IF(VLOOKUP($A65,[1]!LOOKUP_MDAPs,E$2,FALSE)&lt;&gt;0,VLOOKUP($A65,[1]!LOOKUP_MDAPs,E$2,FALSE),"")</f>
        <v>1990</v>
      </c>
      <c r="F65" s="113">
        <f ca="1">VLOOKUP($A65,[1]!LOOKUP_SARS_Unified2,F$2,FALSE)</f>
        <v>-1.2E-2</v>
      </c>
      <c r="G65" s="3" t="e">
        <f>VLOOKUP($A65,[1]!LOOKUP_SARS_Unified,G$2,FALSE)</f>
        <v>#NAME?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1:42" x14ac:dyDescent="0.25">
      <c r="A66" s="92" t="s">
        <v>68</v>
      </c>
      <c r="B66" s="14">
        <f ca="1">VLOOKUP($A66,[1]!LOOKUP_SARS_Unified2,B$2,FALSE)</f>
        <v>2002</v>
      </c>
      <c r="C66" s="113">
        <f ca="1">VLOOKUP($A66,[1]!LOOKUP_SARS_Unified2,C$2,FALSE)</f>
        <v>-0.54</v>
      </c>
      <c r="D66" s="113">
        <f ca="1">VLOOKUP($A66,[1]!LOOKUP_SARS_Unified2,D$2,FALSE)</f>
        <v>-7.4714443101084882E-2</v>
      </c>
      <c r="E66" s="117">
        <f ca="1">IF(VLOOKUP($A66,[1]!LOOKUP_MDAPs,E$2,FALSE)&lt;&gt;0,VLOOKUP($A66,[1]!LOOKUP_MDAPs,E$2,FALSE),"")</f>
        <v>2002</v>
      </c>
      <c r="F66" s="113">
        <f ca="1">VLOOKUP($A66,[1]!LOOKUP_SARS_Unified2,F$2,FALSE)</f>
        <v>-0.252</v>
      </c>
      <c r="G66" s="3" t="e">
        <f>VLOOKUP($A66,[1]!LOOKUP_SARS_Unified,G$2,FALSE)</f>
        <v>#NAME?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1:42" x14ac:dyDescent="0.25">
      <c r="A67" s="92" t="s">
        <v>76</v>
      </c>
      <c r="B67" s="14">
        <f ca="1">VLOOKUP($A67,[1]!LOOKUP_SARS_Unified2,B$2,FALSE)</f>
        <v>2011</v>
      </c>
      <c r="C67" s="113">
        <f ca="1">VLOOKUP($A67,[1]!LOOKUP_SARS_Unified2,C$2,FALSE)</f>
        <v>-0.27600000000000002</v>
      </c>
      <c r="D67" s="113">
        <f ca="1">VLOOKUP($A67,[1]!LOOKUP_SARS_Unified2,D$2,FALSE)</f>
        <v>-0.27600000000000002</v>
      </c>
      <c r="E67" s="117">
        <f ca="1">IF(VLOOKUP($A67,[1]!LOOKUP_MDAPs,E$2,FALSE)&lt;&gt;0,VLOOKUP($A67,[1]!LOOKUP_MDAPs,E$2,FALSE),"")</f>
        <v>2011</v>
      </c>
      <c r="F67" s="113">
        <f ca="1">VLOOKUP($A67,[1]!LOOKUP_SARS_Unified2,F$2,FALSE)</f>
        <v>-0.25800000000000001</v>
      </c>
      <c r="G67" s="3" t="e">
        <f>VLOOKUP($A67,[1]!LOOKUP_SARS_Unified,G$2,FALSE)</f>
        <v>#NAME?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1:42" x14ac:dyDescent="0.25">
      <c r="A68" s="92" t="s">
        <v>70</v>
      </c>
      <c r="B68" s="14">
        <f ca="1">VLOOKUP($A68,[1]!LOOKUP_SARS_Unified2,B$2,FALSE)</f>
        <v>2002</v>
      </c>
      <c r="C68" s="113">
        <f ca="1">VLOOKUP($A68,[1]!LOOKUP_SARS_Unified2,C$2,FALSE)</f>
        <v>1.109</v>
      </c>
      <c r="D68" s="113">
        <f ca="1">VLOOKUP($A68,[1]!LOOKUP_SARS_Unified2,D$2,FALSE)</f>
        <v>7.7476130572713853E-2</v>
      </c>
      <c r="E68" s="117">
        <f ca="1">IF(VLOOKUP($A68,[1]!LOOKUP_MDAPs,E$2,FALSE)&lt;&gt;0,VLOOKUP($A68,[1]!LOOKUP_MDAPs,E$2,FALSE),"")</f>
        <v>2002</v>
      </c>
      <c r="F68" s="113">
        <f ca="1">VLOOKUP($A68,[1]!LOOKUP_SARS_Unified2,F$2,FALSE)</f>
        <v>1.179</v>
      </c>
      <c r="G68" s="3" t="e">
        <f>VLOOKUP($A68,[1]!LOOKUP_SARS_Unified,G$2,FALSE)</f>
        <v>#NAME?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1:42" x14ac:dyDescent="0.25">
      <c r="A69" s="92" t="s">
        <v>45</v>
      </c>
      <c r="B69" s="14">
        <f ca="1">VLOOKUP($A69,[1]!LOOKUP_SARS_Unified2,B$2,FALSE)</f>
        <v>2008</v>
      </c>
      <c r="C69" s="113">
        <f ca="1">VLOOKUP($A69,[1]!LOOKUP_SARS_Unified2,C$2,FALSE)</f>
        <v>0.13800000000000001</v>
      </c>
      <c r="D69" s="113">
        <f ca="1">VLOOKUP($A69,[1]!LOOKUP_SARS_Unified2,D$2,FALSE)</f>
        <v>4.4032666339381299E-2</v>
      </c>
      <c r="E69" s="117">
        <f ca="1">IF(VLOOKUP($A69,[1]!LOOKUP_MDAPs,E$2,FALSE)&lt;&gt;0,VLOOKUP($A69,[1]!LOOKUP_MDAPs,E$2,FALSE),"")</f>
        <v>2008</v>
      </c>
      <c r="F69" s="113">
        <f ca="1">VLOOKUP($A69,[1]!LOOKUP_SARS_Unified2,F$2,FALSE)</f>
        <v>0.129</v>
      </c>
      <c r="G69" s="3" t="e">
        <f>VLOOKUP($A69,[1]!LOOKUP_SARS_Unified,G$2,FALSE)</f>
        <v>#NAME?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1:42" x14ac:dyDescent="0.25">
      <c r="A70" s="92" t="s">
        <v>221</v>
      </c>
      <c r="B70" s="14">
        <f ca="1">VLOOKUP($A70,[1]!LOOKUP_SARS_Unified2,B$2,FALSE)</f>
        <v>2003</v>
      </c>
      <c r="C70" s="113">
        <f ca="1">VLOOKUP($A70,[1]!LOOKUP_SARS_Unified2,C$2,FALSE)</f>
        <v>-0.90400000000000003</v>
      </c>
      <c r="D70" s="113">
        <f ca="1">VLOOKUP($A70,[1]!LOOKUP_SARS_Unified2,D$2,FALSE)</f>
        <v>-0.44336846325725188</v>
      </c>
      <c r="E70" s="117">
        <f ca="1">IF(VLOOKUP($A70,[1]!LOOKUP_MDAPs,E$2,FALSE)&lt;&gt;0,VLOOKUP($A70,[1]!LOOKUP_MDAPs,E$2,FALSE),"")</f>
        <v>2003</v>
      </c>
      <c r="F70" s="113">
        <f ca="1">VLOOKUP($A70,[1]!LOOKUP_SARS_Unified2,F$2,FALSE)</f>
        <v>-0.92900000000000005</v>
      </c>
      <c r="G70" s="3" t="e">
        <f>VLOOKUP($A70,[1]!LOOKUP_SARS_Unified,G$2,FALSE)</f>
        <v>#NAME?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1:42" x14ac:dyDescent="0.25">
      <c r="A71" s="92" t="s">
        <v>62</v>
      </c>
      <c r="B71" s="14">
        <f ca="1">VLOOKUP($A71,[1]!LOOKUP_SARS_Unified2,B$2,FALSE)</f>
        <v>2006</v>
      </c>
      <c r="C71" s="113">
        <f ca="1">VLOOKUP($A71,[1]!LOOKUP_SARS_Unified2,C$2,FALSE)</f>
        <v>-9.0000000000000011E-3</v>
      </c>
      <c r="D71" s="113">
        <f ca="1">VLOOKUP($A71,[1]!LOOKUP_SARS_Unified2,D$2,FALSE)</f>
        <v>-1.505656136097322E-3</v>
      </c>
      <c r="E71" s="117">
        <f ca="1">IF(VLOOKUP($A71,[1]!LOOKUP_MDAPs,E$2,FALSE)&lt;&gt;0,VLOOKUP($A71,[1]!LOOKUP_MDAPs,E$2,FALSE),"")</f>
        <v>2006</v>
      </c>
      <c r="F71" s="113">
        <f ca="1">VLOOKUP($A71,[1]!LOOKUP_SARS_Unified2,F$2,FALSE)</f>
        <v>3.9E-2</v>
      </c>
      <c r="G71" s="3" t="e">
        <f>VLOOKUP($A71,[1]!LOOKUP_SARS_Unified,G$2,FALSE)</f>
        <v>#NAME?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1:42" x14ac:dyDescent="0.25">
      <c r="A72" s="92" t="s">
        <v>245</v>
      </c>
      <c r="B72" s="14">
        <f ca="1">VLOOKUP($A72,[1]!LOOKUP_SARS_Unified2,B$2,FALSE)</f>
        <v>1996</v>
      </c>
      <c r="C72" s="113">
        <f ca="1">VLOOKUP($A72,[1]!LOOKUP_SARS_Unified2,C$2,FALSE)</f>
        <v>80.599999999999994</v>
      </c>
      <c r="D72" s="113">
        <f ca="1">VLOOKUP($A72,[1]!LOOKUP_SARS_Unified2,D$2,FALSE)</f>
        <v>0.34105321171014724</v>
      </c>
      <c r="E72" s="117">
        <f ca="1">IF(VLOOKUP($A72,[1]!LOOKUP_MDAPs,E$2,FALSE)&lt;&gt;0,VLOOKUP($A72,[1]!LOOKUP_MDAPs,E$2,FALSE),"")</f>
        <v>1996</v>
      </c>
      <c r="F72" s="113">
        <f ca="1">VLOOKUP($A72,[1]!LOOKUP_SARS_Unified2,F$2,FALSE)</f>
        <v>69.7</v>
      </c>
      <c r="G72" s="3" t="e">
        <f>VLOOKUP($A72,[1]!LOOKUP_SARS_Unified,G$2,FALSE)</f>
        <v>#NAME?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1:42" x14ac:dyDescent="0.25">
      <c r="A73" s="92" t="s">
        <v>37</v>
      </c>
      <c r="B73" s="14">
        <f ca="1">VLOOKUP($A73,[1]!LOOKUP_SARS_Unified2,B$2,FALSE)</f>
        <v>1996</v>
      </c>
      <c r="C73" s="113">
        <f ca="1">VLOOKUP($A73,[1]!LOOKUP_SARS_Unified2,C$2,FALSE)</f>
        <v>0.85499999999999998</v>
      </c>
      <c r="D73" s="113">
        <f ca="1">VLOOKUP($A73,[1]!LOOKUP_SARS_Unified2,D$2,FALSE)</f>
        <v>3.937315255275875E-2</v>
      </c>
      <c r="E73" s="117">
        <f ca="1">IF(VLOOKUP($A73,[1]!LOOKUP_MDAPs,E$2,FALSE)&lt;&gt;0,VLOOKUP($A73,[1]!LOOKUP_MDAPs,E$2,FALSE),"")</f>
        <v>1996</v>
      </c>
      <c r="F73" s="113">
        <f ca="1">VLOOKUP($A73,[1]!LOOKUP_SARS_Unified2,F$2,FALSE)</f>
        <v>1.0270000000000001</v>
      </c>
      <c r="G73" s="3" t="e">
        <f>VLOOKUP($A73,[1]!LOOKUP_SARS_Unified,G$2,FALSE)</f>
        <v>#NAME?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1:42" x14ac:dyDescent="0.25">
      <c r="A74" s="92" t="s">
        <v>58</v>
      </c>
      <c r="B74" s="14">
        <f ca="1">VLOOKUP($A74,[1]!LOOKUP_SARS_Unified2,B$2,FALSE)</f>
        <v>2006</v>
      </c>
      <c r="C74" s="113">
        <f ca="1">VLOOKUP($A74,[1]!LOOKUP_SARS_Unified2,C$2,FALSE)</f>
        <v>2.6000000000000002E-2</v>
      </c>
      <c r="D74" s="113">
        <f ca="1">VLOOKUP($A74,[1]!LOOKUP_SARS_Unified2,D$2,FALSE)</f>
        <v>4.2871213152586574E-3</v>
      </c>
      <c r="E74" s="117">
        <f ca="1">IF(VLOOKUP($A74,[1]!LOOKUP_MDAPs,E$2,FALSE)&lt;&gt;0,VLOOKUP($A74,[1]!LOOKUP_MDAPs,E$2,FALSE),"")</f>
        <v>2006</v>
      </c>
      <c r="F74" s="113">
        <f ca="1">VLOOKUP($A74,[1]!LOOKUP_SARS_Unified2,F$2,FALSE)</f>
        <v>-9.0000000000000011E-3</v>
      </c>
      <c r="G74" s="3" t="e">
        <f>VLOOKUP($A74,[1]!LOOKUP_SARS_Unified,G$2,FALSE)</f>
        <v>#NAME?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1:42" x14ac:dyDescent="0.25">
      <c r="A75" s="92" t="s">
        <v>41</v>
      </c>
      <c r="B75" s="14">
        <f ca="1">VLOOKUP($A75,[1]!LOOKUP_SARS_Unified2,B$2,FALSE)</f>
        <v>2006</v>
      </c>
      <c r="C75" s="113">
        <f ca="1">VLOOKUP($A75,[1]!LOOKUP_SARS_Unified2,C$2,FALSE)</f>
        <v>0.13500000000000001</v>
      </c>
      <c r="D75" s="113">
        <f ca="1">VLOOKUP($A75,[1]!LOOKUP_SARS_Unified2,D$2,FALSE)</f>
        <v>2.1329736828713974E-2</v>
      </c>
      <c r="E75" s="117">
        <f ca="1">IF(VLOOKUP($A75,[1]!LOOKUP_MDAPs,E$2,FALSE)&lt;&gt;0,VLOOKUP($A75,[1]!LOOKUP_MDAPs,E$2,FALSE),"")</f>
        <v>2006</v>
      </c>
      <c r="F75" s="113">
        <f ca="1">VLOOKUP($A75,[1]!LOOKUP_SARS_Unified2,F$2,FALSE)</f>
        <v>0.14000000000000001</v>
      </c>
      <c r="G75" s="3" t="e">
        <f>VLOOKUP($A75,[1]!LOOKUP_SARS_Unified,G$2,FALSE)</f>
        <v>#NAME?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1:42" x14ac:dyDescent="0.25">
      <c r="A76" s="92" t="s">
        <v>44</v>
      </c>
      <c r="B76" s="14">
        <f ca="1">VLOOKUP($A76,[1]!LOOKUP_SARS_Unified2,B$2,FALSE)</f>
        <v>1998</v>
      </c>
      <c r="C76" s="113">
        <f ca="1">VLOOKUP($A76,[1]!LOOKUP_SARS_Unified2,C$2,FALSE)</f>
        <v>0.13500000000000001</v>
      </c>
      <c r="D76" s="113">
        <f ca="1">VLOOKUP($A76,[1]!LOOKUP_SARS_Unified2,D$2,FALSE)</f>
        <v>9.0862206963793213E-3</v>
      </c>
      <c r="E76" s="117">
        <f ca="1">IF(VLOOKUP($A76,[1]!LOOKUP_MDAPs,E$2,FALSE)&lt;&gt;0,VLOOKUP($A76,[1]!LOOKUP_MDAPs,E$2,FALSE),"")</f>
        <v>1998</v>
      </c>
      <c r="F76" s="113">
        <f ca="1">VLOOKUP($A76,[1]!LOOKUP_SARS_Unified2,F$2,FALSE)</f>
        <v>0.161</v>
      </c>
      <c r="G76" s="3" t="e">
        <f>VLOOKUP($A76,[1]!LOOKUP_SARS_Unified,G$2,FALSE)</f>
        <v>#NAME?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1:42" x14ac:dyDescent="0.25">
      <c r="A77" s="92" t="s">
        <v>183</v>
      </c>
      <c r="B77" s="14">
        <f ca="1">VLOOKUP($A77,[1]!LOOKUP_SARS_Unified2,B$2,FALSE)</f>
        <v>2003</v>
      </c>
      <c r="C77" s="113">
        <f ca="1">VLOOKUP($A77,[1]!LOOKUP_SARS_Unified2,C$2,FALSE)</f>
        <v>0.14699999999999999</v>
      </c>
      <c r="D77" s="113">
        <f ca="1">VLOOKUP($A77,[1]!LOOKUP_SARS_Unified2,D$2,FALSE)</f>
        <v>1.5355574555524276E-2</v>
      </c>
      <c r="E77" s="117">
        <f ca="1">IF(VLOOKUP($A77,[1]!LOOKUP_MDAPs,E$2,FALSE)&lt;&gt;0,VLOOKUP($A77,[1]!LOOKUP_MDAPs,E$2,FALSE),"")</f>
        <v>2003</v>
      </c>
      <c r="F77" s="113">
        <f ca="1">VLOOKUP($A77,[1]!LOOKUP_SARS_Unified2,F$2,FALSE)</f>
        <v>0.17499999999999999</v>
      </c>
      <c r="G77" s="3" t="e">
        <f>VLOOKUP($A77,[1]!LOOKUP_SARS_Unified,G$2,FALSE)</f>
        <v>#NAME?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1:42" x14ac:dyDescent="0.25">
      <c r="A78" s="92" t="s">
        <v>66</v>
      </c>
      <c r="B78" s="14">
        <f ca="1">VLOOKUP($A78,[1]!LOOKUP_SARS_Unified2,B$2,FALSE)</f>
        <v>2000</v>
      </c>
      <c r="C78" s="113">
        <f ca="1">VLOOKUP($A78,[1]!LOOKUP_SARS_Unified2,C$2,FALSE)</f>
        <v>-20</v>
      </c>
      <c r="D78" s="113" t="str">
        <f ca="1">VLOOKUP($A78,[1]!LOOKUP_SARS_Unified2,D$2,FALSE)</f>
        <v/>
      </c>
      <c r="E78" s="117">
        <f ca="1">IF(VLOOKUP($A78,[1]!LOOKUP_MDAPs,E$2,FALSE)&lt;&gt;0,VLOOKUP($A78,[1]!LOOKUP_MDAPs,E$2,FALSE),"")</f>
        <v>2000</v>
      </c>
      <c r="F78" s="113">
        <f ca="1">VLOOKUP($A78,[1]!LOOKUP_SARS_Unified2,F$2,FALSE)</f>
        <v>-16.899999999999999</v>
      </c>
      <c r="G78" s="3" t="e">
        <f>VLOOKUP($A78,[1]!LOOKUP_SARS_Unified,G$2,FALSE)</f>
        <v>#NAME?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1:42" x14ac:dyDescent="0.25">
      <c r="A79" s="92" t="s">
        <v>65</v>
      </c>
      <c r="B79" s="14">
        <f ca="1">VLOOKUP($A79,[1]!LOOKUP_SARS_Unified2,B$2,FALSE)</f>
        <v>2004</v>
      </c>
      <c r="C79" s="113">
        <f ca="1">VLOOKUP($A79,[1]!LOOKUP_SARS_Unified2,C$2,FALSE)</f>
        <v>0.04</v>
      </c>
      <c r="D79" s="113">
        <f ca="1">VLOOKUP($A79,[1]!LOOKUP_SARS_Unified2,D$2,FALSE)</f>
        <v>4.914626497678487E-3</v>
      </c>
      <c r="E79" s="117">
        <f ca="1">IF(VLOOKUP($A79,[1]!LOOKUP_MDAPs,E$2,FALSE)&lt;&gt;0,VLOOKUP($A79,[1]!LOOKUP_MDAPs,E$2,FALSE),"")</f>
        <v>2004</v>
      </c>
      <c r="F79" s="113">
        <f ca="1">VLOOKUP($A79,[1]!LOOKUP_SARS_Unified2,F$2,FALSE)</f>
        <v>3.3000000000000002E-2</v>
      </c>
      <c r="G79" s="3" t="e">
        <f>VLOOKUP($A79,[1]!LOOKUP_SARS_Unified,G$2,FALSE)</f>
        <v>#NAME?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1:42" x14ac:dyDescent="0.25">
      <c r="A80" s="92" t="s">
        <v>46</v>
      </c>
      <c r="B80" s="14">
        <f ca="1">VLOOKUP($A80,[1]!LOOKUP_SARS_Unified2,B$2,FALSE)</f>
        <v>2005</v>
      </c>
      <c r="C80" s="113">
        <f ca="1">VLOOKUP($A80,[1]!LOOKUP_SARS_Unified2,C$2,FALSE)</f>
        <v>3.9E-2</v>
      </c>
      <c r="D80" s="113">
        <f ca="1">VLOOKUP($A80,[1]!LOOKUP_SARS_Unified2,D$2,FALSE)</f>
        <v>5.4804935614793937E-3</v>
      </c>
      <c r="E80" s="117">
        <f ca="1">IF(VLOOKUP($A80,[1]!LOOKUP_MDAPs,E$2,FALSE)&lt;&gt;0,VLOOKUP($A80,[1]!LOOKUP_MDAPs,E$2,FALSE),"")</f>
        <v>2005</v>
      </c>
      <c r="F80" s="113">
        <f ca="1">VLOOKUP($A80,[1]!LOOKUP_SARS_Unified2,F$2,FALSE)</f>
        <v>4.4999999999999998E-2</v>
      </c>
      <c r="G80" s="3" t="e">
        <f>VLOOKUP($A80,[1]!LOOKUP_SARS_Unified,G$2,FALSE)</f>
        <v>#NAME?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1:42" x14ac:dyDescent="0.25">
      <c r="A81" s="92" t="s">
        <v>63</v>
      </c>
      <c r="B81" s="14">
        <f ca="1">VLOOKUP($A81,[1]!LOOKUP_SARS_Unified2,B$2,FALSE)</f>
        <v>2000</v>
      </c>
      <c r="C81" s="113">
        <f ca="1">VLOOKUP($A81,[1]!LOOKUP_SARS_Unified2,C$2,FALSE)</f>
        <v>0.23800000000000002</v>
      </c>
      <c r="D81" s="113">
        <f ca="1">VLOOKUP($A81,[1]!LOOKUP_SARS_Unified2,D$2,FALSE)</f>
        <v>3.0969473870239295E-2</v>
      </c>
      <c r="E81" s="117">
        <f ca="1">IF(VLOOKUP($A81,[1]!LOOKUP_MDAPs,E$2,FALSE)&lt;&gt;0,VLOOKUP($A81,[1]!LOOKUP_MDAPs,E$2,FALSE),"")</f>
        <v>2000</v>
      </c>
      <c r="F81" s="113">
        <f ca="1">VLOOKUP($A81,[1]!LOOKUP_SARS_Unified2,F$2,FALSE)</f>
        <v>0.28899999999999998</v>
      </c>
      <c r="G81" s="3" t="e">
        <f>VLOOKUP($A81,[1]!LOOKUP_SARS_Unified,G$2,FALSE)</f>
        <v>#NAME?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1:42" x14ac:dyDescent="0.25">
      <c r="A82" s="92" t="s">
        <v>71</v>
      </c>
      <c r="B82" s="14">
        <f ca="1">VLOOKUP($A82,[1]!LOOKUP_SARS_Unified2,B$2,FALSE)</f>
        <v>2002</v>
      </c>
      <c r="C82" s="113">
        <f ca="1">VLOOKUP($A82,[1]!LOOKUP_SARS_Unified2,C$2,FALSE)</f>
        <v>4.9000000000000002E-2</v>
      </c>
      <c r="D82" s="113">
        <f ca="1">VLOOKUP($A82,[1]!LOOKUP_SARS_Unified2,D$2,FALSE)</f>
        <v>4.7951932589223034E-3</v>
      </c>
      <c r="E82" s="117">
        <f ca="1">IF(VLOOKUP($A82,[1]!LOOKUP_MDAPs,E$2,FALSE)&lt;&gt;0,VLOOKUP($A82,[1]!LOOKUP_MDAPs,E$2,FALSE),"")</f>
        <v>2002</v>
      </c>
      <c r="F82" s="113">
        <f ca="1">VLOOKUP($A82,[1]!LOOKUP_SARS_Unified2,F$2,FALSE)</f>
        <v>7.0000000000000007E-2</v>
      </c>
      <c r="G82" s="3" t="e">
        <f>VLOOKUP($A82,[1]!LOOKUP_SARS_Unified,G$2,FALSE)</f>
        <v>#NAME?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1:42" x14ac:dyDescent="0.25">
      <c r="A83" s="92" t="s">
        <v>69</v>
      </c>
      <c r="B83" s="14">
        <f ca="1">VLOOKUP($A83,[1]!LOOKUP_SARS_Unified2,B$2,FALSE)</f>
        <v>2002</v>
      </c>
      <c r="C83" s="113">
        <f ca="1">VLOOKUP($A83,[1]!LOOKUP_SARS_Unified2,C$2,FALSE)</f>
        <v>2.7370000000000001</v>
      </c>
      <c r="D83" s="113">
        <f ca="1">VLOOKUP($A83,[1]!LOOKUP_SARS_Unified2,D$2,FALSE)</f>
        <v>0.14091242495941247</v>
      </c>
      <c r="E83" s="117">
        <f ca="1">IF(VLOOKUP($A83,[1]!LOOKUP_MDAPs,E$2,FALSE)&lt;&gt;0,VLOOKUP($A83,[1]!LOOKUP_MDAPs,E$2,FALSE),"")</f>
        <v>2002</v>
      </c>
      <c r="F83" s="121">
        <f ca="1">VLOOKUP($A83,[1]!LOOKUP_SARS_Unified2,F$2,FALSE)</f>
        <v>-54.151000000000003</v>
      </c>
      <c r="G83" s="3" t="e">
        <f>VLOOKUP($A83,[1]!LOOKUP_SARS_Unified,G$2,FALSE)</f>
        <v>#NAME?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1:42" x14ac:dyDescent="0.25">
      <c r="A84" s="92" t="s">
        <v>72</v>
      </c>
      <c r="B84" s="14">
        <f ca="1">VLOOKUP($A84,[1]!LOOKUP_SARS_Unified2,B$2,FALSE)</f>
        <v>2010</v>
      </c>
      <c r="C84" s="113">
        <f ca="1">VLOOKUP($A84,[1]!LOOKUP_SARS_Unified2,C$2,FALSE)</f>
        <v>-1.6E-2</v>
      </c>
      <c r="D84" s="113">
        <f ca="1">VLOOKUP($A84,[1]!LOOKUP_SARS_Unified2,D$2,FALSE)</f>
        <v>-8.0322585890204579E-3</v>
      </c>
      <c r="E84" s="117">
        <f ca="1">IF(VLOOKUP($A84,[1]!LOOKUP_MDAPs,E$2,FALSE)&lt;&gt;0,VLOOKUP($A84,[1]!LOOKUP_MDAPs,E$2,FALSE),"")</f>
        <v>2010</v>
      </c>
      <c r="F84" s="113">
        <f ca="1">VLOOKUP($A84,[1]!LOOKUP_SARS_Unified2,F$2,FALSE)</f>
        <v>-2E-3</v>
      </c>
      <c r="G84" s="3" t="e">
        <f>VLOOKUP($A84,[1]!LOOKUP_SARS_Unified,G$2,FALSE)</f>
        <v>#NAME?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1:42" x14ac:dyDescent="0.25">
      <c r="A85" s="92" t="s">
        <v>38</v>
      </c>
      <c r="B85" s="14" t="e">
        <f>VLOOKUP($A85,[1]!LOOKUP_SARS_Unified2,B$2,FALSE)</f>
        <v>#N/A</v>
      </c>
      <c r="C85" s="113" t="e">
        <f>VLOOKUP($A85,[1]!LOOKUP_SARS_Unified2,C$2,FALSE)</f>
        <v>#N/A</v>
      </c>
      <c r="D85" s="113" t="e">
        <f>VLOOKUP($A85,[1]!LOOKUP_SARS_Unified2,D$2,FALSE)</f>
        <v>#N/A</v>
      </c>
      <c r="E85" s="117" t="e">
        <f>IF(VLOOKUP($A85,[1]!LOOKUP_MDAPs,E$2,FALSE)&lt;&gt;0,VLOOKUP($A85,[1]!LOOKUP_MDAPs,E$2,FALSE),"")</f>
        <v>#N/A</v>
      </c>
      <c r="F85" s="113" t="e">
        <f>VLOOKUP($A85,[1]!LOOKUP_SARS_Unified2,F$2,FALSE)</f>
        <v>#N/A</v>
      </c>
      <c r="G85" s="3" t="e">
        <f>VLOOKUP($A85,[1]!LOOKUP_SARS_Unified,G$2,FALSE)</f>
        <v>#NAME?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1:42" x14ac:dyDescent="0.25">
      <c r="A86" s="92" t="s">
        <v>77</v>
      </c>
      <c r="B86" s="14">
        <f ca="1">VLOOKUP($A86,[1]!LOOKUP_SARS_Unified2,B$2,FALSE)</f>
        <v>2004</v>
      </c>
      <c r="C86" s="113">
        <f ca="1">VLOOKUP($A86,[1]!LOOKUP_SARS_Unified2,C$2,FALSE)</f>
        <v>-4.0999999999999995E-2</v>
      </c>
      <c r="D86" s="113">
        <f ca="1">VLOOKUP($A86,[1]!LOOKUP_SARS_Unified2,D$2,FALSE)</f>
        <v>-1.3857818725293791E-2</v>
      </c>
      <c r="E86" s="117">
        <f ca="1">IF(VLOOKUP($A86,[1]!LOOKUP_MDAPs,E$2,FALSE)&lt;&gt;0,VLOOKUP($A86,[1]!LOOKUP_MDAPs,E$2,FALSE),"")</f>
        <v>2004</v>
      </c>
      <c r="F86" s="113">
        <f ca="1">VLOOKUP($A86,[1]!LOOKUP_SARS_Unified2,F$2,FALSE)</f>
        <v>9.0000000000000011E-3</v>
      </c>
      <c r="G86" s="3" t="e">
        <f>VLOOKUP($A86,[1]!LOOKUP_SARS_Unified,G$2,FALSE)</f>
        <v>#NAME?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1:42" x14ac:dyDescent="0.25">
      <c r="A87" s="92" t="s">
        <v>246</v>
      </c>
      <c r="B87" s="14" t="str">
        <f ca="1">VLOOKUP($A87,[1]!LOOKUP_SARS_Unified2,B$2,FALSE)</f>
        <v/>
      </c>
      <c r="C87" s="113" t="str">
        <f ca="1">VLOOKUP($A87,[1]!LOOKUP_SARS_Unified2,C$2,FALSE)</f>
        <v/>
      </c>
      <c r="D87" s="113" t="str">
        <f ca="1">VLOOKUP($A87,[1]!LOOKUP_SARS_Unified2,D$2,FALSE)</f>
        <v/>
      </c>
      <c r="E87" s="117" t="str">
        <f ca="1">IF(VLOOKUP($A87,[1]!LOOKUP_MDAPs,E$2,FALSE)&lt;&gt;0,VLOOKUP($A87,[1]!LOOKUP_MDAPs,E$2,FALSE),"")</f>
        <v/>
      </c>
      <c r="F87" s="113" t="str">
        <f ca="1">VLOOKUP($A87,[1]!LOOKUP_SARS_Unified2,F$2,FALSE)</f>
        <v/>
      </c>
      <c r="G87" s="3" t="e">
        <f>VLOOKUP($A87,[1]!LOOKUP_SARS_Unified,G$2,FALSE)</f>
        <v>#NAME?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1:42" x14ac:dyDescent="0.25">
      <c r="A88" s="92" t="s">
        <v>247</v>
      </c>
      <c r="B88" s="14">
        <f ca="1">VLOOKUP($A88,[1]!LOOKUP_SARS_Unified2,B$2,FALSE)</f>
        <v>2008</v>
      </c>
      <c r="C88" s="113">
        <f ca="1">VLOOKUP($A88,[1]!LOOKUP_SARS_Unified2,C$2,FALSE)</f>
        <v>5.7000000000000002E-2</v>
      </c>
      <c r="D88" s="113">
        <f ca="1">VLOOKUP($A88,[1]!LOOKUP_SARS_Unified2,D$2,FALSE)</f>
        <v>1.3955153346532301E-2</v>
      </c>
      <c r="E88" s="117">
        <f ca="1">IF(VLOOKUP($A88,[1]!LOOKUP_MDAPs,E$2,FALSE)&lt;&gt;0,VLOOKUP($A88,[1]!LOOKUP_MDAPs,E$2,FALSE),"")</f>
        <v>2008</v>
      </c>
      <c r="F88" s="113">
        <f ca="1">VLOOKUP($A88,[1]!LOOKUP_SARS_Unified2,F$2,FALSE)</f>
        <v>8.6999999999999994E-2</v>
      </c>
      <c r="G88" s="3" t="e">
        <f>VLOOKUP($A88,[1]!LOOKUP_SARS_Unified,G$2,FALSE)</f>
        <v>#NAME?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1:42" x14ac:dyDescent="0.25">
      <c r="A89" s="92" t="s">
        <v>50</v>
      </c>
      <c r="B89" s="14">
        <f ca="1">VLOOKUP($A89,[1]!LOOKUP_SARS_Unified2,B$2,FALSE)</f>
        <v>2006</v>
      </c>
      <c r="C89" s="113">
        <f ca="1">VLOOKUP($A89,[1]!LOOKUP_SARS_Unified2,C$2,FALSE)</f>
        <v>-1.1000000000000001E-2</v>
      </c>
      <c r="D89" s="113">
        <f ca="1">VLOOKUP($A89,[1]!LOOKUP_SARS_Unified2,D$2,FALSE)</f>
        <v>-1.8417930403104021E-3</v>
      </c>
      <c r="E89" s="117">
        <f ca="1">IF(VLOOKUP($A89,[1]!LOOKUP_MDAPs,E$2,FALSE)&lt;&gt;0,VLOOKUP($A89,[1]!LOOKUP_MDAPs,E$2,FALSE),"")</f>
        <v>2006</v>
      </c>
      <c r="F89" s="113">
        <f ca="1">VLOOKUP($A89,[1]!LOOKUP_SARS_Unified2,F$2,FALSE)</f>
        <v>0</v>
      </c>
      <c r="G89" s="3" t="e">
        <f>VLOOKUP($A89,[1]!LOOKUP_SARS_Unified,G$2,FALSE)</f>
        <v>#NAME?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1:42" x14ac:dyDescent="0.25">
      <c r="A90" s="92" t="s">
        <v>248</v>
      </c>
      <c r="B90" s="14">
        <f ca="1">VLOOKUP($A90,[1]!LOOKUP_SARS_Unified2,B$2,FALSE)</f>
        <v>2000</v>
      </c>
      <c r="C90" s="113">
        <f ca="1">VLOOKUP($A90,[1]!LOOKUP_SARS_Unified2,C$2,FALSE)</f>
        <v>0.99199999999999999</v>
      </c>
      <c r="D90" s="113">
        <f ca="1">VLOOKUP($A90,[1]!LOOKUP_SARS_Unified2,D$2,FALSE)</f>
        <v>5.9109290885405397E-2</v>
      </c>
      <c r="E90" s="117">
        <f ca="1">IF(VLOOKUP($A90,[1]!LOOKUP_MDAPs,E$2,FALSE)&lt;&gt;0,VLOOKUP($A90,[1]!LOOKUP_MDAPs,E$2,FALSE),"")</f>
        <v>2000</v>
      </c>
      <c r="F90" s="113">
        <f ca="1">VLOOKUP($A90,[1]!LOOKUP_SARS_Unified2,F$2,FALSE)</f>
        <v>0.95700000000000007</v>
      </c>
      <c r="G90" s="3" t="e">
        <f>VLOOKUP($A90,[1]!LOOKUP_SARS_Unified,G$2,FALSE)</f>
        <v>#NAME?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1:42" x14ac:dyDescent="0.25">
      <c r="A91" s="92" t="s">
        <v>64</v>
      </c>
      <c r="B91" s="14">
        <f ca="1">VLOOKUP($A91,[1]!LOOKUP_SARS_Unified2,B$2,FALSE)</f>
        <v>1995</v>
      </c>
      <c r="C91" s="113">
        <f ca="1">VLOOKUP($A91,[1]!LOOKUP_SARS_Unified2,C$2,FALSE)</f>
        <v>1.7519999999999998</v>
      </c>
      <c r="D91" s="113">
        <f ca="1">VLOOKUP($A91,[1]!LOOKUP_SARS_Unified2,D$2,FALSE)</f>
        <v>6.1357449081755222E-2</v>
      </c>
      <c r="E91" s="117">
        <f ca="1">IF(VLOOKUP($A91,[1]!LOOKUP_MDAPs,E$2,FALSE)&lt;&gt;0,VLOOKUP($A91,[1]!LOOKUP_MDAPs,E$2,FALSE),"")</f>
        <v>1995</v>
      </c>
      <c r="F91" s="113">
        <f ca="1">VLOOKUP($A91,[1]!LOOKUP_SARS_Unified2,F$2,FALSE)</f>
        <v>1.944</v>
      </c>
      <c r="G91" s="3" t="e">
        <f>VLOOKUP($A91,[1]!LOOKUP_SARS_Unified,G$2,FALSE)</f>
        <v>#NAME?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1:42" x14ac:dyDescent="0.25">
      <c r="A92" s="92" t="s">
        <v>79</v>
      </c>
      <c r="B92" s="14">
        <f ca="1">VLOOKUP($A92,[1]!LOOKUP_SARS_Unified2,B$2,FALSE)</f>
        <v>2007</v>
      </c>
      <c r="C92" s="113">
        <f ca="1">VLOOKUP($A92,[1]!LOOKUP_SARS_Unified2,C$2,FALSE)</f>
        <v>0.114</v>
      </c>
      <c r="D92" s="113">
        <f ca="1">VLOOKUP($A92,[1]!LOOKUP_SARS_Unified2,D$2,FALSE)</f>
        <v>2.735679496302601E-2</v>
      </c>
      <c r="E92" s="117">
        <f ca="1">IF(VLOOKUP($A92,[1]!LOOKUP_MDAPs,E$2,FALSE)&lt;&gt;0,VLOOKUP($A92,[1]!LOOKUP_MDAPs,E$2,FALSE),"")</f>
        <v>2007</v>
      </c>
      <c r="F92" s="113">
        <f ca="1">VLOOKUP($A92,[1]!LOOKUP_SARS_Unified2,F$2,FALSE)</f>
        <v>0.111</v>
      </c>
      <c r="G92" s="3" t="e">
        <f>VLOOKUP($A92,[1]!LOOKUP_SARS_Unified,G$2,FALSE)</f>
        <v>#NAME?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1:42" x14ac:dyDescent="0.25">
      <c r="A93" s="92" t="s">
        <v>67</v>
      </c>
      <c r="B93" s="14">
        <f ca="1">VLOOKUP($A93,[1]!LOOKUP_SARS_Unified2,B$2,FALSE)</f>
        <v>2004</v>
      </c>
      <c r="C93" s="113">
        <f ca="1">VLOOKUP($A93,[1]!LOOKUP_SARS_Unified2,C$2,FALSE)</f>
        <v>-3.1E-2</v>
      </c>
      <c r="D93" s="113">
        <f ca="1">VLOOKUP($A93,[1]!LOOKUP_SARS_Unified2,D$2,FALSE)</f>
        <v>-3.9285961815587189E-3</v>
      </c>
      <c r="E93" s="117">
        <f ca="1">IF(VLOOKUP($A93,[1]!LOOKUP_MDAPs,E$2,FALSE)&lt;&gt;0,VLOOKUP($A93,[1]!LOOKUP_MDAPs,E$2,FALSE),"")</f>
        <v>2004</v>
      </c>
      <c r="F93" s="113">
        <f ca="1">VLOOKUP($A93,[1]!LOOKUP_SARS_Unified2,F$2,FALSE)</f>
        <v>-0.02</v>
      </c>
      <c r="G93" s="3" t="e">
        <f>VLOOKUP($A93,[1]!LOOKUP_SARS_Unified,G$2,FALSE)</f>
        <v>#NAME?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1:42" x14ac:dyDescent="0.25">
      <c r="A94" s="92" t="s">
        <v>75</v>
      </c>
      <c r="B94" s="14">
        <f ca="1">VLOOKUP($A94,[1]!LOOKUP_SARS_Unified2,B$2,FALSE)</f>
        <v>1995</v>
      </c>
      <c r="C94" s="113">
        <f ca="1">VLOOKUP($A94,[1]!LOOKUP_SARS_Unified2,C$2,FALSE)</f>
        <v>-3.4000000000000002E-2</v>
      </c>
      <c r="D94" s="113">
        <f ca="1">VLOOKUP($A94,[1]!LOOKUP_SARS_Unified2,D$2,FALSE)</f>
        <v>-2.0327220852797145E-3</v>
      </c>
      <c r="E94" s="117">
        <f ca="1">IF(VLOOKUP($A94,[1]!LOOKUP_MDAPs,E$2,FALSE)&lt;&gt;0,VLOOKUP($A94,[1]!LOOKUP_MDAPs,E$2,FALSE),"")</f>
        <v>1995</v>
      </c>
      <c r="F94" s="113">
        <f ca="1">VLOOKUP($A94,[1]!LOOKUP_SARS_Unified2,F$2,FALSE)</f>
        <v>1E-3</v>
      </c>
      <c r="G94" s="3" t="e">
        <f>VLOOKUP($A94,[1]!LOOKUP_SARS_Unified,G$2,FALSE)</f>
        <v>#NAME?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1:42" x14ac:dyDescent="0.25">
      <c r="A95" s="92" t="s">
        <v>40</v>
      </c>
      <c r="B95" s="14">
        <f ca="1">VLOOKUP($A95,[1]!LOOKUP_SARS_Unified2,B$2,FALSE)</f>
        <v>2004</v>
      </c>
      <c r="C95" s="113">
        <f ca="1">VLOOKUP($A95,[1]!LOOKUP_SARS_Unified2,C$2,FALSE)</f>
        <v>0.02</v>
      </c>
      <c r="D95" s="113">
        <f ca="1">VLOOKUP($A95,[1]!LOOKUP_SARS_Unified2,D$2,FALSE)</f>
        <v>2.4783945667874452E-3</v>
      </c>
      <c r="E95" s="117">
        <f ca="1">IF(VLOOKUP($A95,[1]!LOOKUP_MDAPs,E$2,FALSE)&lt;&gt;0,VLOOKUP($A95,[1]!LOOKUP_MDAPs,E$2,FALSE),"")</f>
        <v>2004</v>
      </c>
      <c r="F95" s="113">
        <f ca="1">VLOOKUP($A95,[1]!LOOKUP_SARS_Unified2,F$2,FALSE)</f>
        <v>3.1E-2</v>
      </c>
      <c r="G95" s="3" t="e">
        <f>VLOOKUP($A95,[1]!LOOKUP_SARS_Unified,G$2,FALSE)</f>
        <v>#NAME?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1:42" x14ac:dyDescent="0.25">
      <c r="A96" s="92" t="s">
        <v>42</v>
      </c>
      <c r="B96" s="14">
        <f ca="1">VLOOKUP($A96,[1]!LOOKUP_SARS_Unified2,B$2,FALSE)</f>
        <v>1999</v>
      </c>
      <c r="C96" s="113">
        <f ca="1">VLOOKUP($A96,[1]!LOOKUP_SARS_Unified2,C$2,FALSE)</f>
        <v>0.32</v>
      </c>
      <c r="D96" s="113">
        <f ca="1">VLOOKUP($A96,[1]!LOOKUP_SARS_Unified2,D$2,FALSE)</f>
        <v>2.1585965043452893E-2</v>
      </c>
      <c r="E96" s="117">
        <f ca="1">IF(VLOOKUP($A96,[1]!LOOKUP_MDAPs,E$2,FALSE)&lt;&gt;0,VLOOKUP($A96,[1]!LOOKUP_MDAPs,E$2,FALSE),"")</f>
        <v>1999</v>
      </c>
      <c r="F96" s="113">
        <f ca="1">VLOOKUP($A96,[1]!LOOKUP_SARS_Unified2,F$2,FALSE)</f>
        <v>0.379</v>
      </c>
      <c r="G96" s="3" t="e">
        <f>VLOOKUP($A96,[1]!LOOKUP_SARS_Unified,G$2,FALSE)</f>
        <v>#NAME?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1:42" x14ac:dyDescent="0.25">
      <c r="A97" s="92" t="s">
        <v>52</v>
      </c>
      <c r="B97" s="14">
        <f ca="1">VLOOKUP($A97,[1]!LOOKUP_SARS_Unified2,B$2,FALSE)</f>
        <v>2000</v>
      </c>
      <c r="C97" s="113">
        <f ca="1">VLOOKUP($A97,[1]!LOOKUP_SARS_Unified2,C$2,FALSE)</f>
        <v>0.08</v>
      </c>
      <c r="D97" s="113">
        <f ca="1">VLOOKUP($A97,[1]!LOOKUP_SARS_Unified2,D$2,FALSE)</f>
        <v>7.0209906792879639E-3</v>
      </c>
      <c r="E97" s="117">
        <f ca="1">IF(VLOOKUP($A97,[1]!LOOKUP_MDAPs,E$2,FALSE)&lt;&gt;0,VLOOKUP($A97,[1]!LOOKUP_MDAPs,E$2,FALSE),"")</f>
        <v>2000</v>
      </c>
      <c r="F97" s="113">
        <f ca="1">VLOOKUP($A97,[1]!LOOKUP_SARS_Unified2,F$2,FALSE)</f>
        <v>0.16399999999999998</v>
      </c>
      <c r="G97" s="3" t="e">
        <f>VLOOKUP($A97,[1]!LOOKUP_SARS_Unified,G$2,FALSE)</f>
        <v>#NAME?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1:42" x14ac:dyDescent="0.25">
      <c r="A98" s="92" t="s">
        <v>249</v>
      </c>
      <c r="B98" s="14">
        <f ca="1">VLOOKUP($A98,[1]!LOOKUP_SARS_Unified2,B$2,FALSE)</f>
        <v>1983</v>
      </c>
      <c r="C98" s="113">
        <f ca="1">VLOOKUP($A98,[1]!LOOKUP_SARS_Unified2,C$2,FALSE)</f>
        <v>0.20699999999999999</v>
      </c>
      <c r="D98" s="113">
        <f ca="1">VLOOKUP($A98,[1]!LOOKUP_SARS_Unified2,D$2,FALSE)</f>
        <v>6.508604753890701E-3</v>
      </c>
      <c r="E98" s="117">
        <f ca="1">IF(VLOOKUP($A98,[1]!LOOKUP_MDAPs,E$2,FALSE)&lt;&gt;0,VLOOKUP($A98,[1]!LOOKUP_MDAPs,E$2,FALSE),"")</f>
        <v>1983</v>
      </c>
      <c r="F98" s="113">
        <f ca="1">VLOOKUP($A98,[1]!LOOKUP_SARS_Unified2,F$2,FALSE)</f>
        <v>0.41</v>
      </c>
      <c r="G98" s="3" t="e">
        <f>VLOOKUP($A98,[1]!LOOKUP_SARS_Unified,G$2,FALSE)</f>
        <v>#NAME?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1:42" x14ac:dyDescent="0.25">
      <c r="A99" t="s">
        <v>222</v>
      </c>
      <c r="B99" s="14">
        <f ca="1">VLOOKUP($A99,[1]!LOOKUP_SARS_Unified2,B$2,FALSE)</f>
        <v>2002</v>
      </c>
      <c r="C99" s="113">
        <f ca="1">VLOOKUP($A99,[1]!LOOKUP_SARS_Unified2,C$2,FALSE)</f>
        <v>2.7000000000000003E-2</v>
      </c>
      <c r="D99" s="113">
        <f ca="1">VLOOKUP($A99,[1]!LOOKUP_SARS_Unified2,D$2,FALSE)</f>
        <v>8.9201935541267652E-3</v>
      </c>
      <c r="E99" s="117">
        <f ca="1">IF(VLOOKUP($A99,[1]!LOOKUP_MDAPs,E$2,FALSE)&lt;&gt;0,VLOOKUP($A99,[1]!LOOKUP_MDAPs,E$2,FALSE),"")</f>
        <v>2002</v>
      </c>
      <c r="F99" s="113">
        <f ca="1">VLOOKUP($A99,[1]!LOOKUP_SARS_Unified2,F$2,FALSE)</f>
        <v>7.0999999999999994E-2</v>
      </c>
      <c r="G99" s="3" t="e">
        <f>VLOOKUP($A99,[1]!LOOKUP_SARS_Unified,G$2,FALSE)</f>
        <v>#NAME?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1:42" x14ac:dyDescent="0.25">
      <c r="A100" t="s">
        <v>49</v>
      </c>
      <c r="B100" s="14">
        <f ca="1">VLOOKUP($A100,[1]!LOOKUP_SARS_Unified2,B$2,FALSE)</f>
        <v>2005</v>
      </c>
      <c r="C100" s="113">
        <f ca="1">VLOOKUP($A100,[1]!LOOKUP_SARS_Unified2,C$2,FALSE)</f>
        <v>0.127</v>
      </c>
      <c r="D100" s="113">
        <f ca="1">VLOOKUP($A100,[1]!LOOKUP_SARS_Unified2,D$2,FALSE)</f>
        <v>3.0340993150916651E-2</v>
      </c>
      <c r="E100" s="117">
        <f ca="1">IF(VLOOKUP($A100,[1]!LOOKUP_MDAPs,E$2,FALSE)&lt;&gt;0,VLOOKUP($A100,[1]!LOOKUP_MDAPs,E$2,FALSE),"")</f>
        <v>2005</v>
      </c>
      <c r="F100" s="113">
        <f ca="1">VLOOKUP($A100,[1]!LOOKUP_SARS_Unified2,F$2,FALSE)</f>
        <v>0.153</v>
      </c>
      <c r="G100" s="3" t="e">
        <f>VLOOKUP($A100,[1]!LOOKUP_SARS_Unified,G$2,FALSE)</f>
        <v>#NAME?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1:42" x14ac:dyDescent="0.25">
      <c r="A101" t="s">
        <v>60</v>
      </c>
      <c r="B101" s="14">
        <f ca="1">VLOOKUP($A101,[1]!LOOKUP_SARS_Unified2,B$2,FALSE)</f>
        <v>2005</v>
      </c>
      <c r="C101" s="113">
        <f ca="1">VLOOKUP($A101,[1]!LOOKUP_SARS_Unified2,C$2,FALSE)</f>
        <v>-6.9999999999999993E-3</v>
      </c>
      <c r="D101" s="113">
        <f ca="1">VLOOKUP($A101,[1]!LOOKUP_SARS_Unified2,D$2,FALSE)</f>
        <v>-1.0030130653529978E-3</v>
      </c>
      <c r="E101" s="117">
        <f ca="1">IF(VLOOKUP($A101,[1]!LOOKUP_MDAPs,E$2,FALSE)&lt;&gt;0,VLOOKUP($A101,[1]!LOOKUP_MDAPs,E$2,FALSE),"")</f>
        <v>2005</v>
      </c>
      <c r="F101" s="113">
        <f ca="1">VLOOKUP($A101,[1]!LOOKUP_SARS_Unified2,F$2,FALSE)</f>
        <v>3.0000000000000001E-3</v>
      </c>
      <c r="G101" s="3" t="e">
        <f>VLOOKUP($A101,[1]!LOOKUP_SARS_Unified,G$2,FALSE)</f>
        <v>#NAME?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1:42" x14ac:dyDescent="0.25">
      <c r="A102" s="92" t="s">
        <v>223</v>
      </c>
      <c r="B102" s="14">
        <f ca="1">VLOOKUP($A102,[1]!LOOKUP_SARS_Unified2,B$2,FALSE)</f>
        <v>2003</v>
      </c>
      <c r="C102" s="113">
        <f ca="1">VLOOKUP($A102,[1]!LOOKUP_SARS_Unified2,C$2,FALSE)</f>
        <v>-3.3000000000000002E-2</v>
      </c>
      <c r="D102" s="113">
        <f ca="1">VLOOKUP($A102,[1]!LOOKUP_SARS_Unified2,D$2,FALSE)</f>
        <v>-5.5771866800587988E-3</v>
      </c>
      <c r="E102" s="117">
        <f ca="1">IF(VLOOKUP($A102,[1]!LOOKUP_MDAPs,E$2,FALSE)&lt;&gt;0,VLOOKUP($A102,[1]!LOOKUP_MDAPs,E$2,FALSE),"")</f>
        <v>2003</v>
      </c>
      <c r="F102" s="113">
        <f ca="1">VLOOKUP($A102,[1]!LOOKUP_SARS_Unified2,F$2,FALSE)</f>
        <v>-2.2000000000000002E-2</v>
      </c>
      <c r="G102" s="3" t="e">
        <f>VLOOKUP($A102,[1]!LOOKUP_SARS_Unified,G$2,FALSE)</f>
        <v>#NAME?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1:42" x14ac:dyDescent="0.25">
      <c r="A103" t="s">
        <v>56</v>
      </c>
      <c r="B103" s="14">
        <f ca="1">VLOOKUP($A103,[1]!LOOKUP_SARS_Unified2,B$2,FALSE)</f>
        <v>2006</v>
      </c>
      <c r="C103" s="113">
        <f ca="1">VLOOKUP($A103,[1]!LOOKUP_SARS_Unified2,C$2,FALSE)</f>
        <v>-8.0000000000000002E-3</v>
      </c>
      <c r="D103" s="113">
        <f ca="1">VLOOKUP($A103,[1]!LOOKUP_SARS_Unified2,D$2,FALSE)</f>
        <v>-1.3377996300605322E-3</v>
      </c>
      <c r="E103" s="117">
        <f ca="1">IF(VLOOKUP($A103,[1]!LOOKUP_MDAPs,E$2,FALSE)&lt;&gt;0,VLOOKUP($A103,[1]!LOOKUP_MDAPs,E$2,FALSE),"")</f>
        <v>2006</v>
      </c>
      <c r="F103" s="113">
        <f ca="1">VLOOKUP($A103,[1]!LOOKUP_SARS_Unified2,F$2,FALSE)</f>
        <v>0.03</v>
      </c>
      <c r="G103" s="3" t="e">
        <f>VLOOKUP($A103,[1]!LOOKUP_SARS_Unified,G$2,FALSE)</f>
        <v>#NAME?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1:42" x14ac:dyDescent="0.25">
      <c r="A104" t="s">
        <v>59</v>
      </c>
      <c r="B104" s="14">
        <f ca="1">VLOOKUP($A104,[1]!LOOKUP_SARS_Unified2,B$2,FALSE)</f>
        <v>2010</v>
      </c>
      <c r="C104" s="113">
        <f ca="1">VLOOKUP($A104,[1]!LOOKUP_SARS_Unified2,C$2,FALSE)</f>
        <v>-2.5000000000000001E-2</v>
      </c>
      <c r="D104" s="113">
        <f ca="1">VLOOKUP($A104,[1]!LOOKUP_SARS_Unified2,D$2,FALSE)</f>
        <v>-1.2579117093425074E-2</v>
      </c>
      <c r="E104" s="117">
        <f ca="1">IF(VLOOKUP($A104,[1]!LOOKUP_MDAPs,E$2,FALSE)&lt;&gt;0,VLOOKUP($A104,[1]!LOOKUP_MDAPs,E$2,FALSE),"")</f>
        <v>2010</v>
      </c>
      <c r="F104" s="113">
        <f ca="1">VLOOKUP($A104,[1]!LOOKUP_SARS_Unified2,F$2,FALSE)</f>
        <v>-0.02</v>
      </c>
      <c r="G104" s="3" t="e">
        <f>VLOOKUP($A104,[1]!LOOKUP_SARS_Unified,G$2,FALSE)</f>
        <v>#NAME?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1:42" x14ac:dyDescent="0.25">
      <c r="A105" t="s">
        <v>43</v>
      </c>
      <c r="B105" s="14">
        <f ca="1">VLOOKUP($A105,[1]!LOOKUP_SARS_Unified2,B$2,FALSE)</f>
        <v>2007</v>
      </c>
      <c r="C105" s="113">
        <f ca="1">VLOOKUP($A105,[1]!LOOKUP_SARS_Unified2,C$2,FALSE)</f>
        <v>2.1000000000000001E-2</v>
      </c>
      <c r="D105" s="113">
        <f ca="1">VLOOKUP($A105,[1]!LOOKUP_SARS_Unified2,D$2,FALSE)</f>
        <v>4.1651580960078149E-3</v>
      </c>
      <c r="E105" s="117">
        <f ca="1">IF(VLOOKUP($A105,[1]!LOOKUP_MDAPs,E$2,FALSE)&lt;&gt;0,VLOOKUP($A105,[1]!LOOKUP_MDAPs,E$2,FALSE),"")</f>
        <v>2007</v>
      </c>
      <c r="F105" s="113">
        <f ca="1">VLOOKUP($A105,[1]!LOOKUP_SARS_Unified2,F$2,FALSE)</f>
        <v>2.5000000000000001E-2</v>
      </c>
      <c r="G105" s="3" t="e">
        <f>VLOOKUP($A105,[1]!LOOKUP_SARS_Unified,G$2,FALSE)</f>
        <v>#NAME?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1:42" x14ac:dyDescent="0.25">
      <c r="A106" t="s">
        <v>57</v>
      </c>
      <c r="B106" s="14">
        <f ca="1">VLOOKUP($A106,[1]!LOOKUP_SARS_Unified2,B$2,FALSE)</f>
        <v>2010</v>
      </c>
      <c r="C106" s="113">
        <f ca="1">VLOOKUP($A106,[1]!LOOKUP_SARS_Unified2,C$2,FALSE)</f>
        <v>6.2E-2</v>
      </c>
      <c r="D106" s="113">
        <f ca="1">VLOOKUP($A106,[1]!LOOKUP_SARS_Unified2,D$2,FALSE)</f>
        <v>3.0533842239060194E-2</v>
      </c>
      <c r="E106" s="117">
        <f ca="1">IF(VLOOKUP($A106,[1]!LOOKUP_MDAPs,E$2,FALSE)&lt;&gt;0,VLOOKUP($A106,[1]!LOOKUP_MDAPs,E$2,FALSE),"")</f>
        <v>2010</v>
      </c>
      <c r="F106" s="113">
        <f ca="1">VLOOKUP($A106,[1]!LOOKUP_SARS_Unified2,F$2,FALSE)</f>
        <v>0.08</v>
      </c>
      <c r="G106" s="3" t="e">
        <f>VLOOKUP($A106,[1]!LOOKUP_SARS_Unified,G$2,FALSE)</f>
        <v>#NAME?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1:42" x14ac:dyDescent="0.25">
      <c r="A107" t="s">
        <v>185</v>
      </c>
      <c r="B107" s="14">
        <f ca="1">VLOOKUP($A107,[1]!LOOKUP_SARS_Unified2,B$2,FALSE)</f>
        <v>2009</v>
      </c>
      <c r="C107" s="113">
        <f ca="1">VLOOKUP($A107,[1]!LOOKUP_SARS_Unified2,C$2,FALSE)</f>
        <v>-0.19500000000000001</v>
      </c>
      <c r="D107" s="113">
        <f ca="1">VLOOKUP($A107,[1]!LOOKUP_SARS_Unified2,D$2,FALSE)</f>
        <v>-6.9752253154977129E-2</v>
      </c>
      <c r="E107" s="117">
        <f ca="1">IF(VLOOKUP($A107,[1]!LOOKUP_MDAPs,E$2,FALSE)&lt;&gt;0,VLOOKUP($A107,[1]!LOOKUP_MDAPs,E$2,FALSE),"")</f>
        <v>2009</v>
      </c>
      <c r="F107" s="113">
        <f ca="1">VLOOKUP($A107,[1]!LOOKUP_SARS_Unified2,F$2,FALSE)</f>
        <v>-0.183</v>
      </c>
      <c r="G107" s="3" t="e">
        <f>VLOOKUP($A107,[1]!LOOKUP_SARS_Unified,G$2,FALSE)</f>
        <v>#NAME?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1:42" x14ac:dyDescent="0.25">
      <c r="A108" s="1"/>
      <c r="B108" s="1"/>
      <c r="C108" s="1"/>
      <c r="D108" s="1"/>
      <c r="E108" s="9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1:42" x14ac:dyDescent="0.25">
      <c r="A109" s="1"/>
      <c r="B109" s="1"/>
      <c r="C109" s="1"/>
      <c r="D109" s="1"/>
      <c r="E109" s="9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11"/>
  <sheetViews>
    <sheetView topLeftCell="A13" zoomScaleNormal="100" workbookViewId="0">
      <selection activeCell="A34" sqref="A34"/>
    </sheetView>
  </sheetViews>
  <sheetFormatPr defaultRowHeight="12.75" x14ac:dyDescent="0.2"/>
  <cols>
    <col min="1" max="1" width="9.140625" style="1"/>
    <col min="2" max="2" width="9.140625" style="1" customWidth="1"/>
    <col min="3" max="3" width="9.140625" style="1"/>
    <col min="4" max="4" width="12.28515625" style="1" bestFit="1" customWidth="1"/>
    <col min="5" max="5" width="15.5703125" style="1" customWidth="1"/>
    <col min="6" max="6" width="12.85546875" style="1" bestFit="1" customWidth="1"/>
    <col min="7" max="7" width="12.28515625" style="1" bestFit="1" customWidth="1"/>
    <col min="8" max="8" width="12.5703125" style="1" bestFit="1" customWidth="1"/>
    <col min="9" max="9" width="14.28515625" style="1" customWidth="1"/>
    <col min="10" max="10" width="12.28515625" style="1" bestFit="1" customWidth="1"/>
    <col min="11" max="11" width="12.85546875" style="1" bestFit="1" customWidth="1"/>
    <col min="12" max="12" width="12.140625" style="1" bestFit="1" customWidth="1"/>
    <col min="13" max="13" width="11.28515625" style="1" bestFit="1" customWidth="1"/>
    <col min="14" max="14" width="11.42578125" style="1" customWidth="1"/>
    <col min="15" max="15" width="12.28515625" style="1" bestFit="1" customWidth="1"/>
    <col min="16" max="16" width="14.42578125" style="1" customWidth="1"/>
    <col min="17" max="17" width="11.28515625" style="1" bestFit="1" customWidth="1"/>
    <col min="18" max="18" width="9.140625" style="1"/>
    <col min="19" max="19" width="14" style="1" customWidth="1"/>
    <col min="20" max="16384" width="9.140625" style="1"/>
  </cols>
  <sheetData>
    <row r="1" spans="1:14" ht="57" x14ac:dyDescent="0.85">
      <c r="A1" s="11" t="s">
        <v>100</v>
      </c>
    </row>
    <row r="2" spans="1:14" s="18" customFormat="1" ht="12.75" customHeight="1" x14ac:dyDescent="0.2">
      <c r="A2" s="20"/>
      <c r="B2" s="95">
        <f>HLOOKUP(B3,[1]!LOOKUP_Key_Information2,2,FALSE)</f>
        <v>5</v>
      </c>
      <c r="C2" s="1">
        <f>HLOOKUP(C3,[1]!LOOKUP_SARS_Unified2,2,FALSE)</f>
        <v>38</v>
      </c>
      <c r="D2" s="1"/>
      <c r="E2" s="1">
        <f>HLOOKUP(E3,[1]!LOOKUP_SARS_Unified2,2,FALSE)</f>
        <v>31</v>
      </c>
    </row>
    <row r="3" spans="1:14" ht="102" x14ac:dyDescent="0.25">
      <c r="A3" s="9" t="s">
        <v>80</v>
      </c>
      <c r="B3" s="122" t="s">
        <v>186</v>
      </c>
      <c r="C3" s="123" t="s">
        <v>169</v>
      </c>
      <c r="D3" s="124"/>
      <c r="E3" s="125" t="s">
        <v>204</v>
      </c>
      <c r="F3" s="9" t="s">
        <v>110</v>
      </c>
    </row>
    <row r="4" spans="1:14" ht="15" x14ac:dyDescent="0.25">
      <c r="A4" s="45" t="str">
        <f>B4&amp;" Subtotal"</f>
        <v>Army Subtotal</v>
      </c>
      <c r="B4" s="9" t="s">
        <v>103</v>
      </c>
      <c r="C4" s="3" t="e">
        <f ca="1">D4*F4/E4</f>
        <v>#VALUE!</v>
      </c>
      <c r="D4" s="36" t="e">
        <f ca="1">SUMIF(Service_Service,$B4,Service_Overrun_Dollars)/F4</f>
        <v>#VALUE!</v>
      </c>
      <c r="E4" s="36" t="e">
        <f ca="1">SUMIF(Service_Service,$B4,Service_Baseline)</f>
        <v>#VALUE!</v>
      </c>
      <c r="F4" s="1">
        <f>COUNTIF(Service_Service,$B4)</f>
        <v>28</v>
      </c>
      <c r="G4" s="9" t="str">
        <f>B4&amp;" Average"</f>
        <v>Army Average</v>
      </c>
      <c r="H4" s="37">
        <f ca="1">SUMIFS(Service_Overrun_Percentage,Service_Service,$B4)/$F4</f>
        <v>2.8351071428571428</v>
      </c>
      <c r="I4" s="9" t="s">
        <v>103</v>
      </c>
      <c r="J4" s="37" t="e">
        <f ca="1">D4*F4/E4</f>
        <v>#VALUE!</v>
      </c>
      <c r="K4" s="1" t="e">
        <f ca="1">SUMIF(Service_Service,I4,Service_Overrun_Dollars)/COUNTIF(Service_Service,I4)</f>
        <v>#VALUE!</v>
      </c>
      <c r="L4" s="9" t="s">
        <v>104</v>
      </c>
      <c r="M4" s="37" t="e">
        <f ca="1">D6*F6/E6</f>
        <v>#VALUE!</v>
      </c>
      <c r="N4" s="1" t="e">
        <f ca="1">SUMIF(Service_Service,L4,Service_Overrun_Dollars)/COUNTIF(Service_Service,L4)</f>
        <v>#VALUE!</v>
      </c>
    </row>
    <row r="5" spans="1:14" ht="15" x14ac:dyDescent="0.25">
      <c r="A5" s="45" t="str">
        <f>B5&amp;" Subtotal"</f>
        <v>Navy Subtotal</v>
      </c>
      <c r="B5" s="9" t="s">
        <v>102</v>
      </c>
      <c r="C5" s="3" t="e">
        <f ca="1">D5*F5/E5</f>
        <v>#VALUE!</v>
      </c>
      <c r="D5" s="36" t="e">
        <f ca="1">SUMIF(Service_Service,$B5,Service_Overrun_Dollars)/F5</f>
        <v>#VALUE!</v>
      </c>
      <c r="E5" s="36" t="e">
        <f ca="1">SUMIF(Service_Service,$B5,Service_Baseline)</f>
        <v>#VALUE!</v>
      </c>
      <c r="F5" s="1">
        <f>COUNTIF(Service_Service,$B5)</f>
        <v>38</v>
      </c>
      <c r="G5" s="9" t="str">
        <f>B5&amp;" Average"</f>
        <v>Navy Average</v>
      </c>
      <c r="H5" s="37">
        <f ca="1">SUMIFS(Service_Overrun_Percentage,Service_Service,$B5)/$F5</f>
        <v>0.14660526315789474</v>
      </c>
      <c r="I5" s="9" t="s">
        <v>103</v>
      </c>
      <c r="J5" s="37">
        <f ca="1">SUMIFS(Service_Overrun_Percentage,Service_Service,I5)/COUNTIF(Service_Service,I5)</f>
        <v>2.8351071428571428</v>
      </c>
      <c r="K5" s="1" t="e">
        <f ca="1">SUMIF(Service_Service,I5,Service_Overrun_Dollars)/COUNTIF(Service_Service,I5)</f>
        <v>#VALUE!</v>
      </c>
      <c r="L5" s="9" t="s">
        <v>104</v>
      </c>
      <c r="M5" s="37">
        <f ca="1">SUMIFS(Service_Overrun_Percentage,Service_Service,L5)/COUNTIF(Service_Service,L5)</f>
        <v>-0.48899999999999999</v>
      </c>
      <c r="N5" s="1" t="e">
        <f ca="1">SUMIF(Service_Service,L5,Service_Overrun_Dollars)/COUNTIF(Service_Service,L5)</f>
        <v>#VALUE!</v>
      </c>
    </row>
    <row r="6" spans="1:14" ht="15" x14ac:dyDescent="0.25">
      <c r="A6" s="45" t="str">
        <f>B6&amp;" Subtotal"</f>
        <v>Air Force Subtotal</v>
      </c>
      <c r="B6" s="9" t="s">
        <v>104</v>
      </c>
      <c r="C6" s="3" t="e">
        <f ca="1">D6*F6/E6</f>
        <v>#VALUE!</v>
      </c>
      <c r="D6" s="36" t="e">
        <f ca="1">SUMIF(Service_Service,$B6,Service_Overrun_Dollars)/F6</f>
        <v>#VALUE!</v>
      </c>
      <c r="E6" s="36" t="e">
        <f ca="1">SUMIF(Service_Service,$B6,Service_Baseline)</f>
        <v>#VALUE!</v>
      </c>
      <c r="F6" s="1">
        <f>COUNTIF(Service_Service,$B6)</f>
        <v>27</v>
      </c>
      <c r="G6" s="9" t="str">
        <f>B6&amp;" Average"</f>
        <v>Air Force Average</v>
      </c>
      <c r="H6" s="37">
        <f ca="1">SUMIFS(Service_Overrun_Percentage,Service_Service,$B6)/$F6</f>
        <v>-0.48899999999999999</v>
      </c>
      <c r="I6" s="9" t="s">
        <v>102</v>
      </c>
      <c r="J6" s="37" t="e">
        <f ca="1">D5*F5/E5</f>
        <v>#VALUE!</v>
      </c>
      <c r="K6" s="1" t="e">
        <f ca="1">SUMIF(Service_Service,I6,Service_Overrun_Dollars)/COUNTIF(Service_Service,I6)</f>
        <v>#VALUE!</v>
      </c>
      <c r="L6" s="9" t="s">
        <v>101</v>
      </c>
      <c r="M6" s="37">
        <f ca="1">D7*F7/E7</f>
        <v>0.44020694529750731</v>
      </c>
      <c r="N6" s="1">
        <f ca="1">SUMIF(Service_Service,L6,Service_Overrun_Dollars)/COUNTIF(Service_Service,L6)</f>
        <v>12317.938406658319</v>
      </c>
    </row>
    <row r="7" spans="1:14" ht="15" x14ac:dyDescent="0.25">
      <c r="A7" s="45" t="str">
        <f>B7&amp;" Subtotal"</f>
        <v>DoD-wide Subtotal</v>
      </c>
      <c r="B7" s="9" t="s">
        <v>101</v>
      </c>
      <c r="C7" s="3">
        <f ca="1">D7*F7/E7</f>
        <v>0.44020694529750731</v>
      </c>
      <c r="D7" s="36">
        <f ca="1">SUMIF(Service_Service,$B7,Service_Overrun_Dollars)/F7</f>
        <v>12317.938406658319</v>
      </c>
      <c r="E7" s="36">
        <f ca="1">SUMIF(Service_Service,$B7,Service_Baseline)</f>
        <v>279821.5370803253</v>
      </c>
      <c r="F7" s="1">
        <f>COUNTIF(Service_Service,$B7)</f>
        <v>10</v>
      </c>
      <c r="G7" s="9" t="str">
        <f>B7&amp;" Average"</f>
        <v>DoD-wide Average</v>
      </c>
      <c r="H7" s="37">
        <f ca="1">SUMIFS(Service_Overrun_Percentage,Service_Service,$B7)/$F7</f>
        <v>0.40460000000000002</v>
      </c>
      <c r="I7" s="9" t="s">
        <v>102</v>
      </c>
      <c r="J7" s="37">
        <f ca="1">SUMIFS(Service_Overrun_Percentage,Service_Service,I7)/COUNTIF(Service_Service,I7)</f>
        <v>0.14660526315789474</v>
      </c>
      <c r="K7" s="1" t="e">
        <f ca="1">SUMIF(Service_Service,I7,Service_Overrun_Dollars)/COUNTIF(Service_Service,I7)</f>
        <v>#VALUE!</v>
      </c>
      <c r="L7" s="9" t="s">
        <v>101</v>
      </c>
      <c r="M7" s="37">
        <f ca="1">SUMIFS(Service_Overrun_Percentage,Service_Service,L7)/COUNTIF(Service_Service,L7)</f>
        <v>0.40460000000000002</v>
      </c>
      <c r="N7" s="1">
        <f ca="1">SUMIF(Service_Service,L7,Service_Overrun_Dollars)/COUNTIF(Service_Service,L7)</f>
        <v>12317.938406658319</v>
      </c>
    </row>
    <row r="8" spans="1:14" ht="15" x14ac:dyDescent="0.25">
      <c r="A8" s="92" t="s">
        <v>25</v>
      </c>
      <c r="B8" s="4" t="str">
        <f>IF(VLOOKUP($A8,[1]!LOOKUP_Key_Information2,B$2,FALSE)&lt;&gt;0,VLOOKUP($A8,[1]!LOOKUP_Key_Information2,B$2,FALSE),"")</f>
        <v>Air Force</v>
      </c>
      <c r="C8" s="3">
        <f ca="1">VLOOKUP($A8,[1]!LOOKUP_SARS_Unified2,C$2,FALSE)</f>
        <v>0.33600000000000002</v>
      </c>
      <c r="D8" s="32">
        <f ca="1">C8*E8</f>
        <v>2409.1906056860321</v>
      </c>
      <c r="E8" s="17">
        <f ca="1">VLOOKUP($A8,[1]!LOOKUP_SARS_Unified2,E$2,FALSE)</f>
        <v>7170.2101359703329</v>
      </c>
    </row>
    <row r="9" spans="1:14" ht="15" x14ac:dyDescent="0.25">
      <c r="A9" s="92" t="s">
        <v>9</v>
      </c>
      <c r="B9" s="4" t="str">
        <f>IF(VLOOKUP($A9,[1]!LOOKUP_Key_Information2,B$2,FALSE)&lt;&gt;0,VLOOKUP($A9,[1]!LOOKUP_Key_Information2,B$2,FALSE),"")</f>
        <v>Air Force</v>
      </c>
      <c r="C9" s="3">
        <f ca="1">VLOOKUP($A9,[1]!LOOKUP_SARS_Unified2,C$2,FALSE)</f>
        <v>0.28300000000000003</v>
      </c>
      <c r="D9" s="32">
        <f t="shared" ref="D9:D72" ca="1" si="0">C9*E9</f>
        <v>5173.8097081596197</v>
      </c>
      <c r="E9" s="17">
        <f ca="1">VLOOKUP($A9,[1]!LOOKUP_SARS_Unified2,E$2,FALSE)</f>
        <v>18282.013103037523</v>
      </c>
      <c r="L9" s="37"/>
    </row>
    <row r="10" spans="1:14" ht="15" x14ac:dyDescent="0.25">
      <c r="A10" s="92" t="s">
        <v>175</v>
      </c>
      <c r="B10" s="4" t="str">
        <f>IF(VLOOKUP($A10,[1]!LOOKUP_Key_Information2,B$2,FALSE)&lt;&gt;0,VLOOKUP($A10,[1]!LOOKUP_Key_Information2,B$2,FALSE),"")</f>
        <v>Air Force</v>
      </c>
      <c r="C10" s="3">
        <f ca="1">VLOOKUP($A10,[1]!LOOKUP_SARS_Unified2,C$2,FALSE)</f>
        <v>-1E-3</v>
      </c>
      <c r="D10" s="32">
        <f t="shared" ca="1" si="0"/>
        <v>-0.55440254803246691</v>
      </c>
      <c r="E10" s="17">
        <f ca="1">VLOOKUP($A10,[1]!LOOKUP_SARS_Unified2,E$2,FALSE)</f>
        <v>554.40254803246694</v>
      </c>
      <c r="L10" s="37"/>
    </row>
    <row r="11" spans="1:14" ht="15" x14ac:dyDescent="0.25">
      <c r="A11" s="92" t="s">
        <v>17</v>
      </c>
      <c r="B11" s="4" t="str">
        <f>IF(VLOOKUP($A11,[1]!LOOKUP_Key_Information2,B$2,FALSE)&lt;&gt;0,VLOOKUP($A11,[1]!LOOKUP_Key_Information2,B$2,FALSE),"")</f>
        <v>Air Force</v>
      </c>
      <c r="C11" s="3">
        <f ca="1">VLOOKUP($A11,[1]!LOOKUP_SARS_Unified2,C$2,FALSE)</f>
        <v>-0.17699999999999999</v>
      </c>
      <c r="D11" s="32">
        <f t="shared" ca="1" si="0"/>
        <v>-125.29981757699325</v>
      </c>
      <c r="E11" s="17">
        <f ca="1">VLOOKUP($A11,[1]!LOOKUP_SARS_Unified2,E$2,FALSE)</f>
        <v>707.90857388131781</v>
      </c>
      <c r="L11" s="37"/>
    </row>
    <row r="12" spans="1:14" ht="15" x14ac:dyDescent="0.25">
      <c r="A12" s="92" t="s">
        <v>30</v>
      </c>
      <c r="B12" s="4" t="str">
        <f>IF(VLOOKUP($A12,[1]!LOOKUP_Key_Information2,B$2,FALSE)&lt;&gt;0,VLOOKUP($A12,[1]!LOOKUP_Key_Information2,B$2,FALSE),"")</f>
        <v>Air Force</v>
      </c>
      <c r="C12" s="3">
        <f ca="1">VLOOKUP($A12,[1]!LOOKUP_SARS_Unified2,C$2,FALSE)</f>
        <v>-7.8E-2</v>
      </c>
      <c r="D12" s="32">
        <f t="shared" ca="1" si="0"/>
        <v>-108.37197104793874</v>
      </c>
      <c r="E12" s="17">
        <f ca="1">VLOOKUP($A12,[1]!LOOKUP_SARS_Unified2,E$2,FALSE)</f>
        <v>1389.3842442043428</v>
      </c>
    </row>
    <row r="13" spans="1:14" ht="15" x14ac:dyDescent="0.25">
      <c r="A13" s="92" t="s">
        <v>28</v>
      </c>
      <c r="B13" s="4" t="str">
        <f>IF(VLOOKUP($A13,[1]!LOOKUP_Key_Information2,B$2,FALSE)&lt;&gt;0,VLOOKUP($A13,[1]!LOOKUP_Key_Information2,B$2,FALSE),"")</f>
        <v>Air Force</v>
      </c>
      <c r="C13" s="3">
        <f ca="1">VLOOKUP($A13,[1]!LOOKUP_SARS_Unified2,C$2,FALSE)</f>
        <v>-9.8000000000000004E-2</v>
      </c>
      <c r="D13" s="32">
        <f t="shared" ca="1" si="0"/>
        <v>-597.10222952840854</v>
      </c>
      <c r="E13" s="17">
        <f ca="1">VLOOKUP($A13,[1]!LOOKUP_SARS_Unified2,E$2,FALSE)</f>
        <v>6092.8798931470255</v>
      </c>
    </row>
    <row r="14" spans="1:14" ht="15" x14ac:dyDescent="0.25">
      <c r="A14" s="92" t="s">
        <v>19</v>
      </c>
      <c r="B14" s="4" t="str">
        <f>IF(VLOOKUP($A14,[1]!LOOKUP_Key_Information2,B$2,FALSE)&lt;&gt;0,VLOOKUP($A14,[1]!LOOKUP_Key_Information2,B$2,FALSE),"")</f>
        <v>Air Force</v>
      </c>
      <c r="C14" s="3">
        <f ca="1">VLOOKUP($A14,[1]!LOOKUP_SARS_Unified2,C$2,FALSE)</f>
        <v>0.318</v>
      </c>
      <c r="D14" s="32">
        <f t="shared" ca="1" si="0"/>
        <v>318.43579553241062</v>
      </c>
      <c r="E14" s="17">
        <f ca="1">VLOOKUP($A14,[1]!LOOKUP_SARS_Unified2,E$2,FALSE)</f>
        <v>1001.3704262025491</v>
      </c>
    </row>
    <row r="15" spans="1:14" ht="15" x14ac:dyDescent="0.25">
      <c r="A15" s="92" t="s">
        <v>24</v>
      </c>
      <c r="B15" s="4" t="str">
        <f>IF(VLOOKUP($A15,[1]!LOOKUP_Key_Information2,B$2,FALSE)&lt;&gt;0,VLOOKUP($A15,[1]!LOOKUP_Key_Information2,B$2,FALSE),"")</f>
        <v>Air Force</v>
      </c>
      <c r="C15" s="3">
        <f ca="1">VLOOKUP($A15,[1]!LOOKUP_SARS_Unified2,C$2,FALSE)</f>
        <v>0.47</v>
      </c>
      <c r="D15" s="32">
        <f t="shared" ca="1" si="0"/>
        <v>26569.717692202274</v>
      </c>
      <c r="E15" s="17">
        <f ca="1">VLOOKUP($A15,[1]!LOOKUP_SARS_Unified2,E$2,FALSE)</f>
        <v>56531.314238728242</v>
      </c>
    </row>
    <row r="16" spans="1:14" ht="15" x14ac:dyDescent="0.25">
      <c r="A16" s="92" t="s">
        <v>27</v>
      </c>
      <c r="B16" s="4" t="str">
        <f>IF(VLOOKUP($A16,[1]!LOOKUP_Key_Information2,B$2,FALSE)&lt;&gt;0,VLOOKUP($A16,[1]!LOOKUP_Key_Information2,B$2,FALSE),"")</f>
        <v>Air Force</v>
      </c>
      <c r="C16" s="3">
        <f ca="1">VLOOKUP($A16,[1]!LOOKUP_SARS_Unified2,C$2,FALSE)</f>
        <v>-1.9E-2</v>
      </c>
      <c r="D16" s="32">
        <f t="shared" ca="1" si="0"/>
        <v>-142.43721808454842</v>
      </c>
      <c r="E16" s="17">
        <f ca="1">VLOOKUP($A16,[1]!LOOKUP_SARS_Unified2,E$2,FALSE)</f>
        <v>7496.695688660443</v>
      </c>
    </row>
    <row r="17" spans="1:9" ht="15" x14ac:dyDescent="0.25">
      <c r="A17" s="92" t="s">
        <v>250</v>
      </c>
      <c r="B17" s="4" t="str">
        <f>IF(VLOOKUP($A17,[1]!LOOKUP_Key_Information2,B$2,FALSE)&lt;&gt;0,VLOOKUP($A17,[1]!LOOKUP_Key_Information2,B$2,FALSE),"")</f>
        <v>Air Force</v>
      </c>
      <c r="C17" s="3">
        <f ca="1">VLOOKUP($A17,[1]!LOOKUP_SARS_Unified2,C$2,FALSE)</f>
        <v>0.19899999999999998</v>
      </c>
      <c r="D17" s="32">
        <f t="shared" ca="1" si="0"/>
        <v>195.4146125787554</v>
      </c>
      <c r="E17" s="17">
        <f ca="1">VLOOKUP($A17,[1]!LOOKUP_SARS_Unified2,E$2,FALSE)</f>
        <v>981.98297778269045</v>
      </c>
    </row>
    <row r="18" spans="1:9" ht="15" x14ac:dyDescent="0.25">
      <c r="A18" s="92" t="s">
        <v>244</v>
      </c>
      <c r="B18" s="4" t="str">
        <f>IF(VLOOKUP($A18,[1]!LOOKUP_Key_Information2,B$2,FALSE)&lt;&gt;0,VLOOKUP($A18,[1]!LOOKUP_Key_Information2,B$2,FALSE),"")</f>
        <v>Air Force</v>
      </c>
      <c r="C18" s="3">
        <f ca="1">VLOOKUP($A18,[1]!LOOKUP_SARS_Unified2,C$2,FALSE)</f>
        <v>6.8000000000000005E-2</v>
      </c>
      <c r="D18" s="32">
        <f t="shared" ca="1" si="0"/>
        <v>4997.319766777181</v>
      </c>
      <c r="E18" s="17">
        <f ca="1">VLOOKUP($A18,[1]!LOOKUP_SARS_Unified2,E$2,FALSE)</f>
        <v>73489.996570252653</v>
      </c>
    </row>
    <row r="19" spans="1:9" ht="15" x14ac:dyDescent="0.25">
      <c r="A19" s="92" t="s">
        <v>1</v>
      </c>
      <c r="B19" s="4" t="str">
        <f>IF(VLOOKUP($A19,[1]!LOOKUP_Key_Information2,B$2,FALSE)&lt;&gt;0,VLOOKUP($A19,[1]!LOOKUP_Key_Information2,B$2,FALSE),"")</f>
        <v>Air Force</v>
      </c>
      <c r="C19" s="3">
        <f ca="1">VLOOKUP($A19,[1]!LOOKUP_SARS_Unified2,C$2,FALSE)</f>
        <v>0.32299999999999995</v>
      </c>
      <c r="D19" s="32">
        <f t="shared" ca="1" si="0"/>
        <v>1054.960321384425</v>
      </c>
      <c r="E19" s="17">
        <f ca="1">VLOOKUP($A19,[1]!LOOKUP_SARS_Unified2,E$2,FALSE)</f>
        <v>3266.1310259579727</v>
      </c>
    </row>
    <row r="20" spans="1:9" ht="15" x14ac:dyDescent="0.25">
      <c r="A20" s="92" t="s">
        <v>54</v>
      </c>
      <c r="B20" s="4" t="str">
        <f>IF(VLOOKUP($A20,[1]!LOOKUP_Key_Information2,B$2,FALSE)&lt;&gt;0,VLOOKUP($A20,[1]!LOOKUP_Key_Information2,B$2,FALSE),"")</f>
        <v>Air Force</v>
      </c>
      <c r="C20" s="3">
        <f ca="1">VLOOKUP($A20,[1]!LOOKUP_SARS_Unified2,C$2,FALSE)</f>
        <v>0.20100000000000001</v>
      </c>
      <c r="D20" s="32">
        <f t="shared" ca="1" si="0"/>
        <v>122.09850625756965</v>
      </c>
      <c r="E20" s="17">
        <f ca="1">VLOOKUP($A20,[1]!LOOKUP_SARS_Unified2,E$2,FALSE)</f>
        <v>607.45525501278428</v>
      </c>
    </row>
    <row r="21" spans="1:9" ht="15" x14ac:dyDescent="0.25">
      <c r="A21" s="92" t="s">
        <v>4</v>
      </c>
      <c r="B21" s="4" t="str">
        <f>IF(VLOOKUP($A21,[1]!LOOKUP_Key_Information2,B$2,FALSE)&lt;&gt;0,VLOOKUP($A21,[1]!LOOKUP_Key_Information2,B$2,FALSE),"")</f>
        <v>Air Force</v>
      </c>
      <c r="C21" s="3">
        <f ca="1">VLOOKUP($A21,[1]!LOOKUP_SARS_Unified2,C$2,FALSE)</f>
        <v>-3.2000000000000001E-2</v>
      </c>
      <c r="D21" s="32">
        <f t="shared" ca="1" si="0"/>
        <v>-136.20959621904859</v>
      </c>
      <c r="E21" s="17">
        <f ca="1">VLOOKUP($A21,[1]!LOOKUP_SARS_Unified2,E$2,FALSE)</f>
        <v>4256.5498818452688</v>
      </c>
    </row>
    <row r="22" spans="1:9" ht="15" x14ac:dyDescent="0.25">
      <c r="A22" s="92" t="s">
        <v>61</v>
      </c>
      <c r="B22" s="4" t="str">
        <f>IF(VLOOKUP($A22,[1]!LOOKUP_Key_Information2,B$2,FALSE)&lt;&gt;0,VLOOKUP($A22,[1]!LOOKUP_Key_Information2,B$2,FALSE),"")</f>
        <v>Air Force</v>
      </c>
      <c r="C22" s="3">
        <f ca="1">VLOOKUP($A22,[1]!LOOKUP_SARS_Unified2,C$2,FALSE)</f>
        <v>0.44600000000000001</v>
      </c>
      <c r="D22" s="32">
        <f t="shared" ca="1" si="0"/>
        <v>2502.1852213996372</v>
      </c>
      <c r="E22" s="17">
        <f ca="1">VLOOKUP($A22,[1]!LOOKUP_SARS_Unified2,E$2,FALSE)</f>
        <v>5610.2807654700382</v>
      </c>
    </row>
    <row r="23" spans="1:9" ht="15" x14ac:dyDescent="0.25">
      <c r="A23" s="92" t="s">
        <v>34</v>
      </c>
      <c r="B23" s="4" t="str">
        <f>IF(VLOOKUP($A23,[1]!LOOKUP_Key_Information2,B$2,FALSE)&lt;&gt;0,VLOOKUP($A23,[1]!LOOKUP_Key_Information2,B$2,FALSE),"")</f>
        <v>Air Force</v>
      </c>
      <c r="C23" s="3">
        <f ca="1">VLOOKUP($A23,[1]!LOOKUP_SARS_Unified2,C$2,FALSE)</f>
        <v>0.27200000000000002</v>
      </c>
      <c r="D23" s="32">
        <f t="shared" ca="1" si="0"/>
        <v>873.97904735298243</v>
      </c>
      <c r="E23" s="17">
        <f ca="1">VLOOKUP($A23,[1]!LOOKUP_SARS_Unified2,E$2,FALSE)</f>
        <v>3213.1582623271411</v>
      </c>
    </row>
    <row r="24" spans="1:9" ht="15" x14ac:dyDescent="0.25">
      <c r="A24" s="92" t="s">
        <v>21</v>
      </c>
      <c r="B24" s="4" t="str">
        <f>IF(VLOOKUP($A24,[1]!LOOKUP_Key_Information2,B$2,FALSE)&lt;&gt;0,VLOOKUP($A24,[1]!LOOKUP_Key_Information2,B$2,FALSE),"")</f>
        <v>Air Force</v>
      </c>
      <c r="C24" s="3">
        <f ca="1">VLOOKUP($A24,[1]!LOOKUP_SARS_Unified2,C$2,FALSE)</f>
        <v>8.3000000000000004E-2</v>
      </c>
      <c r="D24" s="32">
        <f t="shared" ca="1" si="0"/>
        <v>464.65636588380715</v>
      </c>
      <c r="E24" s="17">
        <f ca="1">VLOOKUP($A24,[1]!LOOKUP_SARS_Unified2,E$2,FALSE)</f>
        <v>5598.2694684796043</v>
      </c>
    </row>
    <row r="25" spans="1:9" ht="15" x14ac:dyDescent="0.25">
      <c r="A25" s="92" t="s">
        <v>45</v>
      </c>
      <c r="B25" s="4" t="str">
        <f>IF(VLOOKUP($A25,[1]!LOOKUP_Key_Information2,B$2,FALSE)&lt;&gt;0,VLOOKUP($A25,[1]!LOOKUP_Key_Information2,B$2,FALSE),"")</f>
        <v>Air Force</v>
      </c>
      <c r="C25" s="3">
        <f ca="1">VLOOKUP($A25,[1]!LOOKUP_SARS_Unified2,C$2,FALSE)</f>
        <v>0.13800000000000001</v>
      </c>
      <c r="D25" s="32">
        <f t="shared" ca="1" si="0"/>
        <v>55.530053498374073</v>
      </c>
      <c r="E25" s="17">
        <f ca="1">VLOOKUP($A25,[1]!LOOKUP_SARS_Unified2,E$2,FALSE)</f>
        <v>402.39169201720341</v>
      </c>
    </row>
    <row r="26" spans="1:9" ht="15" x14ac:dyDescent="0.25">
      <c r="A26" s="92" t="s">
        <v>66</v>
      </c>
      <c r="B26" s="4" t="str">
        <f>IF(VLOOKUP($A26,[1]!LOOKUP_Key_Information2,B$2,FALSE)&lt;&gt;0,VLOOKUP($A26,[1]!LOOKUP_Key_Information2,B$2,FALSE),"")</f>
        <v>Air Force</v>
      </c>
      <c r="C26" s="3">
        <f ca="1">VLOOKUP($A26,[1]!LOOKUP_SARS_Unified2,C$2,FALSE)</f>
        <v>-20</v>
      </c>
      <c r="D26" s="32">
        <f t="shared" ca="1" si="0"/>
        <v>-37276.234567901229</v>
      </c>
      <c r="E26" s="17">
        <f ca="1">VLOOKUP($A26,[1]!LOOKUP_SARS_Unified2,E$2,FALSE)</f>
        <v>1863.8117283950614</v>
      </c>
    </row>
    <row r="27" spans="1:9" ht="15" x14ac:dyDescent="0.25">
      <c r="A27" s="92" t="s">
        <v>46</v>
      </c>
      <c r="B27" s="4" t="str">
        <f>IF(VLOOKUP($A27,[1]!LOOKUP_Key_Information2,B$2,FALSE)&lt;&gt;0,VLOOKUP($A27,[1]!LOOKUP_Key_Information2,B$2,FALSE),"")</f>
        <v>Air Force</v>
      </c>
      <c r="C27" s="3">
        <f ca="1">VLOOKUP($A27,[1]!LOOKUP_SARS_Unified2,C$2,FALSE)</f>
        <v>3.9E-2</v>
      </c>
      <c r="D27" s="32">
        <f t="shared" ca="1" si="0"/>
        <v>61.226477649479818</v>
      </c>
      <c r="E27" s="17">
        <f ca="1">VLOOKUP($A27,[1]!LOOKUP_SARS_Unified2,E$2,FALSE)</f>
        <v>1569.9096833199953</v>
      </c>
    </row>
    <row r="28" spans="1:9" ht="15" x14ac:dyDescent="0.25">
      <c r="A28" s="92" t="s">
        <v>63</v>
      </c>
      <c r="B28" s="4" t="str">
        <f>IF(VLOOKUP($A28,[1]!LOOKUP_Key_Information2,B$2,FALSE)&lt;&gt;0,VLOOKUP($A28,[1]!LOOKUP_Key_Information2,B$2,FALSE),"")</f>
        <v>Air Force</v>
      </c>
      <c r="C28" s="3">
        <f ca="1">VLOOKUP($A28,[1]!LOOKUP_SARS_Unified2,C$2,FALSE)</f>
        <v>0.23800000000000002</v>
      </c>
      <c r="D28" s="32">
        <f t="shared" ca="1" si="0"/>
        <v>1779.3070987654319</v>
      </c>
      <c r="E28" s="17">
        <f ca="1">VLOOKUP($A28,[1]!LOOKUP_SARS_Unified2,E$2,FALSE)</f>
        <v>7476.0802469135788</v>
      </c>
    </row>
    <row r="29" spans="1:9" ht="15" x14ac:dyDescent="0.25">
      <c r="A29" s="92" t="s">
        <v>69</v>
      </c>
      <c r="B29" s="4" t="str">
        <f>IF(VLOOKUP($A29,[1]!LOOKUP_Key_Information2,B$2,FALSE)&lt;&gt;0,VLOOKUP($A29,[1]!LOOKUP_Key_Information2,B$2,FALSE),"")</f>
        <v>Air Force</v>
      </c>
      <c r="C29" s="3">
        <f ca="1">VLOOKUP($A29,[1]!LOOKUP_SARS_Unified2,C$2,FALSE)</f>
        <v>2.7370000000000001</v>
      </c>
      <c r="D29" s="32">
        <f t="shared" ca="1" si="0"/>
        <v>18736.101359703338</v>
      </c>
      <c r="E29" s="17">
        <f ca="1">VLOOKUP($A29,[1]!LOOKUP_SARS_Unified2,E$2,FALSE)</f>
        <v>6845.4882571075395</v>
      </c>
    </row>
    <row r="30" spans="1:9" ht="15" x14ac:dyDescent="0.25">
      <c r="A30" s="92" t="s">
        <v>246</v>
      </c>
      <c r="B30" s="4" t="str">
        <f>IF(VLOOKUP($A30,[1]!LOOKUP_Key_Information2,B$2,FALSE)&lt;&gt;0,VLOOKUP($A30,[1]!LOOKUP_Key_Information2,B$2,FALSE),"")</f>
        <v>Air Force</v>
      </c>
      <c r="C30" s="3" t="str">
        <f ca="1">VLOOKUP($A30,[1]!LOOKUP_SARS_Unified2,C$2,FALSE)</f>
        <v/>
      </c>
      <c r="D30" s="32" t="e">
        <f t="shared" ca="1" si="0"/>
        <v>#VALUE!</v>
      </c>
      <c r="E30" s="17" t="e">
        <f ca="1">VLOOKUP($A30,[1]!LOOKUP_SARS_Unified2,E$2,FALSE)</f>
        <v>#VALUE!</v>
      </c>
    </row>
    <row r="31" spans="1:9" ht="15" x14ac:dyDescent="0.25">
      <c r="A31" s="92" t="s">
        <v>247</v>
      </c>
      <c r="B31" s="4" t="str">
        <f>IF(VLOOKUP($A31,[1]!LOOKUP_Key_Information2,B$2,FALSE)&lt;&gt;0,VLOOKUP($A31,[1]!LOOKUP_Key_Information2,B$2,FALSE),"")</f>
        <v>Air Force</v>
      </c>
      <c r="C31" s="3">
        <f ca="1">VLOOKUP($A31,[1]!LOOKUP_SARS_Unified2,C$2,FALSE)</f>
        <v>5.7000000000000002E-2</v>
      </c>
      <c r="D31" s="32">
        <f t="shared" ca="1" si="0"/>
        <v>642.84495961397249</v>
      </c>
      <c r="E31" s="17">
        <f ca="1">VLOOKUP($A31,[1]!LOOKUP_SARS_Unified2,E$2,FALSE)</f>
        <v>11277.981747613552</v>
      </c>
      <c r="H31" s="1" t="s">
        <v>237</v>
      </c>
      <c r="I31" s="1" t="s">
        <v>238</v>
      </c>
    </row>
    <row r="32" spans="1:9" ht="15" x14ac:dyDescent="0.25">
      <c r="A32" s="92" t="s">
        <v>248</v>
      </c>
      <c r="B32" s="4" t="str">
        <f>IF(VLOOKUP($A32,[1]!LOOKUP_Key_Information2,B$2,FALSE)&lt;&gt;0,VLOOKUP($A32,[1]!LOOKUP_Key_Information2,B$2,FALSE),"")</f>
        <v>Air Force</v>
      </c>
      <c r="C32" s="3">
        <f ca="1">VLOOKUP($A32,[1]!LOOKUP_SARS_Unified2,C$2,FALSE)</f>
        <v>0.99199999999999999</v>
      </c>
      <c r="D32" s="32">
        <f t="shared" ca="1" si="0"/>
        <v>5549.7654320987658</v>
      </c>
      <c r="E32" s="17">
        <f ca="1">VLOOKUP($A32,[1]!LOOKUP_SARS_Unified2,E$2,FALSE)</f>
        <v>5594.5216049382716</v>
      </c>
      <c r="G32" s="1" t="s">
        <v>239</v>
      </c>
      <c r="H32" s="19">
        <v>-0.25</v>
      </c>
      <c r="I32" s="1">
        <v>-2000</v>
      </c>
    </row>
    <row r="33" spans="1:9" ht="15" x14ac:dyDescent="0.25">
      <c r="A33" t="s">
        <v>222</v>
      </c>
      <c r="B33" s="4" t="str">
        <f>IF(VLOOKUP($A33,[1]!LOOKUP_Key_Information2,B$2,FALSE)&lt;&gt;0,VLOOKUP($A33,[1]!LOOKUP_Key_Information2,B$2,FALSE),"")</f>
        <v>Air Force</v>
      </c>
      <c r="C33" s="3">
        <f ca="1">VLOOKUP($A33,[1]!LOOKUP_SARS_Unified2,C$2,FALSE)</f>
        <v>2.7000000000000003E-2</v>
      </c>
      <c r="D33" s="32">
        <f t="shared" ca="1" si="0"/>
        <v>518.88726823238574</v>
      </c>
      <c r="E33" s="17">
        <f ca="1">VLOOKUP($A33,[1]!LOOKUP_SARS_Unified2,E$2,FALSE)</f>
        <v>19218.046971569838</v>
      </c>
      <c r="G33" s="1" t="s">
        <v>240</v>
      </c>
      <c r="H33" s="19">
        <v>0.5</v>
      </c>
      <c r="I33" s="1">
        <v>-2000</v>
      </c>
    </row>
    <row r="34" spans="1:9" ht="15" x14ac:dyDescent="0.25">
      <c r="A34" t="s">
        <v>59</v>
      </c>
      <c r="B34" s="4" t="str">
        <f>IF(VLOOKUP($A34,[1]!LOOKUP_Key_Information2,B$2,FALSE)&lt;&gt;0,VLOOKUP($A34,[1]!LOOKUP_Key_Information2,B$2,FALSE),"")</f>
        <v>Air Force</v>
      </c>
      <c r="C34" s="3">
        <f ca="1">VLOOKUP($A34,[1]!LOOKUP_SARS_Unified2,C$2,FALSE)</f>
        <v>-2.5000000000000001E-2</v>
      </c>
      <c r="D34" s="32">
        <f t="shared" ca="1" si="0"/>
        <v>-92.741189766772834</v>
      </c>
      <c r="E34" s="17">
        <f ca="1">VLOOKUP($A34,[1]!LOOKUP_SARS_Unified2,E$2,FALSE)</f>
        <v>3709.6475906709134</v>
      </c>
      <c r="G34" s="1" t="s">
        <v>241</v>
      </c>
      <c r="H34" s="19">
        <v>0.5</v>
      </c>
      <c r="I34" s="1">
        <v>10000</v>
      </c>
    </row>
    <row r="35" spans="1:9" ht="15" x14ac:dyDescent="0.25">
      <c r="A35" t="s">
        <v>0</v>
      </c>
      <c r="B35" s="4" t="str">
        <f>IF(VLOOKUP($A35,[1]!LOOKUP_Key_Information2,B$2,FALSE)&lt;&gt;0,VLOOKUP($A35,[1]!LOOKUP_Key_Information2,B$2,FALSE),"")</f>
        <v>Army</v>
      </c>
      <c r="C35" s="3">
        <f ca="1">VLOOKUP($A35,[1]!LOOKUP_SARS_Unified2,C$2,FALSE)</f>
        <v>0.42399999999999999</v>
      </c>
      <c r="D35" s="32">
        <f t="shared" ca="1" si="0"/>
        <v>3071.1528683541505</v>
      </c>
      <c r="E35" s="17">
        <f ca="1">VLOOKUP($A35,[1]!LOOKUP_SARS_Unified2,E$2,FALSE)</f>
        <v>7243.285066872997</v>
      </c>
      <c r="G35" s="1" t="s">
        <v>242</v>
      </c>
      <c r="H35" s="19">
        <v>-0.25</v>
      </c>
      <c r="I35" s="1">
        <v>10000</v>
      </c>
    </row>
    <row r="36" spans="1:9" ht="15" x14ac:dyDescent="0.25">
      <c r="A36" s="92" t="s">
        <v>212</v>
      </c>
      <c r="B36" s="4" t="str">
        <f>IF(VLOOKUP($A36,[1]!LOOKUP_Key_Information2,B$2,FALSE)&lt;&gt;0,VLOOKUP($A36,[1]!LOOKUP_Key_Information2,B$2,FALSE),"")</f>
        <v>Army</v>
      </c>
      <c r="C36" s="3">
        <f ca="1">VLOOKUP($A36,[1]!LOOKUP_SARS_Unified2,C$2,FALSE)</f>
        <v>-0.14899999999999999</v>
      </c>
      <c r="D36" s="32">
        <f t="shared" ca="1" si="0"/>
        <v>-695.83847923477413</v>
      </c>
      <c r="E36" s="17">
        <f ca="1">VLOOKUP($A36,[1]!LOOKUP_SARS_Unified2,E$2,FALSE)</f>
        <v>4670.0569076159336</v>
      </c>
      <c r="G36" s="1" t="s">
        <v>239</v>
      </c>
      <c r="H36" s="19">
        <v>-0.25</v>
      </c>
      <c r="I36" s="1">
        <v>-2000</v>
      </c>
    </row>
    <row r="37" spans="1:9" ht="15" x14ac:dyDescent="0.25">
      <c r="A37" s="92" t="s">
        <v>213</v>
      </c>
      <c r="B37" s="4" t="str">
        <f>IF(VLOOKUP($A37,[1]!LOOKUP_Key_Information2,B$2,FALSE)&lt;&gt;0,VLOOKUP($A37,[1]!LOOKUP_Key_Information2,B$2,FALSE),"")</f>
        <v>Army</v>
      </c>
      <c r="C37" s="3">
        <f ca="1">VLOOKUP($A37,[1]!LOOKUP_SARS_Unified2,C$2,FALSE)</f>
        <v>-0.60099999999999998</v>
      </c>
      <c r="D37" s="32">
        <f t="shared" ca="1" si="0"/>
        <v>-2163.7236766891506</v>
      </c>
      <c r="E37" s="17">
        <f ca="1">VLOOKUP($A37,[1]!LOOKUP_SARS_Unified2,E$2,FALSE)</f>
        <v>3600.2057848405166</v>
      </c>
    </row>
    <row r="38" spans="1:9" ht="15" x14ac:dyDescent="0.25">
      <c r="A38" s="92" t="s">
        <v>214</v>
      </c>
      <c r="B38" s="4" t="str">
        <f>IF(VLOOKUP($A38,[1]!LOOKUP_Key_Information2,B$2,FALSE)&lt;&gt;0,VLOOKUP($A38,[1]!LOOKUP_Key_Information2,B$2,FALSE),"")</f>
        <v>Army</v>
      </c>
      <c r="C38" s="3">
        <f ca="1">VLOOKUP($A38,[1]!LOOKUP_SARS_Unified2,C$2,FALSE)</f>
        <v>2.7999999999999997E-2</v>
      </c>
      <c r="D38" s="32">
        <f t="shared" ca="1" si="0"/>
        <v>62.309238406586744</v>
      </c>
      <c r="E38" s="17">
        <f ca="1">VLOOKUP($A38,[1]!LOOKUP_SARS_Unified2,E$2,FALSE)</f>
        <v>2225.3299430923839</v>
      </c>
    </row>
    <row r="39" spans="1:9" ht="15" x14ac:dyDescent="0.25">
      <c r="A39" s="92" t="s">
        <v>13</v>
      </c>
      <c r="B39" s="4" t="str">
        <f>IF(VLOOKUP($A39,[1]!LOOKUP_Key_Information2,B$2,FALSE)&lt;&gt;0,VLOOKUP($A39,[1]!LOOKUP_Key_Information2,B$2,FALSE),"")</f>
        <v>Army</v>
      </c>
      <c r="C39" s="3">
        <f ca="1">VLOOKUP($A39,[1]!LOOKUP_SARS_Unified2,C$2,FALSE)</f>
        <v>1.8000000000000002E-2</v>
      </c>
      <c r="D39" s="32">
        <f t="shared" ca="1" si="0"/>
        <v>60.930621140573919</v>
      </c>
      <c r="E39" s="17">
        <f ca="1">VLOOKUP($A39,[1]!LOOKUP_SARS_Unified2,E$2,FALSE)</f>
        <v>3385.0345078096616</v>
      </c>
    </row>
    <row r="40" spans="1:9" ht="15" x14ac:dyDescent="0.25">
      <c r="A40" s="92" t="s">
        <v>22</v>
      </c>
      <c r="B40" s="4" t="str">
        <f>IF(VLOOKUP($A40,[1]!LOOKUP_Key_Information2,B$2,FALSE)&lt;&gt;0,VLOOKUP($A40,[1]!LOOKUP_Key_Information2,B$2,FALSE),"")</f>
        <v>Army</v>
      </c>
      <c r="C40" s="3">
        <f ca="1">VLOOKUP($A40,[1]!LOOKUP_SARS_Unified2,C$2,FALSE)</f>
        <v>0.13100000000000001</v>
      </c>
      <c r="D40" s="32">
        <f t="shared" ca="1" si="0"/>
        <v>1589.7322510575052</v>
      </c>
      <c r="E40" s="17">
        <f ca="1">VLOOKUP($A40,[1]!LOOKUP_SARS_Unified2,E$2,FALSE)</f>
        <v>12135.36069509546</v>
      </c>
    </row>
    <row r="41" spans="1:9" ht="15" x14ac:dyDescent="0.25">
      <c r="A41" s="92" t="s">
        <v>215</v>
      </c>
      <c r="B41" s="4" t="str">
        <f>IF(VLOOKUP($A41,[1]!LOOKUP_Key_Information2,B$2,FALSE)&lt;&gt;0,VLOOKUP($A41,[1]!LOOKUP_Key_Information2,B$2,FALSE),"")</f>
        <v>Army</v>
      </c>
      <c r="C41" s="3">
        <f ca="1">VLOOKUP($A41,[1]!LOOKUP_SARS_Unified2,C$2,FALSE)</f>
        <v>0.151</v>
      </c>
      <c r="D41" s="32">
        <f t="shared" ca="1" si="0"/>
        <v>7366.7066615226322</v>
      </c>
      <c r="E41" s="17">
        <f ca="1">VLOOKUP($A41,[1]!LOOKUP_SARS_Unified2,E$2,FALSE)</f>
        <v>48786.136831275711</v>
      </c>
    </row>
    <row r="42" spans="1:9" ht="15" x14ac:dyDescent="0.25">
      <c r="A42" s="92" t="s">
        <v>180</v>
      </c>
      <c r="B42" s="4" t="str">
        <f>IF(VLOOKUP($A42,[1]!LOOKUP_Key_Information2,B$2,FALSE)&lt;&gt;0,VLOOKUP($A42,[1]!LOOKUP_Key_Information2,B$2,FALSE),"")</f>
        <v>Army</v>
      </c>
      <c r="C42" s="3">
        <f ca="1">VLOOKUP($A42,[1]!LOOKUP_SARS_Unified2,C$2,FALSE)</f>
        <v>-0.183</v>
      </c>
      <c r="D42" s="32">
        <f t="shared" ca="1" si="0"/>
        <v>-592.16942361039764</v>
      </c>
      <c r="E42" s="17">
        <f ca="1">VLOOKUP($A42,[1]!LOOKUP_SARS_Unified2,E$2,FALSE)</f>
        <v>3235.8984896743041</v>
      </c>
    </row>
    <row r="43" spans="1:9" ht="15" x14ac:dyDescent="0.25">
      <c r="A43" s="92" t="s">
        <v>178</v>
      </c>
      <c r="B43" s="4" t="str">
        <f>IF(VLOOKUP($A43,[1]!LOOKUP_Key_Information2,B$2,FALSE)&lt;&gt;0,VLOOKUP($A43,[1]!LOOKUP_Key_Information2,B$2,FALSE),"")</f>
        <v>Army</v>
      </c>
      <c r="C43" s="3" t="str">
        <f ca="1">VLOOKUP($A43,[1]!LOOKUP_SARS_Unified2,C$2,FALSE)</f>
        <v/>
      </c>
      <c r="D43" s="32" t="e">
        <f t="shared" ca="1" si="0"/>
        <v>#VALUE!</v>
      </c>
      <c r="E43" s="17" t="e">
        <f ca="1">VLOOKUP($A43,[1]!LOOKUP_SARS_Unified2,E$2,FALSE)</f>
        <v>#VALUE!</v>
      </c>
    </row>
    <row r="44" spans="1:9" ht="15" x14ac:dyDescent="0.25">
      <c r="A44" s="92" t="s">
        <v>29</v>
      </c>
      <c r="B44" s="4" t="str">
        <f>IF(VLOOKUP($A44,[1]!LOOKUP_Key_Information2,B$2,FALSE)&lt;&gt;0,VLOOKUP($A44,[1]!LOOKUP_Key_Information2,B$2,FALSE),"")</f>
        <v>Army</v>
      </c>
      <c r="C44" s="3">
        <f ca="1">VLOOKUP($A44,[1]!LOOKUP_SARS_Unified2,C$2,FALSE)</f>
        <v>-1.6E-2</v>
      </c>
      <c r="D44" s="32">
        <f t="shared" ca="1" si="0"/>
        <v>-28.408198304539113</v>
      </c>
      <c r="E44" s="17">
        <f ca="1">VLOOKUP($A44,[1]!LOOKUP_SARS_Unified2,E$2,FALSE)</f>
        <v>1775.5123940336946</v>
      </c>
    </row>
    <row r="45" spans="1:9" ht="15" x14ac:dyDescent="0.25">
      <c r="A45" s="92" t="s">
        <v>14</v>
      </c>
      <c r="B45" s="4" t="str">
        <f>IF(VLOOKUP($A45,[1]!LOOKUP_Key_Information2,B$2,FALSE)&lt;&gt;0,VLOOKUP($A45,[1]!LOOKUP_Key_Information2,B$2,FALSE),"")</f>
        <v>Army</v>
      </c>
      <c r="C45" s="3">
        <f ca="1">VLOOKUP($A45,[1]!LOOKUP_SARS_Unified2,C$2,FALSE)</f>
        <v>0.20899999999999999</v>
      </c>
      <c r="D45" s="32">
        <f t="shared" ca="1" si="0"/>
        <v>377.49982851263286</v>
      </c>
      <c r="E45" s="17">
        <f ca="1">VLOOKUP($A45,[1]!LOOKUP_SARS_Unified2,E$2,FALSE)</f>
        <v>1806.2192751800617</v>
      </c>
    </row>
    <row r="46" spans="1:9" ht="15" x14ac:dyDescent="0.25">
      <c r="A46" s="104" t="s">
        <v>218</v>
      </c>
      <c r="B46" s="4" t="str">
        <f>IF(VLOOKUP($A46,[1]!LOOKUP_Key_Information2,B$2,FALSE)&lt;&gt;0,VLOOKUP($A46,[1]!LOOKUP_Key_Information2,B$2,FALSE),"")</f>
        <v>Army</v>
      </c>
      <c r="C46" s="3">
        <f ca="1">VLOOKUP($A46,[1]!LOOKUP_SARS_Unified2,C$2,FALSE)</f>
        <v>0.44500000000000001</v>
      </c>
      <c r="D46" s="32">
        <f t="shared" ca="1" si="0"/>
        <v>41919.118537353184</v>
      </c>
      <c r="E46" s="17">
        <f ca="1">VLOOKUP($A46,[1]!LOOKUP_SARS_Unified2,E$2,FALSE)</f>
        <v>94200.266376074578</v>
      </c>
    </row>
    <row r="47" spans="1:9" ht="15" x14ac:dyDescent="0.25">
      <c r="A47" s="92" t="s">
        <v>7</v>
      </c>
      <c r="B47" s="4" t="str">
        <f>IF(VLOOKUP($A47,[1]!LOOKUP_Key_Information2,B$2,FALSE)&lt;&gt;0,VLOOKUP($A47,[1]!LOOKUP_Key_Information2,B$2,FALSE),"")</f>
        <v>Army</v>
      </c>
      <c r="C47" s="3">
        <f ca="1">VLOOKUP($A47,[1]!LOOKUP_SARS_Unified2,C$2,FALSE)</f>
        <v>0.252</v>
      </c>
      <c r="D47" s="32">
        <f t="shared" ca="1" si="0"/>
        <v>4004.0268603535706</v>
      </c>
      <c r="E47" s="17">
        <f ca="1">VLOOKUP($A47,[1]!LOOKUP_SARS_Unified2,E$2,FALSE)</f>
        <v>15888.995477593533</v>
      </c>
    </row>
    <row r="48" spans="1:9" ht="15" x14ac:dyDescent="0.25">
      <c r="A48" s="92" t="s">
        <v>53</v>
      </c>
      <c r="B48" s="4" t="str">
        <f>IF(VLOOKUP($A48,[1]!LOOKUP_Key_Information2,B$2,FALSE)&lt;&gt;0,VLOOKUP($A48,[1]!LOOKUP_Key_Information2,B$2,FALSE),"")</f>
        <v>Army</v>
      </c>
      <c r="C48" s="3">
        <f ca="1">VLOOKUP($A48,[1]!LOOKUP_SARS_Unified2,C$2,FALSE)</f>
        <v>0.25800000000000001</v>
      </c>
      <c r="D48" s="32">
        <f t="shared" ca="1" si="0"/>
        <v>3055.202324736651</v>
      </c>
      <c r="E48" s="17">
        <f ca="1">VLOOKUP($A48,[1]!LOOKUP_SARS_Unified2,E$2,FALSE)</f>
        <v>11841.869475723453</v>
      </c>
    </row>
    <row r="49" spans="1:5" ht="15" x14ac:dyDescent="0.25">
      <c r="A49" s="92" t="s">
        <v>3</v>
      </c>
      <c r="B49" s="4" t="str">
        <f>IF(VLOOKUP($A49,[1]!LOOKUP_Key_Information2,B$2,FALSE)&lt;&gt;0,VLOOKUP($A49,[1]!LOOKUP_Key_Information2,B$2,FALSE),"")</f>
        <v>Army</v>
      </c>
      <c r="C49" s="3">
        <f ca="1">VLOOKUP($A49,[1]!LOOKUP_SARS_Unified2,C$2,FALSE)</f>
        <v>-0.13</v>
      </c>
      <c r="D49" s="32">
        <f t="shared" ca="1" si="0"/>
        <v>-584.22084998183789</v>
      </c>
      <c r="E49" s="17">
        <f ca="1">VLOOKUP($A49,[1]!LOOKUP_SARS_Unified2,E$2,FALSE)</f>
        <v>4494.0065383218298</v>
      </c>
    </row>
    <row r="50" spans="1:5" ht="15" x14ac:dyDescent="0.25">
      <c r="A50" s="92" t="s">
        <v>179</v>
      </c>
      <c r="B50" s="4" t="str">
        <f>IF(VLOOKUP($A50,[1]!LOOKUP_Key_Information2,B$2,FALSE)&lt;&gt;0,VLOOKUP($A50,[1]!LOOKUP_Key_Information2,B$2,FALSE),"")</f>
        <v>Army</v>
      </c>
      <c r="C50" s="3">
        <f ca="1">VLOOKUP($A50,[1]!LOOKUP_SARS_Unified2,C$2,FALSE)</f>
        <v>-0.122</v>
      </c>
      <c r="D50" s="32">
        <f t="shared" ca="1" si="0"/>
        <v>-613.35942028985517</v>
      </c>
      <c r="E50" s="17">
        <f ca="1">VLOOKUP($A50,[1]!LOOKUP_SARS_Unified2,E$2,FALSE)</f>
        <v>5027.5362318840589</v>
      </c>
    </row>
    <row r="51" spans="1:5" ht="15" x14ac:dyDescent="0.25">
      <c r="A51" s="92" t="s">
        <v>5</v>
      </c>
      <c r="B51" s="4" t="str">
        <f>IF(VLOOKUP($A51,[1]!LOOKUP_Key_Information2,B$2,FALSE)&lt;&gt;0,VLOOKUP($A51,[1]!LOOKUP_Key_Information2,B$2,FALSE),"")</f>
        <v>Army</v>
      </c>
      <c r="C51" s="3">
        <f ca="1">VLOOKUP($A51,[1]!LOOKUP_SARS_Unified2,C$2,FALSE)</f>
        <v>-0.12</v>
      </c>
      <c r="D51" s="32">
        <f t="shared" ca="1" si="0"/>
        <v>-468.10172765318168</v>
      </c>
      <c r="E51" s="17">
        <f ca="1">VLOOKUP($A51,[1]!LOOKUP_SARS_Unified2,E$2,FALSE)</f>
        <v>3900.8477304431808</v>
      </c>
    </row>
    <row r="52" spans="1:5" ht="15" x14ac:dyDescent="0.25">
      <c r="A52" s="92" t="s">
        <v>219</v>
      </c>
      <c r="B52" s="4" t="str">
        <f>IF(VLOOKUP($A52,[1]!LOOKUP_Key_Information2,B$2,FALSE)&lt;&gt;0,VLOOKUP($A52,[1]!LOOKUP_Key_Information2,B$2,FALSE),"")</f>
        <v>Army</v>
      </c>
      <c r="C52" s="3">
        <f ca="1">VLOOKUP($A52,[1]!LOOKUP_SARS_Unified2,C$2,FALSE)</f>
        <v>-0.70599999999999996</v>
      </c>
      <c r="D52" s="32">
        <f t="shared" ca="1" si="0"/>
        <v>-5643.166096092551</v>
      </c>
      <c r="E52" s="17">
        <f ca="1">VLOOKUP($A52,[1]!LOOKUP_SARS_Unified2,E$2,FALSE)</f>
        <v>7993.1531106126786</v>
      </c>
    </row>
    <row r="53" spans="1:5" ht="15" x14ac:dyDescent="0.25">
      <c r="A53" s="92" t="s">
        <v>78</v>
      </c>
      <c r="B53" s="4" t="str">
        <f>IF(VLOOKUP($A53,[1]!LOOKUP_Key_Information2,B$2,FALSE)&lt;&gt;0,VLOOKUP($A53,[1]!LOOKUP_Key_Information2,B$2,FALSE),"")</f>
        <v>Army</v>
      </c>
      <c r="C53" s="3">
        <f ca="1">VLOOKUP($A53,[1]!LOOKUP_SARS_Unified2,C$2,FALSE)</f>
        <v>-0.222</v>
      </c>
      <c r="D53" s="32">
        <f t="shared" ca="1" si="0"/>
        <v>-1484.7376243283411</v>
      </c>
      <c r="E53" s="17">
        <f ca="1">VLOOKUP($A53,[1]!LOOKUP_SARS_Unified2,E$2,FALSE)</f>
        <v>6688.0073167943292</v>
      </c>
    </row>
    <row r="54" spans="1:5" ht="15" x14ac:dyDescent="0.25">
      <c r="A54" s="92" t="s">
        <v>221</v>
      </c>
      <c r="B54" s="4" t="str">
        <f>IF(VLOOKUP($A54,[1]!LOOKUP_Key_Information2,B$2,FALSE)&lt;&gt;0,VLOOKUP($A54,[1]!LOOKUP_Key_Information2,B$2,FALSE),"")</f>
        <v>Army</v>
      </c>
      <c r="C54" s="3">
        <f ca="1">VLOOKUP($A54,[1]!LOOKUP_SARS_Unified2,C$2,FALSE)</f>
        <v>-0.90400000000000003</v>
      </c>
      <c r="D54" s="32">
        <f t="shared" ca="1" si="0"/>
        <v>-2683.3224361302823</v>
      </c>
      <c r="E54" s="17">
        <f ca="1">VLOOKUP($A54,[1]!LOOKUP_SARS_Unified2,E$2,FALSE)</f>
        <v>2968.2770311175686</v>
      </c>
    </row>
    <row r="55" spans="1:5" ht="15" x14ac:dyDescent="0.25">
      <c r="A55" s="92" t="s">
        <v>245</v>
      </c>
      <c r="B55" s="4" t="str">
        <f>IF(VLOOKUP($A55,[1]!LOOKUP_Key_Information2,B$2,FALSE)&lt;&gt;0,VLOOKUP($A55,[1]!LOOKUP_Key_Information2,B$2,FALSE),"")</f>
        <v>Army</v>
      </c>
      <c r="C55" s="3">
        <f ca="1">VLOOKUP($A55,[1]!LOOKUP_SARS_Unified2,C$2,FALSE)</f>
        <v>80.599999999999994</v>
      </c>
      <c r="D55" s="32">
        <f t="shared" ca="1" si="0"/>
        <v>628562.91626695904</v>
      </c>
      <c r="E55" s="17">
        <f ca="1">VLOOKUP($A55,[1]!LOOKUP_SARS_Unified2,E$2,FALSE)</f>
        <v>7798.5473482252983</v>
      </c>
    </row>
    <row r="56" spans="1:5" ht="15" x14ac:dyDescent="0.25">
      <c r="A56" s="92" t="s">
        <v>58</v>
      </c>
      <c r="B56" s="4" t="str">
        <f>IF(VLOOKUP($A56,[1]!LOOKUP_Key_Information2,B$2,FALSE)&lt;&gt;0,VLOOKUP($A56,[1]!LOOKUP_Key_Information2,B$2,FALSE),"")</f>
        <v>Army</v>
      </c>
      <c r="C56" s="3">
        <f ca="1">VLOOKUP($A56,[1]!LOOKUP_SARS_Unified2,C$2,FALSE)</f>
        <v>2.6000000000000002E-2</v>
      </c>
      <c r="D56" s="32">
        <f t="shared" ca="1" si="0"/>
        <v>47.082789875096722</v>
      </c>
      <c r="E56" s="17">
        <f ca="1">VLOOKUP($A56,[1]!LOOKUP_SARS_Unified2,E$2,FALSE)</f>
        <v>1810.8765336575661</v>
      </c>
    </row>
    <row r="57" spans="1:5" ht="15" x14ac:dyDescent="0.25">
      <c r="A57" s="92" t="s">
        <v>38</v>
      </c>
      <c r="B57" s="4" t="e">
        <f>IF(VLOOKUP($A57,[1]!LOOKUP_Key_Information2,B$2,FALSE)&lt;&gt;0,VLOOKUP($A57,[1]!LOOKUP_Key_Information2,B$2,FALSE),"")</f>
        <v>#N/A</v>
      </c>
      <c r="C57" s="3" t="e">
        <f>VLOOKUP($A57,[1]!LOOKUP_SARS_Unified2,C$2,FALSE)</f>
        <v>#N/A</v>
      </c>
      <c r="D57" s="32" t="e">
        <f t="shared" si="0"/>
        <v>#N/A</v>
      </c>
      <c r="E57" s="17" t="e">
        <f>VLOOKUP($A57,[1]!LOOKUP_SARS_Unified2,E$2,FALSE)</f>
        <v>#N/A</v>
      </c>
    </row>
    <row r="58" spans="1:5" ht="15" x14ac:dyDescent="0.25">
      <c r="A58" s="92" t="s">
        <v>77</v>
      </c>
      <c r="B58" s="4" t="str">
        <f>IF(VLOOKUP($A58,[1]!LOOKUP_Key_Information2,B$2,FALSE)&lt;&gt;0,VLOOKUP($A58,[1]!LOOKUP_Key_Information2,B$2,FALSE),"")</f>
        <v>Army</v>
      </c>
      <c r="C58" s="3">
        <f ca="1">VLOOKUP($A58,[1]!LOOKUP_SARS_Unified2,C$2,FALSE)</f>
        <v>-4.0999999999999995E-2</v>
      </c>
      <c r="D58" s="32">
        <f t="shared" ca="1" si="0"/>
        <v>-1101.1774288749853</v>
      </c>
      <c r="E58" s="17">
        <f ca="1">VLOOKUP($A58,[1]!LOOKUP_SARS_Unified2,E$2,FALSE)</f>
        <v>26857.986070121595</v>
      </c>
    </row>
    <row r="59" spans="1:5" ht="15" x14ac:dyDescent="0.25">
      <c r="A59" s="92" t="s">
        <v>40</v>
      </c>
      <c r="B59" s="4" t="str">
        <f>IF(VLOOKUP($A59,[1]!LOOKUP_Key_Information2,B$2,FALSE)&lt;&gt;0,VLOOKUP($A59,[1]!LOOKUP_Key_Information2,B$2,FALSE),"")</f>
        <v>Army</v>
      </c>
      <c r="C59" s="3">
        <f ca="1">VLOOKUP($A59,[1]!LOOKUP_SARS_Unified2,C$2,FALSE)</f>
        <v>0.02</v>
      </c>
      <c r="D59" s="32">
        <f t="shared" ca="1" si="0"/>
        <v>195.41730610317555</v>
      </c>
      <c r="E59" s="17">
        <f ca="1">VLOOKUP($A59,[1]!LOOKUP_SARS_Unified2,E$2,FALSE)</f>
        <v>9770.8653051587771</v>
      </c>
    </row>
    <row r="60" spans="1:5" ht="15" x14ac:dyDescent="0.25">
      <c r="A60" t="s">
        <v>49</v>
      </c>
      <c r="B60" s="4" t="str">
        <f>IF(VLOOKUP($A60,[1]!LOOKUP_Key_Information2,B$2,FALSE)&lt;&gt;0,VLOOKUP($A60,[1]!LOOKUP_Key_Information2,B$2,FALSE),"")</f>
        <v>Army</v>
      </c>
      <c r="C60" s="3">
        <f ca="1">VLOOKUP($A60,[1]!LOOKUP_SARS_Unified2,C$2,FALSE)</f>
        <v>0.127</v>
      </c>
      <c r="D60" s="32">
        <f t="shared" ca="1" si="0"/>
        <v>2439.4831370755687</v>
      </c>
      <c r="E60" s="17">
        <f ca="1">VLOOKUP($A60,[1]!LOOKUP_SARS_Unified2,E$2,FALSE)</f>
        <v>19208.528638390304</v>
      </c>
    </row>
    <row r="61" spans="1:5" ht="15" x14ac:dyDescent="0.25">
      <c r="A61" t="s">
        <v>43</v>
      </c>
      <c r="B61" s="4" t="str">
        <f>IF(VLOOKUP($A61,[1]!LOOKUP_Key_Information2,B$2,FALSE)&lt;&gt;0,VLOOKUP($A61,[1]!LOOKUP_Key_Information2,B$2,FALSE),"")</f>
        <v>Army</v>
      </c>
      <c r="C61" s="3">
        <f ca="1">VLOOKUP($A61,[1]!LOOKUP_SARS_Unified2,C$2,FALSE)</f>
        <v>2.1000000000000001E-2</v>
      </c>
      <c r="D61" s="32">
        <f t="shared" ca="1" si="0"/>
        <v>85.586436312909129</v>
      </c>
      <c r="E61" s="17">
        <f ca="1">VLOOKUP($A61,[1]!LOOKUP_SARS_Unified2,E$2,FALSE)</f>
        <v>4075.5445863290056</v>
      </c>
    </row>
    <row r="62" spans="1:5" ht="15" x14ac:dyDescent="0.25">
      <c r="A62" t="s">
        <v>57</v>
      </c>
      <c r="B62" s="4" t="str">
        <f>IF(VLOOKUP($A62,[1]!LOOKUP_Key_Information2,B$2,FALSE)&lt;&gt;0,VLOOKUP($A62,[1]!LOOKUP_Key_Information2,B$2,FALSE),"")</f>
        <v>Army</v>
      </c>
      <c r="C62" s="3">
        <f ca="1">VLOOKUP($A62,[1]!LOOKUP_SARS_Unified2,C$2,FALSE)</f>
        <v>6.2E-2</v>
      </c>
      <c r="D62" s="32">
        <f t="shared" ca="1" si="0"/>
        <v>298.50200349327031</v>
      </c>
      <c r="E62" s="17">
        <f ca="1">VLOOKUP($A62,[1]!LOOKUP_SARS_Unified2,E$2,FALSE)</f>
        <v>4814.548443439844</v>
      </c>
    </row>
    <row r="63" spans="1:5" ht="15" x14ac:dyDescent="0.25">
      <c r="A63" t="s">
        <v>185</v>
      </c>
      <c r="B63" s="4" t="str">
        <f>IF(VLOOKUP($A63,[1]!LOOKUP_Key_Information2,B$2,FALSE)&lt;&gt;0,VLOOKUP($A63,[1]!LOOKUP_Key_Information2,B$2,FALSE),"")</f>
        <v>Army</v>
      </c>
      <c r="C63" s="3">
        <f ca="1">VLOOKUP($A63,[1]!LOOKUP_SARS_Unified2,C$2,FALSE)</f>
        <v>-0.19500000000000001</v>
      </c>
      <c r="D63" s="32">
        <f t="shared" ca="1" si="0"/>
        <v>-3191.0357142857142</v>
      </c>
      <c r="E63" s="17">
        <f ca="1">VLOOKUP($A63,[1]!LOOKUP_SARS_Unified2,E$2,FALSE)</f>
        <v>16364.285714285714</v>
      </c>
    </row>
    <row r="64" spans="1:5" ht="15" x14ac:dyDescent="0.25">
      <c r="A64" s="92" t="s">
        <v>174</v>
      </c>
      <c r="B64" s="4" t="str">
        <f>IF(VLOOKUP($A64,[1]!LOOKUP_Key_Information2,B$2,FALSE)&lt;&gt;0,VLOOKUP($A64,[1]!LOOKUP_Key_Information2,B$2,FALSE),"")</f>
        <v>DoD-wide</v>
      </c>
      <c r="C64" s="3">
        <f ca="1">VLOOKUP($A64,[1]!LOOKUP_SARS_Unified2,C$2,FALSE)</f>
        <v>-0.191</v>
      </c>
      <c r="D64" s="32">
        <f t="shared" ca="1" si="0"/>
        <v>-1554.4871499003461</v>
      </c>
      <c r="E64" s="17">
        <f ca="1">VLOOKUP($A64,[1]!LOOKUP_SARS_Unified2,E$2,FALSE)</f>
        <v>8138.6761774887236</v>
      </c>
    </row>
    <row r="65" spans="1:5" ht="15" x14ac:dyDescent="0.25">
      <c r="A65" s="92" t="s">
        <v>47</v>
      </c>
      <c r="B65" s="4" t="str">
        <f>IF(VLOOKUP($A65,[1]!LOOKUP_Key_Information2,B$2,FALSE)&lt;&gt;0,VLOOKUP($A65,[1]!LOOKUP_Key_Information2,B$2,FALSE),"")</f>
        <v>DoD-wide</v>
      </c>
      <c r="C65" s="3">
        <f ca="1">VLOOKUP($A65,[1]!LOOKUP_SARS_Unified2,C$2,FALSE)</f>
        <v>2.8439999999999999</v>
      </c>
      <c r="D65" s="32">
        <f t="shared" ca="1" si="0"/>
        <v>7486.4414478353447</v>
      </c>
      <c r="E65" s="17">
        <f ca="1">VLOOKUP($A65,[1]!LOOKUP_SARS_Unified2,E$2,FALSE)</f>
        <v>2632.36337828247</v>
      </c>
    </row>
    <row r="66" spans="1:5" ht="15" x14ac:dyDescent="0.25">
      <c r="A66" s="92" t="s">
        <v>55</v>
      </c>
      <c r="B66" s="4" t="str">
        <f>IF(VLOOKUP($A66,[1]!LOOKUP_Key_Information2,B$2,FALSE)&lt;&gt;0,VLOOKUP($A66,[1]!LOOKUP_Key_Information2,B$2,FALSE),"")</f>
        <v>DoD-wide</v>
      </c>
      <c r="C66" s="3">
        <f ca="1">VLOOKUP($A66,[1]!LOOKUP_SARS_Unified2,C$2,FALSE)</f>
        <v>0.80200000000000005</v>
      </c>
      <c r="D66" s="32">
        <f t="shared" ca="1" si="0"/>
        <v>13172.59258202568</v>
      </c>
      <c r="E66" s="17">
        <f ca="1">VLOOKUP($A66,[1]!LOOKUP_SARS_Unified2,E$2,FALSE)</f>
        <v>16424.679029957206</v>
      </c>
    </row>
    <row r="67" spans="1:5" ht="15" x14ac:dyDescent="0.25">
      <c r="A67" s="92" t="s">
        <v>216</v>
      </c>
      <c r="B67" s="4" t="str">
        <f>IF(VLOOKUP($A67,[1]!LOOKUP_Key_Information2,B$2,FALSE)&lt;&gt;0,VLOOKUP($A67,[1]!LOOKUP_Key_Information2,B$2,FALSE),"")</f>
        <v>DoD-wide</v>
      </c>
      <c r="C67" s="3">
        <f ca="1">VLOOKUP($A67,[1]!LOOKUP_SARS_Unified2,C$2,FALSE)</f>
        <v>-0.10300000000000001</v>
      </c>
      <c r="D67" s="32">
        <f t="shared" ca="1" si="0"/>
        <v>-104.72421933683873</v>
      </c>
      <c r="E67" s="17">
        <f ca="1">VLOOKUP($A67,[1]!LOOKUP_SARS_Unified2,E$2,FALSE)</f>
        <v>1016.739993561541</v>
      </c>
    </row>
    <row r="68" spans="1:5" ht="15" x14ac:dyDescent="0.25">
      <c r="A68" s="92" t="s">
        <v>10</v>
      </c>
      <c r="B68" s="4" t="str">
        <f>IF(VLOOKUP($A68,[1]!LOOKUP_Key_Information2,B$2,FALSE)&lt;&gt;0,VLOOKUP($A68,[1]!LOOKUP_Key_Information2,B$2,FALSE),"")</f>
        <v>DoD-wide</v>
      </c>
      <c r="C68" s="3">
        <f ca="1">VLOOKUP($A68,[1]!LOOKUP_SARS_Unified2,C$2,FALSE)</f>
        <v>0.52800000000000002</v>
      </c>
      <c r="D68" s="32">
        <f t="shared" ca="1" si="0"/>
        <v>115585.66131025959</v>
      </c>
      <c r="E68" s="17">
        <f ca="1">VLOOKUP($A68,[1]!LOOKUP_SARS_Unified2,E$2,FALSE)</f>
        <v>218912.23733003708</v>
      </c>
    </row>
    <row r="69" spans="1:5" ht="15" x14ac:dyDescent="0.25">
      <c r="A69" s="92" t="s">
        <v>220</v>
      </c>
      <c r="B69" s="4" t="str">
        <f>IF(VLOOKUP($A69,[1]!LOOKUP_Key_Information2,B$2,FALSE)&lt;&gt;0,VLOOKUP($A69,[1]!LOOKUP_Key_Information2,B$2,FALSE),"")</f>
        <v>DoD-wide</v>
      </c>
      <c r="C69" s="3">
        <f ca="1">VLOOKUP($A69,[1]!LOOKUP_SARS_Unified2,C$2,FALSE)</f>
        <v>-0.27399999999999997</v>
      </c>
      <c r="D69" s="32">
        <f t="shared" ca="1" si="0"/>
        <v>-441.20919713531839</v>
      </c>
      <c r="E69" s="17">
        <f ca="1">VLOOKUP($A69,[1]!LOOKUP_SARS_Unified2,E$2,FALSE)</f>
        <v>1610.2525442894835</v>
      </c>
    </row>
    <row r="70" spans="1:5" ht="15" x14ac:dyDescent="0.25">
      <c r="A70" s="92" t="s">
        <v>68</v>
      </c>
      <c r="B70" s="4" t="str">
        <f>IF(VLOOKUP($A70,[1]!LOOKUP_Key_Information2,B$2,FALSE)&lt;&gt;0,VLOOKUP($A70,[1]!LOOKUP_Key_Information2,B$2,FALSE),"")</f>
        <v>DoD-wide</v>
      </c>
      <c r="C70" s="3">
        <f ca="1">VLOOKUP($A70,[1]!LOOKUP_SARS_Unified2,C$2,FALSE)</f>
        <v>-0.54</v>
      </c>
      <c r="D70" s="32">
        <f t="shared" ca="1" si="0"/>
        <v>-9636.6971569839297</v>
      </c>
      <c r="E70" s="17">
        <f ca="1">VLOOKUP($A70,[1]!LOOKUP_SARS_Unified2,E$2,FALSE)</f>
        <v>17845.735475896166</v>
      </c>
    </row>
    <row r="71" spans="1:5" ht="15" x14ac:dyDescent="0.25">
      <c r="A71" s="92" t="s">
        <v>76</v>
      </c>
      <c r="B71" s="4" t="str">
        <f>IF(VLOOKUP($A71,[1]!LOOKUP_Key_Information2,B$2,FALSE)&lt;&gt;0,VLOOKUP($A71,[1]!LOOKUP_Key_Information2,B$2,FALSE),"")</f>
        <v>DoD-wide</v>
      </c>
      <c r="C71" s="3">
        <f ca="1">VLOOKUP($A71,[1]!LOOKUP_SARS_Unified2,C$2,FALSE)</f>
        <v>-0.27600000000000002</v>
      </c>
      <c r="D71" s="32">
        <f t="shared" ca="1" si="0"/>
        <v>-2767.3316435161723</v>
      </c>
      <c r="E71" s="17">
        <f ca="1">VLOOKUP($A71,[1]!LOOKUP_SARS_Unified2,E$2,FALSE)</f>
        <v>10026.563925783232</v>
      </c>
    </row>
    <row r="72" spans="1:5" ht="15" x14ac:dyDescent="0.25">
      <c r="A72" s="92" t="s">
        <v>70</v>
      </c>
      <c r="B72" s="4" t="str">
        <f>IF(VLOOKUP($A72,[1]!LOOKUP_Key_Information2,B$2,FALSE)&lt;&gt;0,VLOOKUP($A72,[1]!LOOKUP_Key_Information2,B$2,FALSE),"")</f>
        <v>DoD-wide</v>
      </c>
      <c r="C72" s="3">
        <f ca="1">VLOOKUP($A72,[1]!LOOKUP_SARS_Unified2,C$2,FALSE)</f>
        <v>1.109</v>
      </c>
      <c r="D72" s="32">
        <f t="shared" ca="1" si="0"/>
        <v>1114.3462299134733</v>
      </c>
      <c r="E72" s="17">
        <f ca="1">VLOOKUP($A72,[1]!LOOKUP_SARS_Unified2,E$2,FALSE)</f>
        <v>1004.8207663782447</v>
      </c>
    </row>
    <row r="73" spans="1:5" ht="15" x14ac:dyDescent="0.25">
      <c r="A73" s="92" t="s">
        <v>183</v>
      </c>
      <c r="B73" s="4" t="str">
        <f>IF(VLOOKUP($A73,[1]!LOOKUP_Key_Information2,B$2,FALSE)&lt;&gt;0,VLOOKUP($A73,[1]!LOOKUP_Key_Information2,B$2,FALSE),"")</f>
        <v>DoD-wide</v>
      </c>
      <c r="C73" s="3">
        <f ca="1">VLOOKUP($A73,[1]!LOOKUP_SARS_Unified2,C$2,FALSE)</f>
        <v>0.14699999999999999</v>
      </c>
      <c r="D73" s="32">
        <f t="shared" ref="D73:D111" ca="1" si="1">C73*E73</f>
        <v>324.7918634217217</v>
      </c>
      <c r="E73" s="17">
        <f ca="1">VLOOKUP($A73,[1]!LOOKUP_SARS_Unified2,E$2,FALSE)</f>
        <v>2209.468458651168</v>
      </c>
    </row>
    <row r="74" spans="1:5" ht="15" x14ac:dyDescent="0.25">
      <c r="A74" s="92" t="s">
        <v>18</v>
      </c>
      <c r="B74" s="4" t="str">
        <f>IF(VLOOKUP($A74,[1]!LOOKUP_Key_Information2,B$2,FALSE)&lt;&gt;0,VLOOKUP($A74,[1]!LOOKUP_Key_Information2,B$2,FALSE),"")</f>
        <v>Navy</v>
      </c>
      <c r="C74" s="3">
        <f ca="1">VLOOKUP($A74,[1]!LOOKUP_SARS_Unified2,C$2,FALSE)</f>
        <v>7.8E-2</v>
      </c>
      <c r="D74" s="32">
        <f t="shared" ca="1" si="1"/>
        <v>144.35524881946967</v>
      </c>
      <c r="E74" s="17">
        <f ca="1">VLOOKUP($A74,[1]!LOOKUP_SARS_Unified2,E$2,FALSE)</f>
        <v>1850.7083181983289</v>
      </c>
    </row>
    <row r="75" spans="1:5" ht="15" x14ac:dyDescent="0.25">
      <c r="A75" s="92" t="s">
        <v>12</v>
      </c>
      <c r="B75" s="4" t="str">
        <f>IF(VLOOKUP($A75,[1]!LOOKUP_Key_Information2,B$2,FALSE)&lt;&gt;0,VLOOKUP($A75,[1]!LOOKUP_Key_Information2,B$2,FALSE),"")</f>
        <v>Navy</v>
      </c>
      <c r="C75" s="3">
        <f ca="1">VLOOKUP($A75,[1]!LOOKUP_SARS_Unified2,C$2,FALSE)</f>
        <v>0.187</v>
      </c>
      <c r="D75" s="32">
        <f t="shared" ca="1" si="1"/>
        <v>620.06190283945637</v>
      </c>
      <c r="E75" s="17">
        <f ca="1">VLOOKUP($A75,[1]!LOOKUP_SARS_Unified2,E$2,FALSE)</f>
        <v>3315.8390526174135</v>
      </c>
    </row>
    <row r="76" spans="1:5" ht="15" x14ac:dyDescent="0.25">
      <c r="A76" s="92" t="s">
        <v>176</v>
      </c>
      <c r="B76" s="4" t="str">
        <f>IF(VLOOKUP($A76,[1]!LOOKUP_Key_Information2,B$2,FALSE)&lt;&gt;0,VLOOKUP($A76,[1]!LOOKUP_Key_Information2,B$2,FALSE),"")</f>
        <v>Navy</v>
      </c>
      <c r="C76" s="3">
        <f ca="1">VLOOKUP($A76,[1]!LOOKUP_SARS_Unified2,C$2,FALSE)</f>
        <v>0.2</v>
      </c>
      <c r="D76" s="32">
        <f t="shared" ca="1" si="1"/>
        <v>2564.6700933599077</v>
      </c>
      <c r="E76" s="17">
        <f ca="1">VLOOKUP($A76,[1]!LOOKUP_SARS_Unified2,E$2,FALSE)</f>
        <v>12823.350466799538</v>
      </c>
    </row>
    <row r="77" spans="1:5" ht="15" x14ac:dyDescent="0.25">
      <c r="A77" s="92" t="s">
        <v>16</v>
      </c>
      <c r="B77" s="4" t="str">
        <f>IF(VLOOKUP($A77,[1]!LOOKUP_Key_Information2,B$2,FALSE)&lt;&gt;0,VLOOKUP($A77,[1]!LOOKUP_Key_Information2,B$2,FALSE),"")</f>
        <v>Navy</v>
      </c>
      <c r="C77" s="3">
        <f ca="1">VLOOKUP($A77,[1]!LOOKUP_SARS_Unified2,C$2,FALSE)</f>
        <v>0.11699999999999999</v>
      </c>
      <c r="D77" s="32">
        <f t="shared" ca="1" si="1"/>
        <v>596.32398022249686</v>
      </c>
      <c r="E77" s="17">
        <f ca="1">VLOOKUP($A77,[1]!LOOKUP_SARS_Unified2,E$2,FALSE)</f>
        <v>5096.7861557478363</v>
      </c>
    </row>
    <row r="78" spans="1:5" ht="15" x14ac:dyDescent="0.25">
      <c r="A78" s="92" t="s">
        <v>23</v>
      </c>
      <c r="B78" s="4" t="str">
        <f>IF(VLOOKUP($A78,[1]!LOOKUP_Key_Information2,B$2,FALSE)&lt;&gt;0,VLOOKUP($A78,[1]!LOOKUP_Key_Information2,B$2,FALSE),"")</f>
        <v>Navy</v>
      </c>
      <c r="C78" s="3">
        <f ca="1">VLOOKUP($A78,[1]!LOOKUP_SARS_Unified2,C$2,FALSE)</f>
        <v>0.17699999999999999</v>
      </c>
      <c r="D78" s="32">
        <f t="shared" ca="1" si="1"/>
        <v>2930.9376588924506</v>
      </c>
      <c r="E78" s="17">
        <f ca="1">VLOOKUP($A78,[1]!LOOKUP_SARS_Unified2,E$2,FALSE)</f>
        <v>16558.969824251133</v>
      </c>
    </row>
    <row r="79" spans="1:5" ht="15" x14ac:dyDescent="0.25">
      <c r="A79" s="92" t="s">
        <v>20</v>
      </c>
      <c r="B79" s="4" t="str">
        <f>IF(VLOOKUP($A79,[1]!LOOKUP_Key_Information2,B$2,FALSE)&lt;&gt;0,VLOOKUP($A79,[1]!LOOKUP_Key_Information2,B$2,FALSE),"")</f>
        <v>Navy</v>
      </c>
      <c r="C79" s="3">
        <f ca="1">VLOOKUP($A79,[1]!LOOKUP_SARS_Unified2,C$2,FALSE)</f>
        <v>0.11699999999999999</v>
      </c>
      <c r="D79" s="32">
        <f t="shared" ca="1" si="1"/>
        <v>193.37086814384307</v>
      </c>
      <c r="E79" s="17">
        <f ca="1">VLOOKUP($A79,[1]!LOOKUP_SARS_Unified2,E$2,FALSE)</f>
        <v>1652.7424627678895</v>
      </c>
    </row>
    <row r="80" spans="1:5" ht="15" x14ac:dyDescent="0.25">
      <c r="A80" s="92" t="s">
        <v>11</v>
      </c>
      <c r="B80" s="4" t="str">
        <f>IF(VLOOKUP($A80,[1]!LOOKUP_Key_Information2,B$2,FALSE)&lt;&gt;0,VLOOKUP($A80,[1]!LOOKUP_Key_Information2,B$2,FALSE),"")</f>
        <v>Navy</v>
      </c>
      <c r="C80" s="3">
        <f ca="1">VLOOKUP($A80,[1]!LOOKUP_SARS_Unified2,C$2,FALSE)</f>
        <v>-0.129</v>
      </c>
      <c r="D80" s="32">
        <f t="shared" ca="1" si="1"/>
        <v>-4761.3873456790125</v>
      </c>
      <c r="E80" s="17">
        <f ca="1">VLOOKUP($A80,[1]!LOOKUP_SARS_Unified2,E$2,FALSE)</f>
        <v>36909.97942386831</v>
      </c>
    </row>
    <row r="81" spans="1:5" ht="15" x14ac:dyDescent="0.25">
      <c r="A81" s="92" t="s">
        <v>32</v>
      </c>
      <c r="B81" s="4" t="str">
        <f>IF(VLOOKUP($A81,[1]!LOOKUP_Key_Information2,B$2,FALSE)&lt;&gt;0,VLOOKUP($A81,[1]!LOOKUP_Key_Information2,B$2,FALSE),"")</f>
        <v>Navy</v>
      </c>
      <c r="C81" s="3">
        <f ca="1">VLOOKUP($A81,[1]!LOOKUP_SARS_Unified2,C$2,FALSE)</f>
        <v>8.3000000000000004E-2</v>
      </c>
      <c r="D81" s="32">
        <f t="shared" ca="1" si="1"/>
        <v>2993.5700240082319</v>
      </c>
      <c r="E81" s="17">
        <f ca="1">VLOOKUP($A81,[1]!LOOKUP_SARS_Unified2,E$2,FALSE)</f>
        <v>36067.108722990743</v>
      </c>
    </row>
    <row r="82" spans="1:5" ht="15" x14ac:dyDescent="0.25">
      <c r="A82" s="92" t="s">
        <v>51</v>
      </c>
      <c r="B82" s="4" t="str">
        <f>IF(VLOOKUP($A82,[1]!LOOKUP_Key_Information2,B$2,FALSE)&lt;&gt;0,VLOOKUP($A82,[1]!LOOKUP_Key_Information2,B$2,FALSE),"")</f>
        <v>Navy</v>
      </c>
      <c r="C82" s="3">
        <f ca="1">VLOOKUP($A82,[1]!LOOKUP_SARS_Unified2,C$2,FALSE)</f>
        <v>0.22399999999999998</v>
      </c>
      <c r="D82" s="32">
        <f t="shared" ca="1" si="1"/>
        <v>6693.0363059569963</v>
      </c>
      <c r="E82" s="17">
        <f ca="1">VLOOKUP($A82,[1]!LOOKUP_SARS_Unified2,E$2,FALSE)</f>
        <v>29879.626365879452</v>
      </c>
    </row>
    <row r="83" spans="1:5" ht="15" x14ac:dyDescent="0.25">
      <c r="A83" s="92" t="s">
        <v>8</v>
      </c>
      <c r="B83" s="4" t="str">
        <f>IF(VLOOKUP($A83,[1]!LOOKUP_Key_Information2,B$2,FALSE)&lt;&gt;0,VLOOKUP($A83,[1]!LOOKUP_Key_Information2,B$2,FALSE),"")</f>
        <v>Navy</v>
      </c>
      <c r="C83" s="3">
        <f ca="1">VLOOKUP($A83,[1]!LOOKUP_SARS_Unified2,C$2,FALSE)</f>
        <v>7.0999999999999994E-2</v>
      </c>
      <c r="D83" s="32">
        <f t="shared" ca="1" si="1"/>
        <v>1283.9240165631468</v>
      </c>
      <c r="E83" s="17">
        <f ca="1">VLOOKUP($A83,[1]!LOOKUP_SARS_Unified2,E$2,FALSE)</f>
        <v>18083.436853002069</v>
      </c>
    </row>
    <row r="84" spans="1:5" ht="15" x14ac:dyDescent="0.25">
      <c r="A84" s="92" t="s">
        <v>15</v>
      </c>
      <c r="B84" s="4" t="str">
        <f>IF(VLOOKUP($A84,[1]!LOOKUP_Key_Information2,B$2,FALSE)&lt;&gt;0,VLOOKUP($A84,[1]!LOOKUP_Key_Information2,B$2,FALSE),"")</f>
        <v>Navy</v>
      </c>
      <c r="C84" s="3">
        <f ca="1">VLOOKUP($A84,[1]!LOOKUP_SARS_Unified2,C$2,FALSE)</f>
        <v>2.7999999999999997E-2</v>
      </c>
      <c r="D84" s="32">
        <f t="shared" ca="1" si="1"/>
        <v>248.92267736985008</v>
      </c>
      <c r="E84" s="17">
        <f ca="1">VLOOKUP($A84,[1]!LOOKUP_SARS_Unified2,E$2,FALSE)</f>
        <v>8890.095620351789</v>
      </c>
    </row>
    <row r="85" spans="1:5" ht="15" x14ac:dyDescent="0.25">
      <c r="A85" s="92" t="s">
        <v>26</v>
      </c>
      <c r="B85" s="4" t="str">
        <f>IF(VLOOKUP($A85,[1]!LOOKUP_Key_Information2,B$2,FALSE)&lt;&gt;0,VLOOKUP($A85,[1]!LOOKUP_Key_Information2,B$2,FALSE),"")</f>
        <v>Navy</v>
      </c>
      <c r="C85" s="3">
        <f ca="1">VLOOKUP($A85,[1]!LOOKUP_SARS_Unified2,C$2,FALSE)</f>
        <v>0.63400000000000001</v>
      </c>
      <c r="D85" s="32">
        <f t="shared" ca="1" si="1"/>
        <v>5778.1830668526682</v>
      </c>
      <c r="E85" s="17">
        <f ca="1">VLOOKUP($A85,[1]!LOOKUP_SARS_Unified2,E$2,FALSE)</f>
        <v>9113.8534177486872</v>
      </c>
    </row>
    <row r="86" spans="1:5" ht="15" x14ac:dyDescent="0.25">
      <c r="A86" s="92" t="s">
        <v>217</v>
      </c>
      <c r="B86" s="4" t="str">
        <f>IF(VLOOKUP($A86,[1]!LOOKUP_Key_Information2,B$2,FALSE)&lt;&gt;0,VLOOKUP($A86,[1]!LOOKUP_Key_Information2,B$2,FALSE),"")</f>
        <v>Navy</v>
      </c>
      <c r="C86" s="3">
        <f ca="1">VLOOKUP($A86,[1]!LOOKUP_SARS_Unified2,C$2,FALSE)</f>
        <v>3.6000000000000004E-2</v>
      </c>
      <c r="D86" s="32">
        <f t="shared" ca="1" si="1"/>
        <v>51.145764262032699</v>
      </c>
      <c r="E86" s="17">
        <f ca="1">VLOOKUP($A86,[1]!LOOKUP_SARS_Unified2,E$2,FALSE)</f>
        <v>1420.7156739453526</v>
      </c>
    </row>
    <row r="87" spans="1:5" ht="15" x14ac:dyDescent="0.25">
      <c r="A87" s="92" t="s">
        <v>48</v>
      </c>
      <c r="B87" s="4" t="str">
        <f>IF(VLOOKUP($A87,[1]!LOOKUP_Key_Information2,B$2,FALSE)&lt;&gt;0,VLOOKUP($A87,[1]!LOOKUP_Key_Information2,B$2,FALSE),"")</f>
        <v>Navy</v>
      </c>
      <c r="C87" s="3">
        <f ca="1">VLOOKUP($A87,[1]!LOOKUP_SARS_Unified2,C$2,FALSE)</f>
        <v>5.0999999999999997E-2</v>
      </c>
      <c r="D87" s="32">
        <f t="shared" ca="1" si="1"/>
        <v>2550.3082561728388</v>
      </c>
      <c r="E87" s="17">
        <f ca="1">VLOOKUP($A87,[1]!LOOKUP_SARS_Unified2,E$2,FALSE)</f>
        <v>50006.04423868312</v>
      </c>
    </row>
    <row r="88" spans="1:5" ht="15" x14ac:dyDescent="0.25">
      <c r="A88" s="92" t="s">
        <v>39</v>
      </c>
      <c r="B88" s="4" t="str">
        <f>IF(VLOOKUP($A88,[1]!LOOKUP_Key_Information2,B$2,FALSE)&lt;&gt;0,VLOOKUP($A88,[1]!LOOKUP_Key_Information2,B$2,FALSE),"")</f>
        <v>Navy</v>
      </c>
      <c r="C88" s="3">
        <f ca="1">VLOOKUP($A88,[1]!LOOKUP_SARS_Unified2,C$2,FALSE)</f>
        <v>6.5000000000000002E-2</v>
      </c>
      <c r="D88" s="32">
        <f t="shared" ca="1" si="1"/>
        <v>763.89489142977027</v>
      </c>
      <c r="E88" s="17">
        <f ca="1">VLOOKUP($A88,[1]!LOOKUP_SARS_Unified2,E$2,FALSE)</f>
        <v>11752.229098919543</v>
      </c>
    </row>
    <row r="89" spans="1:5" ht="15" x14ac:dyDescent="0.25">
      <c r="A89" s="92" t="s">
        <v>2</v>
      </c>
      <c r="B89" s="4" t="str">
        <f>IF(VLOOKUP($A89,[1]!LOOKUP_Key_Information2,B$2,FALSE)&lt;&gt;0,VLOOKUP($A89,[1]!LOOKUP_Key_Information2,B$2,FALSE),"")</f>
        <v>Navy</v>
      </c>
      <c r="C89" s="3" t="str">
        <f ca="1">VLOOKUP($A89,[1]!LOOKUP_SARS_Unified2,C$2,FALSE)</f>
        <v/>
      </c>
      <c r="D89" s="32" t="e">
        <f t="shared" ca="1" si="1"/>
        <v>#VALUE!</v>
      </c>
      <c r="E89" s="17" t="e">
        <f ca="1">VLOOKUP($A89,[1]!LOOKUP_SARS_Unified2,E$2,FALSE)</f>
        <v>#VALUE!</v>
      </c>
    </row>
    <row r="90" spans="1:5" ht="15" x14ac:dyDescent="0.25">
      <c r="A90" s="92" t="s">
        <v>181</v>
      </c>
      <c r="B90" s="4" t="str">
        <f>IF(VLOOKUP($A90,[1]!LOOKUP_Key_Information2,B$2,FALSE)&lt;&gt;0,VLOOKUP($A90,[1]!LOOKUP_Key_Information2,B$2,FALSE),"")</f>
        <v>Navy</v>
      </c>
      <c r="C90" s="3">
        <f ca="1">VLOOKUP($A90,[1]!LOOKUP_SARS_Unified2,C$2,FALSE)</f>
        <v>-7.4999999999999997E-2</v>
      </c>
      <c r="D90" s="32">
        <f t="shared" ca="1" si="1"/>
        <v>-272.2123151159131</v>
      </c>
      <c r="E90" s="17">
        <f ca="1">VLOOKUP($A90,[1]!LOOKUP_SARS_Unified2,E$2,FALSE)</f>
        <v>3629.4975348788416</v>
      </c>
    </row>
    <row r="91" spans="1:5" ht="15" x14ac:dyDescent="0.25">
      <c r="A91" s="92" t="s">
        <v>6</v>
      </c>
      <c r="B91" s="4" t="str">
        <f>IF(VLOOKUP($A91,[1]!LOOKUP_Key_Information2,B$2,FALSE)&lt;&gt;0,VLOOKUP($A91,[1]!LOOKUP_Key_Information2,B$2,FALSE),"")</f>
        <v>Navy</v>
      </c>
      <c r="C91" s="3">
        <f ca="1">VLOOKUP($A91,[1]!LOOKUP_SARS_Unified2,C$2,FALSE)</f>
        <v>0.26100000000000001</v>
      </c>
      <c r="D91" s="32">
        <f t="shared" ca="1" si="1"/>
        <v>6026.9836357914619</v>
      </c>
      <c r="E91" s="17">
        <f ca="1">VLOOKUP($A91,[1]!LOOKUP_SARS_Unified2,E$2,FALSE)</f>
        <v>23091.8913248715</v>
      </c>
    </row>
    <row r="92" spans="1:5" ht="15" x14ac:dyDescent="0.25">
      <c r="A92" s="92" t="s">
        <v>182</v>
      </c>
      <c r="B92" s="4" t="str">
        <f>IF(VLOOKUP($A92,[1]!LOOKUP_Key_Information2,B$2,FALSE)&lt;&gt;0,VLOOKUP($A92,[1]!LOOKUP_Key_Information2,B$2,FALSE),"")</f>
        <v>Navy</v>
      </c>
      <c r="C92" s="3">
        <f ca="1">VLOOKUP($A92,[1]!LOOKUP_SARS_Unified2,C$2,FALSE)</f>
        <v>-2.6000000000000002E-2</v>
      </c>
      <c r="D92" s="32">
        <f t="shared" ca="1" si="1"/>
        <v>-26.270009440889545</v>
      </c>
      <c r="E92" s="17">
        <f ca="1">VLOOKUP($A92,[1]!LOOKUP_SARS_Unified2,E$2,FALSE)</f>
        <v>1010.3849784957516</v>
      </c>
    </row>
    <row r="93" spans="1:5" ht="15" x14ac:dyDescent="0.25">
      <c r="A93" s="92" t="s">
        <v>33</v>
      </c>
      <c r="B93" s="4" t="str">
        <f>IF(VLOOKUP($A93,[1]!LOOKUP_Key_Information2,B$2,FALSE)&lt;&gt;0,VLOOKUP($A93,[1]!LOOKUP_Key_Information2,B$2,FALSE),"")</f>
        <v>Navy</v>
      </c>
      <c r="C93" s="3">
        <f ca="1">VLOOKUP($A93,[1]!LOOKUP_SARS_Unified2,C$2,FALSE)</f>
        <v>-6.6000000000000003E-2</v>
      </c>
      <c r="D93" s="32">
        <f t="shared" ca="1" si="1"/>
        <v>-580.1658474710639</v>
      </c>
      <c r="E93" s="17">
        <f ca="1">VLOOKUP($A93,[1]!LOOKUP_SARS_Unified2,E$2,FALSE)</f>
        <v>8790.3916283494527</v>
      </c>
    </row>
    <row r="94" spans="1:5" ht="15" x14ac:dyDescent="0.25">
      <c r="A94" s="92" t="s">
        <v>62</v>
      </c>
      <c r="B94" s="4" t="str">
        <f>IF(VLOOKUP($A94,[1]!LOOKUP_Key_Information2,B$2,FALSE)&lt;&gt;0,VLOOKUP($A94,[1]!LOOKUP_Key_Information2,B$2,FALSE),"")</f>
        <v>Navy</v>
      </c>
      <c r="C94" s="3">
        <f ca="1">VLOOKUP($A94,[1]!LOOKUP_SARS_Unified2,C$2,FALSE)</f>
        <v>-9.0000000000000011E-3</v>
      </c>
      <c r="D94" s="32">
        <f t="shared" ca="1" si="1"/>
        <v>-28.624516414280983</v>
      </c>
      <c r="E94" s="17">
        <f ca="1">VLOOKUP($A94,[1]!LOOKUP_SARS_Unified2,E$2,FALSE)</f>
        <v>3180.5018238089979</v>
      </c>
    </row>
    <row r="95" spans="1:5" ht="15" x14ac:dyDescent="0.25">
      <c r="A95" s="92" t="s">
        <v>37</v>
      </c>
      <c r="B95" s="4" t="str">
        <f>IF(VLOOKUP($A95,[1]!LOOKUP_Key_Information2,B$2,FALSE)&lt;&gt;0,VLOOKUP($A95,[1]!LOOKUP_Key_Information2,B$2,FALSE),"")</f>
        <v>Navy</v>
      </c>
      <c r="C95" s="3">
        <f ca="1">VLOOKUP($A95,[1]!LOOKUP_SARS_Unified2,C$2,FALSE)</f>
        <v>0.85499999999999998</v>
      </c>
      <c r="D95" s="32">
        <f t="shared" ca="1" si="1"/>
        <v>10566.637659312046</v>
      </c>
      <c r="E95" s="17">
        <f ca="1">VLOOKUP($A95,[1]!LOOKUP_SARS_Unified2,E$2,FALSE)</f>
        <v>12358.640537207071</v>
      </c>
    </row>
    <row r="96" spans="1:5" ht="15" x14ac:dyDescent="0.25">
      <c r="A96" s="92" t="s">
        <v>41</v>
      </c>
      <c r="B96" s="4" t="str">
        <f>IF(VLOOKUP($A96,[1]!LOOKUP_Key_Information2,B$2,FALSE)&lt;&gt;0,VLOOKUP($A96,[1]!LOOKUP_Key_Information2,B$2,FALSE),"")</f>
        <v>Navy</v>
      </c>
      <c r="C96" s="3">
        <f ca="1">VLOOKUP($A96,[1]!LOOKUP_SARS_Unified2,C$2,FALSE)</f>
        <v>0.13500000000000001</v>
      </c>
      <c r="D96" s="32">
        <f t="shared" ca="1" si="1"/>
        <v>1585.7687631258982</v>
      </c>
      <c r="E96" s="17">
        <f ca="1">VLOOKUP($A96,[1]!LOOKUP_SARS_Unified2,E$2,FALSE)</f>
        <v>11746.435282414061</v>
      </c>
    </row>
    <row r="97" spans="1:5" s="18" customFormat="1" ht="12.75" customHeight="1" x14ac:dyDescent="0.25">
      <c r="A97" s="92" t="s">
        <v>44</v>
      </c>
      <c r="B97" s="4" t="str">
        <f>IF(VLOOKUP($A97,[1]!LOOKUP_Key_Information2,B$2,FALSE)&lt;&gt;0,VLOOKUP($A97,[1]!LOOKUP_Key_Information2,B$2,FALSE),"")</f>
        <v>Navy</v>
      </c>
      <c r="C97" s="3">
        <f ca="1">VLOOKUP($A97,[1]!LOOKUP_SARS_Unified2,C$2,FALSE)</f>
        <v>0.13500000000000001</v>
      </c>
      <c r="D97" s="32">
        <f t="shared" ca="1" si="1"/>
        <v>945.46644518272444</v>
      </c>
      <c r="E97" s="17">
        <f ca="1">VLOOKUP($A97,[1]!LOOKUP_SARS_Unified2,E$2,FALSE)</f>
        <v>7003.4551495016622</v>
      </c>
    </row>
    <row r="98" spans="1:5" ht="15" x14ac:dyDescent="0.25">
      <c r="A98" s="92" t="s">
        <v>65</v>
      </c>
      <c r="B98" s="4" t="str">
        <f>IF(VLOOKUP($A98,[1]!LOOKUP_Key_Information2,B$2,FALSE)&lt;&gt;0,VLOOKUP($A98,[1]!LOOKUP_Key_Information2,B$2,FALSE),"")</f>
        <v>Navy</v>
      </c>
      <c r="C98" s="3">
        <f ca="1">VLOOKUP($A98,[1]!LOOKUP_SARS_Unified2,C$2,FALSE)</f>
        <v>0.04</v>
      </c>
      <c r="D98" s="32">
        <f t="shared" ca="1" si="1"/>
        <v>272.40703576909453</v>
      </c>
      <c r="E98" s="17">
        <f ca="1">VLOOKUP($A98,[1]!LOOKUP_SARS_Unified2,E$2,FALSE)</f>
        <v>6810.1758942273636</v>
      </c>
    </row>
    <row r="99" spans="1:5" ht="15" x14ac:dyDescent="0.25">
      <c r="A99" s="92" t="s">
        <v>71</v>
      </c>
      <c r="B99" s="4" t="str">
        <f>IF(VLOOKUP($A99,[1]!LOOKUP_Key_Information2,B$2,FALSE)&lt;&gt;0,VLOOKUP($A99,[1]!LOOKUP_Key_Information2,B$2,FALSE),"")</f>
        <v>Navy</v>
      </c>
      <c r="C99" s="3">
        <f ca="1">VLOOKUP($A99,[1]!LOOKUP_SARS_Unified2,C$2,FALSE)</f>
        <v>4.9000000000000002E-2</v>
      </c>
      <c r="D99" s="32">
        <f t="shared" ca="1" si="1"/>
        <v>91.937082818294201</v>
      </c>
      <c r="E99" s="17">
        <f ca="1">VLOOKUP($A99,[1]!LOOKUP_SARS_Unified2,E$2,FALSE)</f>
        <v>1876.2669962917182</v>
      </c>
    </row>
    <row r="100" spans="1:5" ht="15" x14ac:dyDescent="0.25">
      <c r="A100" s="92" t="s">
        <v>72</v>
      </c>
      <c r="B100" s="4" t="str">
        <f>IF(VLOOKUP($A100,[1]!LOOKUP_Key_Information2,B$2,FALSE)&lt;&gt;0,VLOOKUP($A100,[1]!LOOKUP_Key_Information2,B$2,FALSE),"")</f>
        <v>Navy</v>
      </c>
      <c r="C100" s="3">
        <f ca="1">VLOOKUP($A100,[1]!LOOKUP_SARS_Unified2,C$2,FALSE)</f>
        <v>-1.6E-2</v>
      </c>
      <c r="D100" s="32">
        <f t="shared" ca="1" si="1"/>
        <v>-531.73163464502215</v>
      </c>
      <c r="E100" s="17">
        <f ca="1">VLOOKUP($A100,[1]!LOOKUP_SARS_Unified2,E$2,FALSE)</f>
        <v>33233.227165313881</v>
      </c>
    </row>
    <row r="101" spans="1:5" ht="15" x14ac:dyDescent="0.25">
      <c r="A101" s="92" t="s">
        <v>50</v>
      </c>
      <c r="B101" s="4" t="str">
        <f>IF(VLOOKUP($A101,[1]!LOOKUP_Key_Information2,B$2,FALSE)&lt;&gt;0,VLOOKUP($A101,[1]!LOOKUP_Key_Information2,B$2,FALSE),"")</f>
        <v>Navy</v>
      </c>
      <c r="C101" s="3">
        <f ca="1">VLOOKUP($A101,[1]!LOOKUP_SARS_Unified2,C$2,FALSE)</f>
        <v>-1.1000000000000001E-2</v>
      </c>
      <c r="D101" s="32">
        <f t="shared" ca="1" si="1"/>
        <v>-15.55830662097933</v>
      </c>
      <c r="E101" s="17">
        <f ca="1">VLOOKUP($A101,[1]!LOOKUP_SARS_Unified2,E$2,FALSE)</f>
        <v>1414.3915109981208</v>
      </c>
    </row>
    <row r="102" spans="1:5" ht="15" x14ac:dyDescent="0.25">
      <c r="A102" s="92" t="s">
        <v>64</v>
      </c>
      <c r="B102" s="4" t="str">
        <f>IF(VLOOKUP($A102,[1]!LOOKUP_Key_Information2,B$2,FALSE)&lt;&gt;0,VLOOKUP($A102,[1]!LOOKUP_Key_Information2,B$2,FALSE),"")</f>
        <v>Navy</v>
      </c>
      <c r="C102" s="3">
        <f ca="1">VLOOKUP($A102,[1]!LOOKUP_SARS_Unified2,C$2,FALSE)</f>
        <v>1.7519999999999998</v>
      </c>
      <c r="D102" s="32">
        <f t="shared" ca="1" si="1"/>
        <v>9004.7269171672015</v>
      </c>
      <c r="E102" s="17">
        <f ca="1">VLOOKUP($A102,[1]!LOOKUP_SARS_Unified2,E$2,FALSE)</f>
        <v>5139.6843134515993</v>
      </c>
    </row>
    <row r="103" spans="1:5" ht="15" x14ac:dyDescent="0.25">
      <c r="A103" s="92" t="s">
        <v>79</v>
      </c>
      <c r="B103" s="4" t="str">
        <f>IF(VLOOKUP($A103,[1]!LOOKUP_Key_Information2,B$2,FALSE)&lt;&gt;0,VLOOKUP($A103,[1]!LOOKUP_Key_Information2,B$2,FALSE),"")</f>
        <v>Navy</v>
      </c>
      <c r="C103" s="3">
        <f ca="1">VLOOKUP($A103,[1]!LOOKUP_SARS_Unified2,C$2,FALSE)</f>
        <v>0.114</v>
      </c>
      <c r="D103" s="32">
        <f t="shared" ca="1" si="1"/>
        <v>99.14905032728835</v>
      </c>
      <c r="E103" s="17">
        <f ca="1">VLOOKUP($A103,[1]!LOOKUP_SARS_Unified2,E$2,FALSE)</f>
        <v>869.72851164288022</v>
      </c>
    </row>
    <row r="104" spans="1:5" ht="15" x14ac:dyDescent="0.25">
      <c r="A104" s="92" t="s">
        <v>67</v>
      </c>
      <c r="B104" s="4" t="str">
        <f>IF(VLOOKUP($A104,[1]!LOOKUP_Key_Information2,B$2,FALSE)&lt;&gt;0,VLOOKUP($A104,[1]!LOOKUP_Key_Information2,B$2,FALSE),"")</f>
        <v>Navy</v>
      </c>
      <c r="C104" s="3">
        <f ca="1">VLOOKUP($A104,[1]!LOOKUP_SARS_Unified2,C$2,FALSE)</f>
        <v>-3.1E-2</v>
      </c>
      <c r="D104" s="32">
        <f t="shared" ca="1" si="1"/>
        <v>-193.26419549049703</v>
      </c>
      <c r="E104" s="17">
        <f ca="1">VLOOKUP($A104,[1]!LOOKUP_SARS_Unified2,E$2,FALSE)</f>
        <v>6234.3288867902265</v>
      </c>
    </row>
    <row r="105" spans="1:5" ht="15" x14ac:dyDescent="0.25">
      <c r="A105" s="92" t="s">
        <v>75</v>
      </c>
      <c r="B105" s="4" t="str">
        <f>IF(VLOOKUP($A105,[1]!LOOKUP_Key_Information2,B$2,FALSE)&lt;&gt;0,VLOOKUP($A105,[1]!LOOKUP_Key_Information2,B$2,FALSE),"")</f>
        <v>Navy</v>
      </c>
      <c r="C105" s="3">
        <f ca="1">VLOOKUP($A105,[1]!LOOKUP_SARS_Unified2,C$2,FALSE)</f>
        <v>-3.4000000000000002E-2</v>
      </c>
      <c r="D105" s="32">
        <f t="shared" ca="1" si="1"/>
        <v>-3056.3240676072078</v>
      </c>
      <c r="E105" s="17">
        <f ca="1">VLOOKUP($A105,[1]!LOOKUP_SARS_Unified2,E$2,FALSE)</f>
        <v>89891.884341388461</v>
      </c>
    </row>
    <row r="106" spans="1:5" ht="15" x14ac:dyDescent="0.25">
      <c r="A106" s="92" t="s">
        <v>42</v>
      </c>
      <c r="B106" s="4" t="str">
        <f>IF(VLOOKUP($A106,[1]!LOOKUP_Key_Information2,B$2,FALSE)&lt;&gt;0,VLOOKUP($A106,[1]!LOOKUP_Key_Information2,B$2,FALSE),"")</f>
        <v>Navy</v>
      </c>
      <c r="C106" s="3">
        <f ca="1">VLOOKUP($A106,[1]!LOOKUP_SARS_Unified2,C$2,FALSE)</f>
        <v>0.32</v>
      </c>
      <c r="D106" s="32">
        <f t="shared" ca="1" si="1"/>
        <v>1249.4898360655739</v>
      </c>
      <c r="E106" s="17">
        <f ca="1">VLOOKUP($A106,[1]!LOOKUP_SARS_Unified2,E$2,FALSE)</f>
        <v>3904.6557377049185</v>
      </c>
    </row>
    <row r="107" spans="1:5" ht="15" x14ac:dyDescent="0.25">
      <c r="A107" s="92" t="s">
        <v>52</v>
      </c>
      <c r="B107" s="4" t="str">
        <f>IF(VLOOKUP($A107,[1]!LOOKUP_Key_Information2,B$2,FALSE)&lt;&gt;0,VLOOKUP($A107,[1]!LOOKUP_Key_Information2,B$2,FALSE),"")</f>
        <v>Navy</v>
      </c>
      <c r="C107" s="3">
        <f ca="1">VLOOKUP($A107,[1]!LOOKUP_SARS_Unified2,C$2,FALSE)</f>
        <v>0.08</v>
      </c>
      <c r="D107" s="32">
        <f t="shared" ca="1" si="1"/>
        <v>438.53909465020575</v>
      </c>
      <c r="E107" s="17">
        <f ca="1">VLOOKUP($A107,[1]!LOOKUP_SARS_Unified2,E$2,FALSE)</f>
        <v>5481.7386831275717</v>
      </c>
    </row>
    <row r="108" spans="1:5" ht="15" x14ac:dyDescent="0.25">
      <c r="A108" s="92" t="s">
        <v>249</v>
      </c>
      <c r="B108" s="4" t="str">
        <f>IF(VLOOKUP($A108,[1]!LOOKUP_Key_Information2,B$2,FALSE)&lt;&gt;0,VLOOKUP($A108,[1]!LOOKUP_Key_Information2,B$2,FALSE),"")</f>
        <v>Navy</v>
      </c>
      <c r="C108" s="3">
        <f ca="1">VLOOKUP($A108,[1]!LOOKUP_SARS_Unified2,C$2,FALSE)</f>
        <v>0.20699999999999999</v>
      </c>
      <c r="D108" s="32">
        <f t="shared" ca="1" si="1"/>
        <v>10896.242021803764</v>
      </c>
      <c r="E108" s="17">
        <f ca="1">VLOOKUP($A108,[1]!LOOKUP_SARS_Unified2,E$2,FALSE)</f>
        <v>52638.850346878091</v>
      </c>
    </row>
    <row r="109" spans="1:5" ht="15" x14ac:dyDescent="0.25">
      <c r="A109" t="s">
        <v>60</v>
      </c>
      <c r="B109" s="4" t="str">
        <f>IF(VLOOKUP($A109,[1]!LOOKUP_Key_Information2,B$2,FALSE)&lt;&gt;0,VLOOKUP($A109,[1]!LOOKUP_Key_Information2,B$2,FALSE),"")</f>
        <v>Navy</v>
      </c>
      <c r="C109" s="3">
        <f ca="1">VLOOKUP($A109,[1]!LOOKUP_SARS_Unified2,C$2,FALSE)</f>
        <v>-6.9999999999999993E-3</v>
      </c>
      <c r="D109" s="32">
        <f t="shared" ca="1" si="1"/>
        <v>-402.1410769406653</v>
      </c>
      <c r="E109" s="17">
        <f ca="1">VLOOKUP($A109,[1]!LOOKUP_SARS_Unified2,E$2,FALSE)</f>
        <v>57448.725277237907</v>
      </c>
    </row>
    <row r="110" spans="1:5" ht="15" x14ac:dyDescent="0.25">
      <c r="A110" s="92" t="s">
        <v>223</v>
      </c>
      <c r="B110" s="4" t="str">
        <f>IF(VLOOKUP($A110,[1]!LOOKUP_Key_Information2,B$2,FALSE)&lt;&gt;0,VLOOKUP($A110,[1]!LOOKUP_Key_Information2,B$2,FALSE),"")</f>
        <v>Navy</v>
      </c>
      <c r="C110" s="3">
        <f ca="1">VLOOKUP($A110,[1]!LOOKUP_SARS_Unified2,C$2,FALSE)</f>
        <v>-3.3000000000000002E-2</v>
      </c>
      <c r="D110" s="32">
        <f t="shared" ca="1" si="1"/>
        <v>-225.89756629131858</v>
      </c>
      <c r="E110" s="17">
        <f ca="1">VLOOKUP($A110,[1]!LOOKUP_SARS_Unified2,E$2,FALSE)</f>
        <v>6845.3807967066232</v>
      </c>
    </row>
    <row r="111" spans="1:5" ht="15" x14ac:dyDescent="0.25">
      <c r="A111" t="s">
        <v>56</v>
      </c>
      <c r="B111" s="4" t="str">
        <f>IF(VLOOKUP($A111,[1]!LOOKUP_Key_Information2,B$2,FALSE)&lt;&gt;0,VLOOKUP($A111,[1]!LOOKUP_Key_Information2,B$2,FALSE),"")</f>
        <v>Navy</v>
      </c>
      <c r="C111" s="3">
        <f ca="1">VLOOKUP($A111,[1]!LOOKUP_SARS_Unified2,C$2,FALSE)</f>
        <v>-8.0000000000000002E-3</v>
      </c>
      <c r="D111" s="32">
        <f t="shared" ca="1" si="1"/>
        <v>-20.925389631922187</v>
      </c>
      <c r="E111" s="17">
        <f ca="1">VLOOKUP($A111,[1]!LOOKUP_SARS_Unified2,E$2,FALSE)</f>
        <v>2615.6737039902732</v>
      </c>
    </row>
  </sheetData>
  <sortState ref="A8:B111">
    <sortCondition ref="B8:B111"/>
    <sortCondition ref="A8:A11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P111"/>
  <sheetViews>
    <sheetView topLeftCell="A10" zoomScaleNormal="100" workbookViewId="0">
      <selection activeCell="A30" sqref="A30:A31"/>
    </sheetView>
  </sheetViews>
  <sheetFormatPr defaultRowHeight="15" x14ac:dyDescent="0.25"/>
  <cols>
    <col min="4" max="6" width="11.28515625" bestFit="1" customWidth="1"/>
    <col min="8" max="8" width="12.28515625" bestFit="1" customWidth="1"/>
    <col min="9" max="9" width="11.85546875" bestFit="1" customWidth="1"/>
    <col min="11" max="11" width="8.85546875" bestFit="1" customWidth="1"/>
    <col min="13" max="13" width="12.85546875" bestFit="1" customWidth="1"/>
    <col min="15" max="15" width="12.85546875" customWidth="1"/>
    <col min="16" max="16" width="12.28515625" bestFit="1" customWidth="1"/>
    <col min="19" max="19" width="12.85546875" bestFit="1" customWidth="1"/>
  </cols>
  <sheetData>
    <row r="1" spans="1:68" ht="57" x14ac:dyDescent="0.85">
      <c r="A1" s="11" t="s">
        <v>109</v>
      </c>
      <c r="B1" s="1"/>
      <c r="C1" s="1"/>
      <c r="D1" s="1"/>
      <c r="E1" s="1"/>
      <c r="F1" s="1"/>
      <c r="G1" s="1"/>
      <c r="H1" s="1" t="b">
        <f ca="1">H3='Prime-Bar'!H3</f>
        <v>0</v>
      </c>
      <c r="I1" s="1" t="b">
        <f ca="1">I3='Prime-Bar'!I3</f>
        <v>0</v>
      </c>
      <c r="J1" s="1"/>
      <c r="K1" s="1" t="e">
        <f ca="1">SUMIF('Service-Scatter'!$B$8:$B$92,$I1,'Service-Scatter'!D$8:D$92)/COUNTIF('Service-Scatter'!$B$8:$B$92,$I1)</f>
        <v>#DIV/0!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57" x14ac:dyDescent="0.25">
      <c r="A2" s="20"/>
      <c r="B2" s="126">
        <f>HLOOKUP(B3,[1]!LOOKUP_Key_Information2,2,FALSE)</f>
        <v>5</v>
      </c>
      <c r="C2" s="127">
        <f>HLOOKUP(C3,[1]!LOOKUP_SARS_Unified2,2,FALSE)</f>
        <v>38</v>
      </c>
      <c r="D2" s="1"/>
      <c r="E2" s="119">
        <f>HLOOKUP(E3,[1]!LOOKUP_SARS_Unified2,2,FALSE)</f>
        <v>31</v>
      </c>
      <c r="F2" s="18"/>
      <c r="G2" s="18"/>
      <c r="H2" s="18" t="s">
        <v>95</v>
      </c>
      <c r="I2" s="18" t="s">
        <v>94</v>
      </c>
      <c r="J2" s="18" t="s">
        <v>107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</row>
    <row r="3" spans="1:68" ht="102" x14ac:dyDescent="0.25">
      <c r="A3" s="17" t="s">
        <v>80</v>
      </c>
      <c r="B3" s="128" t="s">
        <v>186</v>
      </c>
      <c r="C3" s="2" t="s">
        <v>169</v>
      </c>
      <c r="D3" s="2"/>
      <c r="E3" s="2" t="s">
        <v>204</v>
      </c>
      <c r="F3" s="1"/>
      <c r="G3" s="1"/>
      <c r="H3" s="40">
        <f ca="1">SUM(H5:H11)</f>
        <v>936284.61924817332</v>
      </c>
      <c r="I3" s="39">
        <f ca="1">SUM(I5:I11)</f>
        <v>-77292.531105256989</v>
      </c>
      <c r="J3" s="1"/>
      <c r="K3" s="22" t="s">
        <v>108</v>
      </c>
      <c r="L3" s="22" t="s">
        <v>105</v>
      </c>
      <c r="M3" s="34" t="e">
        <f ca="1">SUM(M5:M11)</f>
        <v>#VALUE!</v>
      </c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25">
      <c r="A4" s="45" t="str">
        <f>B4&amp;" Subtotal"</f>
        <v>Army Subtotal</v>
      </c>
      <c r="B4" s="9" t="s">
        <v>103</v>
      </c>
      <c r="C4" s="3" t="e">
        <f ca="1">D4/E4</f>
        <v>#VALUE!</v>
      </c>
      <c r="D4" s="36" t="e">
        <f ca="1">SUMIF(Service_Service,$B4,Service_Overrun_Dollars)</f>
        <v>#VALUE!</v>
      </c>
      <c r="E4" s="36" t="e">
        <f ca="1">SUMIF(Service_Service,$B4,Service_Baseline)</f>
        <v>#VALUE!</v>
      </c>
      <c r="F4" s="44" t="e">
        <f ca="1">'Service-Scatter'!E4</f>
        <v>#VALUE!</v>
      </c>
      <c r="G4" s="1"/>
      <c r="H4" s="1"/>
      <c r="I4" s="1"/>
      <c r="J4" s="1"/>
      <c r="K4" s="1"/>
      <c r="L4" s="1"/>
      <c r="M4" s="1"/>
      <c r="N4" s="1"/>
      <c r="O4" s="9" t="s">
        <v>103</v>
      </c>
      <c r="P4" s="23">
        <f ca="1">H5+I5</f>
        <v>673886.40605578083</v>
      </c>
      <c r="Q4" s="43">
        <f ca="1">MIN($C$32:$C$50)</f>
        <v>-0.60099999999999998</v>
      </c>
      <c r="R4" s="43">
        <f ca="1">MAX($C$32:$C$50)</f>
        <v>0.99199999999999999</v>
      </c>
      <c r="S4" s="43" t="e">
        <f ca="1">K6</f>
        <v>#VALUE!</v>
      </c>
      <c r="T4" s="25"/>
      <c r="U4" s="22"/>
      <c r="V4" s="22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25">
      <c r="A5" s="45" t="str">
        <f>B5&amp;" Subtotal"</f>
        <v>Navy Subtotal</v>
      </c>
      <c r="B5" s="9" t="s">
        <v>102</v>
      </c>
      <c r="C5" s="3" t="e">
        <f ca="1">D5/E5</f>
        <v>#VALUE!</v>
      </c>
      <c r="D5" s="36" t="e">
        <f ca="1">SUMIF(Service_Service,$B5,Service_Overrun_Dollars)</f>
        <v>#VALUE!</v>
      </c>
      <c r="E5" s="36" t="e">
        <f ca="1">SUMIF(Service_Service,$B5,Service_Baseline)</f>
        <v>#VALUE!</v>
      </c>
      <c r="F5" s="44" t="e">
        <f ca="1">'Service-Scatter'!E5</f>
        <v>#VALUE!</v>
      </c>
      <c r="G5" s="9" t="s">
        <v>103</v>
      </c>
      <c r="H5" s="13">
        <f ca="1">SUMIFS($D$8:$D$92,$B$8:$B$92,$G5,$D$8:$D$92,"&gt;=0")</f>
        <v>693135.66713125643</v>
      </c>
      <c r="I5" s="13">
        <f ca="1">SUMIFS($D$8:$D$92,$B$8:$B$92,$G5,$D$8:$D$92,"&lt;0")</f>
        <v>-19249.26107547561</v>
      </c>
      <c r="J5" s="1">
        <v>1</v>
      </c>
      <c r="K5" s="37">
        <f ca="1">SUMIF(B$8:B$92,G5,C$8:C$92)/COUNTIF(B$8:B$92,G5)</f>
        <v>2.8351071428571428</v>
      </c>
      <c r="L5" s="1"/>
      <c r="M5" s="36" t="e">
        <f ca="1">E4</f>
        <v>#VALUE!</v>
      </c>
      <c r="N5" s="1"/>
      <c r="O5" s="9" t="s">
        <v>102</v>
      </c>
      <c r="P5" s="23">
        <f ca="1">H7+I7</f>
        <v>28379.818720448806</v>
      </c>
      <c r="Q5" s="43">
        <f ca="1">MIN($C$58:$C$92)</f>
        <v>-0.54</v>
      </c>
      <c r="R5" s="43">
        <f ca="1">MAX($C$58:$C$92)</f>
        <v>2.8439999999999999</v>
      </c>
      <c r="S5" s="22">
        <v>0.5</v>
      </c>
      <c r="T5" s="25"/>
      <c r="U5" s="22"/>
      <c r="V5" s="22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x14ac:dyDescent="0.25">
      <c r="A6" s="45" t="str">
        <f>B6&amp;" Subtotal"</f>
        <v>Air Force Subtotal</v>
      </c>
      <c r="B6" s="9" t="s">
        <v>104</v>
      </c>
      <c r="C6" s="3" t="e">
        <f ca="1">D6/E6</f>
        <v>#VALUE!</v>
      </c>
      <c r="D6" s="36" t="e">
        <f ca="1">SUMIF(Service_Service,$B6,Service_Overrun_Dollars)</f>
        <v>#VALUE!</v>
      </c>
      <c r="E6" s="36" t="e">
        <f ca="1">SUMIF(Service_Service,$B6,Service_Baseline)</f>
        <v>#VALUE!</v>
      </c>
      <c r="F6" s="44" t="e">
        <f ca="1">'Service-Scatter'!E6</f>
        <v>#VALUE!</v>
      </c>
      <c r="G6" s="1"/>
      <c r="H6" s="1"/>
      <c r="I6" s="1"/>
      <c r="J6" s="1">
        <v>1</v>
      </c>
      <c r="K6" s="37" t="e">
        <f ca="1">SUM(H5:I5)/M5</f>
        <v>#VALUE!</v>
      </c>
      <c r="L6" s="1"/>
      <c r="M6" s="1"/>
      <c r="N6" s="1"/>
      <c r="O6" s="9" t="s">
        <v>104</v>
      </c>
      <c r="P6" s="23">
        <f ca="1">H9+I9</f>
        <v>33546.47930010347</v>
      </c>
      <c r="Q6" s="43">
        <f ca="1">MIN($C$8:$C$31)</f>
        <v>-20</v>
      </c>
      <c r="R6" s="43">
        <f ca="1">MAX($C$8:$C$31)</f>
        <v>2.7370000000000001</v>
      </c>
      <c r="S6" s="22">
        <v>0.75</v>
      </c>
      <c r="T6" s="25"/>
      <c r="U6" s="22"/>
      <c r="V6" s="2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45" t="str">
        <f>B7&amp;" Subtotal"</f>
        <v>DoD-wide Subtotal</v>
      </c>
      <c r="B7" s="9" t="s">
        <v>101</v>
      </c>
      <c r="C7" s="3">
        <f ca="1">D7/E7</f>
        <v>0.44020694529750737</v>
      </c>
      <c r="D7" s="36">
        <f ca="1">SUMIF(Service_Service,$B7,Service_Overrun_Dollars)</f>
        <v>123179.3840665832</v>
      </c>
      <c r="E7" s="36">
        <f ca="1">SUMIF(Service_Service,$B7,Service_Baseline)</f>
        <v>279821.5370803253</v>
      </c>
      <c r="F7" s="44">
        <f ca="1">'Service-Scatter'!E7</f>
        <v>279821.5370803253</v>
      </c>
      <c r="G7" s="9" t="s">
        <v>102</v>
      </c>
      <c r="H7" s="13">
        <f ca="1">SUMIFS($D$8:$D$92,$B$8:$B$92,$G7,$D$8:$D$92,"&gt;=0")</f>
        <v>33439.68839068462</v>
      </c>
      <c r="I7" s="13">
        <f ca="1">SUMIFS($D$8:$D$92,$B$8:$B$92,$G7,$D$8:$D$92,"&lt;0")</f>
        <v>-5059.8696702358147</v>
      </c>
      <c r="J7" s="1">
        <v>3</v>
      </c>
      <c r="K7" s="37">
        <f ca="1">SUMIF(B$8:B$92,G7,C$8:C$92)/COUNTIF(B$8:B$92,G7)</f>
        <v>0.11047368421052632</v>
      </c>
      <c r="L7" s="37"/>
      <c r="M7" s="36" t="e">
        <f ca="1">E5</f>
        <v>#VALUE!</v>
      </c>
      <c r="N7" s="1"/>
      <c r="O7" s="38" t="s">
        <v>101</v>
      </c>
      <c r="P7" s="23">
        <f ca="1">H11+I11</f>
        <v>123179.38406658321</v>
      </c>
      <c r="Q7" s="43" t="e">
        <f ca="1">MIN($C$51:$C$57)</f>
        <v>#N/A</v>
      </c>
      <c r="R7" s="43" t="e">
        <f ca="1">MAX($C$51:$C$57)</f>
        <v>#N/A</v>
      </c>
      <c r="S7" s="43">
        <f ca="1">K12</f>
        <v>0.44020694529750742</v>
      </c>
      <c r="T7" s="25"/>
      <c r="U7" s="22"/>
      <c r="V7" s="2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</row>
    <row r="8" spans="1:68" x14ac:dyDescent="0.25">
      <c r="A8" s="92" t="s">
        <v>25</v>
      </c>
      <c r="B8" s="4" t="str">
        <f>IF(VLOOKUP($A8,[1]!LOOKUP_Key_Information2,B$2,FALSE)&lt;&gt;0,VLOOKUP($A8,[1]!LOOKUP_Key_Information2,'Service-Scatter'!B$2,FALSE),"")</f>
        <v>Air Force</v>
      </c>
      <c r="C8" s="3">
        <f ca="1">VLOOKUP($A8,[1]!LOOKUP_SARS_Unified2,C$2,FALSE)</f>
        <v>0.33600000000000002</v>
      </c>
      <c r="D8" s="32">
        <f t="shared" ref="D8" ca="1" si="0">C8*E8</f>
        <v>2409.1906056860321</v>
      </c>
      <c r="E8" s="35">
        <f ca="1">VLOOKUP($A8,[1]!LOOKUP_SARS_Unified2,E$2,FALSE)</f>
        <v>7170.2101359703329</v>
      </c>
      <c r="F8" s="4"/>
      <c r="G8" s="1"/>
      <c r="H8" s="1"/>
      <c r="I8" s="1"/>
      <c r="J8" s="1">
        <v>3</v>
      </c>
      <c r="K8" s="37" t="e">
        <f ca="1">SUM(H7:I7)/M7</f>
        <v>#VALUE!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</row>
    <row r="9" spans="1:68" x14ac:dyDescent="0.25">
      <c r="A9" s="92" t="s">
        <v>9</v>
      </c>
      <c r="B9" s="4" t="str">
        <f>IF(VLOOKUP($A9,[1]!LOOKUP_Key_Information2,B$2,FALSE)&lt;&gt;0,VLOOKUP($A9,[1]!LOOKUP_Key_Information2,'Service-Scatter'!B$2,FALSE),"")</f>
        <v>Air Force</v>
      </c>
      <c r="C9" s="3">
        <f ca="1">VLOOKUP($A9,[1]!LOOKUP_SARS_Unified2,C$2,FALSE)</f>
        <v>0.28300000000000003</v>
      </c>
      <c r="D9" s="32">
        <f t="shared" ref="D9:D72" ca="1" si="1">C9*E9</f>
        <v>5173.8097081596197</v>
      </c>
      <c r="E9" s="35">
        <f ca="1">VLOOKUP($A9,[1]!LOOKUP_SARS_Unified2,E$2,FALSE)</f>
        <v>18282.013103037523</v>
      </c>
      <c r="F9" s="4"/>
      <c r="G9" s="9" t="s">
        <v>104</v>
      </c>
      <c r="H9" s="13">
        <f ca="1">SUMIFS($D$8:$D$92,$B$8:$B$92,$G9,$D$8:$D$92,"&gt;=0")</f>
        <v>72025.430292776437</v>
      </c>
      <c r="I9" s="13">
        <f ca="1">SUMIFS($D$8:$D$92,$B$8:$B$92,$G9,$D$8:$D$92,"&lt;0")</f>
        <v>-38478.950992672966</v>
      </c>
      <c r="J9" s="1">
        <v>5</v>
      </c>
      <c r="K9" s="37">
        <f ca="1">SUMIF(B$8:B$92,G9,C$8:C$92)/COUNTIF(B$8:B$92,G9)</f>
        <v>-0.48899999999999999</v>
      </c>
      <c r="L9" s="37"/>
      <c r="M9" s="36" t="e">
        <f ca="1">E6</f>
        <v>#VALUE!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</row>
    <row r="10" spans="1:68" x14ac:dyDescent="0.25">
      <c r="A10" s="92" t="s">
        <v>175</v>
      </c>
      <c r="B10" s="4" t="str">
        <f>IF(VLOOKUP($A10,[1]!LOOKUP_Key_Information2,B$2,FALSE)&lt;&gt;0,VLOOKUP($A10,[1]!LOOKUP_Key_Information2,'Service-Scatter'!B$2,FALSE),"")</f>
        <v>Air Force</v>
      </c>
      <c r="C10" s="3">
        <f ca="1">VLOOKUP($A10,[1]!LOOKUP_SARS_Unified2,C$2,FALSE)</f>
        <v>-1E-3</v>
      </c>
      <c r="D10" s="32">
        <f t="shared" ca="1" si="1"/>
        <v>-0.55440254803246691</v>
      </c>
      <c r="E10" s="35">
        <f ca="1">VLOOKUP($A10,[1]!LOOKUP_SARS_Unified2,E$2,FALSE)</f>
        <v>554.40254803246694</v>
      </c>
      <c r="F10" s="1"/>
      <c r="G10" s="1"/>
      <c r="H10" s="1"/>
      <c r="I10" s="1"/>
      <c r="J10" s="1">
        <v>5</v>
      </c>
      <c r="K10" s="37" t="e">
        <f ca="1">SUM(H9:I9)/M9</f>
        <v>#VALUE!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</row>
    <row r="11" spans="1:68" x14ac:dyDescent="0.25">
      <c r="A11" s="92" t="s">
        <v>17</v>
      </c>
      <c r="B11" s="4" t="str">
        <f>IF(VLOOKUP($A11,[1]!LOOKUP_Key_Information2,B$2,FALSE)&lt;&gt;0,VLOOKUP($A11,[1]!LOOKUP_Key_Information2,'Service-Scatter'!B$2,FALSE),"")</f>
        <v>Air Force</v>
      </c>
      <c r="C11" s="3">
        <f ca="1">VLOOKUP($A11,[1]!LOOKUP_SARS_Unified2,C$2,FALSE)</f>
        <v>-0.17699999999999999</v>
      </c>
      <c r="D11" s="32">
        <f t="shared" ca="1" si="1"/>
        <v>-125.29981757699325</v>
      </c>
      <c r="E11" s="35">
        <f ca="1">VLOOKUP($A11,[1]!LOOKUP_SARS_Unified2,E$2,FALSE)</f>
        <v>707.90857388131781</v>
      </c>
      <c r="F11" s="4"/>
      <c r="G11" s="38" t="s">
        <v>101</v>
      </c>
      <c r="H11" s="13">
        <f ca="1">SUMIFS($D$8:$D$92,$B$8:$B$92,$G11,$D$8:$D$92,"&gt;=0")</f>
        <v>137683.83343345582</v>
      </c>
      <c r="I11" s="13">
        <f ca="1">SUMIFS($D$8:$D$92,$B$8:$B$92,$G11,$D$8:$D$92,"&lt;0")</f>
        <v>-14504.449366872606</v>
      </c>
      <c r="J11" s="1">
        <v>7</v>
      </c>
      <c r="K11" s="37">
        <f ca="1">SUMIF(B$8:B$92,G11,C$8:C$92)/COUNTIF(B$8:B$92,G11)</f>
        <v>0.40460000000000002</v>
      </c>
      <c r="L11" s="37"/>
      <c r="M11" s="36">
        <f ca="1">E7</f>
        <v>279821.5370803253</v>
      </c>
      <c r="N11" s="1"/>
      <c r="O11" s="42" t="str">
        <f>G5&amp;" Contract Value Share (Baseline Estimate 2008 $s)"</f>
        <v>Army Contract Value Share (Baseline Estimate 2008 $s)</v>
      </c>
      <c r="P11" s="41">
        <f ca="1">H5/SUM($H$5:$H$11)</f>
        <v>0.74030444683352492</v>
      </c>
      <c r="Q11" s="12"/>
      <c r="R11" s="41" t="e">
        <f ca="1">M5/SUM($M$5:$M$11)</f>
        <v>#VALUE!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</row>
    <row r="12" spans="1:68" x14ac:dyDescent="0.25">
      <c r="A12" s="92" t="s">
        <v>30</v>
      </c>
      <c r="B12" s="4" t="str">
        <f>IF(VLOOKUP($A12,[1]!LOOKUP_Key_Information2,B$2,FALSE)&lt;&gt;0,VLOOKUP($A12,[1]!LOOKUP_Key_Information2,'Service-Scatter'!B$2,FALSE),"")</f>
        <v>Air Force</v>
      </c>
      <c r="C12" s="3">
        <f ca="1">VLOOKUP($A12,[1]!LOOKUP_SARS_Unified2,C$2,FALSE)</f>
        <v>-7.8E-2</v>
      </c>
      <c r="D12" s="32">
        <f t="shared" ca="1" si="1"/>
        <v>-108.37197104793874</v>
      </c>
      <c r="E12" s="35">
        <f ca="1">VLOOKUP($A12,[1]!LOOKUP_SARS_Unified2,E$2,FALSE)</f>
        <v>1389.3842442043428</v>
      </c>
      <c r="F12" s="4"/>
      <c r="G12" s="12"/>
      <c r="H12" s="12"/>
      <c r="I12" s="12"/>
      <c r="J12" s="1">
        <v>7</v>
      </c>
      <c r="K12" s="37">
        <f ca="1">SUM(H11:I11)/M11</f>
        <v>0.44020694529750742</v>
      </c>
      <c r="L12" s="1"/>
      <c r="M12" s="1"/>
      <c r="N12" s="1"/>
      <c r="O12" s="42" t="str">
        <f>G7&amp;" Contract Value Share (Baseline Estimate 2008 $s)"</f>
        <v>Navy Contract Value Share (Baseline Estimate 2008 $s)</v>
      </c>
      <c r="P12" s="41">
        <f ca="1">H7/SUM($H$5:$H$11)</f>
        <v>3.5715302487331617E-2</v>
      </c>
      <c r="Q12" s="12"/>
      <c r="R12" s="41" t="e">
        <f ca="1">M7/SUM($M$5:$M$11)</f>
        <v>#VALUE!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</row>
    <row r="13" spans="1:68" x14ac:dyDescent="0.25">
      <c r="A13" s="92" t="s">
        <v>28</v>
      </c>
      <c r="B13" s="4" t="str">
        <f>IF(VLOOKUP($A13,[1]!LOOKUP_Key_Information2,B$2,FALSE)&lt;&gt;0,VLOOKUP($A13,[1]!LOOKUP_Key_Information2,'Service-Scatter'!B$2,FALSE),"")</f>
        <v>Air Force</v>
      </c>
      <c r="C13" s="3">
        <f ca="1">VLOOKUP($A13,[1]!LOOKUP_SARS_Unified2,C$2,FALSE)</f>
        <v>-9.8000000000000004E-2</v>
      </c>
      <c r="D13" s="32">
        <f t="shared" ca="1" si="1"/>
        <v>-597.10222952840854</v>
      </c>
      <c r="E13" s="35">
        <f ca="1">VLOOKUP($A13,[1]!LOOKUP_SARS_Unified2,E$2,FALSE)</f>
        <v>6092.8798931470255</v>
      </c>
      <c r="F13" s="4"/>
      <c r="G13" s="12"/>
      <c r="H13" s="12"/>
      <c r="I13" s="12"/>
      <c r="J13" s="12"/>
      <c r="K13" s="1"/>
      <c r="L13" s="1"/>
      <c r="M13" s="1"/>
      <c r="N13" s="1"/>
      <c r="O13" s="42" t="str">
        <f>G9&amp;" Contract Value Share (Baseline Estimate 2008 $s)"</f>
        <v>Air Force Contract Value Share (Baseline Estimate 2008 $s)</v>
      </c>
      <c r="P13" s="41">
        <f ca="1">H9/SUM($H$5:$H$11)</f>
        <v>7.6926854091240005E-2</v>
      </c>
      <c r="Q13" s="12"/>
      <c r="R13" s="41" t="e">
        <f ca="1">M9/SUM($M$5:$M$11)</f>
        <v>#VALUE!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</row>
    <row r="14" spans="1:68" x14ac:dyDescent="0.25">
      <c r="A14" s="92" t="s">
        <v>19</v>
      </c>
      <c r="B14" s="4" t="str">
        <f>IF(VLOOKUP($A14,[1]!LOOKUP_Key_Information2,B$2,FALSE)&lt;&gt;0,VLOOKUP($A14,[1]!LOOKUP_Key_Information2,'Service-Scatter'!B$2,FALSE),"")</f>
        <v>Air Force</v>
      </c>
      <c r="C14" s="3">
        <f ca="1">VLOOKUP($A14,[1]!LOOKUP_SARS_Unified2,C$2,FALSE)</f>
        <v>0.318</v>
      </c>
      <c r="D14" s="32">
        <f t="shared" ca="1" si="1"/>
        <v>318.43579553241062</v>
      </c>
      <c r="E14" s="35">
        <f ca="1">VLOOKUP($A14,[1]!LOOKUP_SARS_Unified2,E$2,FALSE)</f>
        <v>1001.3704262025491</v>
      </c>
      <c r="F14" s="4"/>
      <c r="G14" s="12"/>
      <c r="H14" s="12"/>
      <c r="I14" s="12"/>
      <c r="J14" s="12"/>
      <c r="K14" s="1"/>
      <c r="L14" s="1"/>
      <c r="M14" s="1"/>
      <c r="N14" s="1"/>
      <c r="O14" s="42" t="str">
        <f>G11&amp;" Contract Value Share (Baseline Estimate 2008 $s)"</f>
        <v>DoD-wide Contract Value Share (Baseline Estimate 2008 $s)</v>
      </c>
      <c r="P14" s="41">
        <f ca="1">H11/SUM($H$5:$H$11)</f>
        <v>0.14705339658790345</v>
      </c>
      <c r="Q14" s="12"/>
      <c r="R14" s="41" t="e">
        <f ca="1">M11/SUM($M$5:$M$11)</f>
        <v>#VALUE!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</row>
    <row r="15" spans="1:68" x14ac:dyDescent="0.25">
      <c r="A15" s="92" t="s">
        <v>24</v>
      </c>
      <c r="B15" s="4" t="str">
        <f>IF(VLOOKUP($A15,[1]!LOOKUP_Key_Information2,B$2,FALSE)&lt;&gt;0,VLOOKUP($A15,[1]!LOOKUP_Key_Information2,'Service-Scatter'!B$2,FALSE),"")</f>
        <v>Air Force</v>
      </c>
      <c r="C15" s="3">
        <f ca="1">VLOOKUP($A15,[1]!LOOKUP_SARS_Unified2,C$2,FALSE)</f>
        <v>0.47</v>
      </c>
      <c r="D15" s="32">
        <f t="shared" ca="1" si="1"/>
        <v>26569.717692202274</v>
      </c>
      <c r="E15" s="35">
        <f ca="1">VLOOKUP($A15,[1]!LOOKUP_SARS_Unified2,E$2,FALSE)</f>
        <v>56531.314238728242</v>
      </c>
      <c r="F15" s="4"/>
      <c r="G15" s="12"/>
      <c r="H15" s="12"/>
      <c r="I15" s="12"/>
      <c r="J15" s="1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</row>
    <row r="16" spans="1:68" x14ac:dyDescent="0.25">
      <c r="A16" s="92" t="s">
        <v>27</v>
      </c>
      <c r="B16" s="4" t="str">
        <f>IF(VLOOKUP($A16,[1]!LOOKUP_Key_Information2,B$2,FALSE)&lt;&gt;0,VLOOKUP($A16,[1]!LOOKUP_Key_Information2,'Service-Scatter'!B$2,FALSE),"")</f>
        <v>Air Force</v>
      </c>
      <c r="C16" s="3">
        <f ca="1">VLOOKUP($A16,[1]!LOOKUP_SARS_Unified2,C$2,FALSE)</f>
        <v>-1.9E-2</v>
      </c>
      <c r="D16" s="32">
        <f t="shared" ca="1" si="1"/>
        <v>-142.43721808454842</v>
      </c>
      <c r="E16" s="35">
        <f ca="1">VLOOKUP($A16,[1]!LOOKUP_SARS_Unified2,E$2,FALSE)</f>
        <v>7496.695688660443</v>
      </c>
      <c r="F16" s="4"/>
      <c r="G16" s="12"/>
      <c r="H16" s="12"/>
      <c r="I16" s="12"/>
      <c r="J16" s="1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</row>
    <row r="17" spans="1:68" x14ac:dyDescent="0.25">
      <c r="A17" s="92" t="s">
        <v>250</v>
      </c>
      <c r="B17" s="4" t="str">
        <f>IF(VLOOKUP($A17,[1]!LOOKUP_Key_Information2,B$2,FALSE)&lt;&gt;0,VLOOKUP($A17,[1]!LOOKUP_Key_Information2,'Service-Scatter'!B$2,FALSE),"")</f>
        <v>Air Force</v>
      </c>
      <c r="C17" s="3">
        <f ca="1">VLOOKUP($A17,[1]!LOOKUP_SARS_Unified2,C$2,FALSE)</f>
        <v>0.19899999999999998</v>
      </c>
      <c r="D17" s="32">
        <f t="shared" ca="1" si="1"/>
        <v>195.4146125787554</v>
      </c>
      <c r="E17" s="35">
        <f ca="1">VLOOKUP($A17,[1]!LOOKUP_SARS_Unified2,E$2,FALSE)</f>
        <v>981.98297778269045</v>
      </c>
      <c r="F17" s="4"/>
      <c r="G17" s="12"/>
      <c r="H17" s="12"/>
      <c r="I17" s="12"/>
      <c r="J17" s="1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</row>
    <row r="18" spans="1:68" x14ac:dyDescent="0.25">
      <c r="A18" s="92" t="s">
        <v>244</v>
      </c>
      <c r="B18" s="4" t="str">
        <f>IF(VLOOKUP($A18,[1]!LOOKUP_Key_Information2,B$2,FALSE)&lt;&gt;0,VLOOKUP($A18,[1]!LOOKUP_Key_Information2,'Service-Scatter'!B$2,FALSE),"")</f>
        <v>Air Force</v>
      </c>
      <c r="C18" s="3">
        <f ca="1">VLOOKUP($A18,[1]!LOOKUP_SARS_Unified2,C$2,FALSE)</f>
        <v>6.8000000000000005E-2</v>
      </c>
      <c r="D18" s="32">
        <f t="shared" ca="1" si="1"/>
        <v>4997.319766777181</v>
      </c>
      <c r="E18" s="35">
        <f ca="1">VLOOKUP($A18,[1]!LOOKUP_SARS_Unified2,E$2,FALSE)</f>
        <v>73489.996570252653</v>
      </c>
      <c r="F18" s="4"/>
      <c r="G18" s="12"/>
      <c r="H18" s="12"/>
      <c r="I18" s="12"/>
      <c r="J18" s="1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</row>
    <row r="19" spans="1:68" x14ac:dyDescent="0.25">
      <c r="A19" s="92" t="s">
        <v>1</v>
      </c>
      <c r="B19" s="4" t="str">
        <f>IF(VLOOKUP($A19,[1]!LOOKUP_Key_Information2,B$2,FALSE)&lt;&gt;0,VLOOKUP($A19,[1]!LOOKUP_Key_Information2,'Service-Scatter'!B$2,FALSE),"")</f>
        <v>Air Force</v>
      </c>
      <c r="C19" s="3">
        <f ca="1">VLOOKUP($A19,[1]!LOOKUP_SARS_Unified2,C$2,FALSE)</f>
        <v>0.32299999999999995</v>
      </c>
      <c r="D19" s="32">
        <f t="shared" ca="1" si="1"/>
        <v>1054.960321384425</v>
      </c>
      <c r="E19" s="35">
        <f ca="1">VLOOKUP($A19,[1]!LOOKUP_SARS_Unified2,E$2,FALSE)</f>
        <v>3266.1310259579727</v>
      </c>
      <c r="F19" s="4"/>
      <c r="G19" s="12"/>
      <c r="H19" s="12"/>
      <c r="I19" s="12"/>
      <c r="J19" s="1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</row>
    <row r="20" spans="1:68" x14ac:dyDescent="0.25">
      <c r="A20" s="92" t="s">
        <v>54</v>
      </c>
      <c r="B20" s="4" t="str">
        <f>IF(VLOOKUP($A20,[1]!LOOKUP_Key_Information2,B$2,FALSE)&lt;&gt;0,VLOOKUP($A20,[1]!LOOKUP_Key_Information2,'Service-Scatter'!B$2,FALSE),"")</f>
        <v>Air Force</v>
      </c>
      <c r="C20" s="3">
        <f ca="1">VLOOKUP($A20,[1]!LOOKUP_SARS_Unified2,C$2,FALSE)</f>
        <v>0.20100000000000001</v>
      </c>
      <c r="D20" s="32">
        <f t="shared" ca="1" si="1"/>
        <v>122.09850625756965</v>
      </c>
      <c r="E20" s="35">
        <f ca="1">VLOOKUP($A20,[1]!LOOKUP_SARS_Unified2,E$2,FALSE)</f>
        <v>607.45525501278428</v>
      </c>
      <c r="F20" s="4"/>
      <c r="G20" s="12"/>
      <c r="H20" s="12"/>
      <c r="I20" s="12"/>
      <c r="J20" s="1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</row>
    <row r="21" spans="1:68" x14ac:dyDescent="0.25">
      <c r="A21" s="92" t="s">
        <v>4</v>
      </c>
      <c r="B21" s="4" t="str">
        <f>IF(VLOOKUP($A21,[1]!LOOKUP_Key_Information2,B$2,FALSE)&lt;&gt;0,VLOOKUP($A21,[1]!LOOKUP_Key_Information2,'Service-Scatter'!B$2,FALSE),"")</f>
        <v>Air Force</v>
      </c>
      <c r="C21" s="3">
        <f ca="1">VLOOKUP($A21,[1]!LOOKUP_SARS_Unified2,C$2,FALSE)</f>
        <v>-3.2000000000000001E-2</v>
      </c>
      <c r="D21" s="32">
        <f t="shared" ca="1" si="1"/>
        <v>-136.20959621904859</v>
      </c>
      <c r="E21" s="35">
        <f ca="1">VLOOKUP($A21,[1]!LOOKUP_SARS_Unified2,E$2,FALSE)</f>
        <v>4256.5498818452688</v>
      </c>
      <c r="F21" s="4"/>
      <c r="G21" s="12"/>
      <c r="H21" s="12"/>
      <c r="I21" s="12"/>
      <c r="J21" s="1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</row>
    <row r="22" spans="1:68" x14ac:dyDescent="0.25">
      <c r="A22" s="92" t="s">
        <v>61</v>
      </c>
      <c r="B22" s="4" t="str">
        <f>IF(VLOOKUP($A22,[1]!LOOKUP_Key_Information2,B$2,FALSE)&lt;&gt;0,VLOOKUP($A22,[1]!LOOKUP_Key_Information2,'Service-Scatter'!B$2,FALSE),"")</f>
        <v>Air Force</v>
      </c>
      <c r="C22" s="3">
        <f ca="1">VLOOKUP($A22,[1]!LOOKUP_SARS_Unified2,C$2,FALSE)</f>
        <v>0.44600000000000001</v>
      </c>
      <c r="D22" s="32">
        <f t="shared" ca="1" si="1"/>
        <v>2502.1852213996372</v>
      </c>
      <c r="E22" s="35">
        <f ca="1">VLOOKUP($A22,[1]!LOOKUP_SARS_Unified2,E$2,FALSE)</f>
        <v>5610.2807654700382</v>
      </c>
      <c r="F22" s="4"/>
      <c r="G22" s="12"/>
      <c r="H22" s="12"/>
      <c r="I22" s="12"/>
      <c r="J22" s="1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</row>
    <row r="23" spans="1:68" x14ac:dyDescent="0.25">
      <c r="A23" s="92" t="s">
        <v>34</v>
      </c>
      <c r="B23" s="4" t="str">
        <f>IF(VLOOKUP($A23,[1]!LOOKUP_Key_Information2,B$2,FALSE)&lt;&gt;0,VLOOKUP($A23,[1]!LOOKUP_Key_Information2,'Service-Scatter'!B$2,FALSE),"")</f>
        <v>Air Force</v>
      </c>
      <c r="C23" s="3">
        <f ca="1">VLOOKUP($A23,[1]!LOOKUP_SARS_Unified2,C$2,FALSE)</f>
        <v>0.27200000000000002</v>
      </c>
      <c r="D23" s="32">
        <f t="shared" ca="1" si="1"/>
        <v>873.97904735298243</v>
      </c>
      <c r="E23" s="35">
        <f ca="1">VLOOKUP($A23,[1]!LOOKUP_SARS_Unified2,E$2,FALSE)</f>
        <v>3213.1582623271411</v>
      </c>
      <c r="F23" s="4"/>
      <c r="G23" s="12"/>
      <c r="H23" s="12"/>
      <c r="I23" s="12"/>
      <c r="J23" s="1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</row>
    <row r="24" spans="1:68" x14ac:dyDescent="0.25">
      <c r="A24" s="92" t="s">
        <v>21</v>
      </c>
      <c r="B24" s="4" t="str">
        <f>IF(VLOOKUP($A24,[1]!LOOKUP_Key_Information2,B$2,FALSE)&lt;&gt;0,VLOOKUP($A24,[1]!LOOKUP_Key_Information2,'Service-Scatter'!B$2,FALSE),"")</f>
        <v>Air Force</v>
      </c>
      <c r="C24" s="3">
        <f ca="1">VLOOKUP($A24,[1]!LOOKUP_SARS_Unified2,C$2,FALSE)</f>
        <v>8.3000000000000004E-2</v>
      </c>
      <c r="D24" s="32">
        <f t="shared" ca="1" si="1"/>
        <v>464.65636588380715</v>
      </c>
      <c r="E24" s="35">
        <f ca="1">VLOOKUP($A24,[1]!LOOKUP_SARS_Unified2,E$2,FALSE)</f>
        <v>5598.2694684796043</v>
      </c>
      <c r="F24" s="4"/>
      <c r="G24" s="12"/>
      <c r="H24" s="12"/>
      <c r="I24" s="12"/>
      <c r="J24" s="1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</row>
    <row r="25" spans="1:68" x14ac:dyDescent="0.25">
      <c r="A25" s="92" t="s">
        <v>45</v>
      </c>
      <c r="B25" s="4" t="str">
        <f>IF(VLOOKUP($A25,[1]!LOOKUP_Key_Information2,B$2,FALSE)&lt;&gt;0,VLOOKUP($A25,[1]!LOOKUP_Key_Information2,'Service-Scatter'!B$2,FALSE),"")</f>
        <v>Air Force</v>
      </c>
      <c r="C25" s="3">
        <f ca="1">VLOOKUP($A25,[1]!LOOKUP_SARS_Unified2,C$2,FALSE)</f>
        <v>0.13800000000000001</v>
      </c>
      <c r="D25" s="32">
        <f t="shared" ca="1" si="1"/>
        <v>55.530053498374073</v>
      </c>
      <c r="E25" s="35">
        <f ca="1">VLOOKUP($A25,[1]!LOOKUP_SARS_Unified2,E$2,FALSE)</f>
        <v>402.39169201720341</v>
      </c>
      <c r="F25" s="4"/>
      <c r="G25" s="12"/>
      <c r="H25" s="12"/>
      <c r="I25" s="12"/>
      <c r="J25" s="1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</row>
    <row r="26" spans="1:68" x14ac:dyDescent="0.25">
      <c r="A26" s="92" t="s">
        <v>66</v>
      </c>
      <c r="B26" s="4" t="str">
        <f>IF(VLOOKUP($A26,[1]!LOOKUP_Key_Information2,B$2,FALSE)&lt;&gt;0,VLOOKUP($A26,[1]!LOOKUP_Key_Information2,'Service-Scatter'!B$2,FALSE),"")</f>
        <v>Air Force</v>
      </c>
      <c r="C26" s="3">
        <f ca="1">VLOOKUP($A26,[1]!LOOKUP_SARS_Unified2,C$2,FALSE)</f>
        <v>-20</v>
      </c>
      <c r="D26" s="32">
        <f t="shared" ca="1" si="1"/>
        <v>-37276.234567901229</v>
      </c>
      <c r="E26" s="35">
        <f ca="1">VLOOKUP($A26,[1]!LOOKUP_SARS_Unified2,E$2,FALSE)</f>
        <v>1863.8117283950614</v>
      </c>
      <c r="F26" s="4"/>
      <c r="G26" s="12"/>
      <c r="H26" s="12"/>
      <c r="I26" s="12"/>
      <c r="J26" s="1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</row>
    <row r="27" spans="1:68" x14ac:dyDescent="0.25">
      <c r="A27" s="92" t="s">
        <v>46</v>
      </c>
      <c r="B27" s="4" t="str">
        <f>IF(VLOOKUP($A27,[1]!LOOKUP_Key_Information2,B$2,FALSE)&lt;&gt;0,VLOOKUP($A27,[1]!LOOKUP_Key_Information2,'Service-Scatter'!B$2,FALSE),"")</f>
        <v>Air Force</v>
      </c>
      <c r="C27" s="3">
        <f ca="1">VLOOKUP($A27,[1]!LOOKUP_SARS_Unified2,C$2,FALSE)</f>
        <v>3.9E-2</v>
      </c>
      <c r="D27" s="32">
        <f t="shared" ca="1" si="1"/>
        <v>61.226477649479818</v>
      </c>
      <c r="E27" s="35">
        <f ca="1">VLOOKUP($A27,[1]!LOOKUP_SARS_Unified2,E$2,FALSE)</f>
        <v>1569.9096833199953</v>
      </c>
      <c r="F27" s="4"/>
      <c r="G27" s="12"/>
      <c r="H27" s="12"/>
      <c r="I27" s="12"/>
      <c r="J27" s="1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</row>
    <row r="28" spans="1:68" x14ac:dyDescent="0.25">
      <c r="A28" s="92" t="s">
        <v>63</v>
      </c>
      <c r="B28" s="4" t="str">
        <f>IF(VLOOKUP($A28,[1]!LOOKUP_Key_Information2,B$2,FALSE)&lt;&gt;0,VLOOKUP($A28,[1]!LOOKUP_Key_Information2,'Service-Scatter'!B$2,FALSE),"")</f>
        <v>Air Force</v>
      </c>
      <c r="C28" s="3">
        <f ca="1">VLOOKUP($A28,[1]!LOOKUP_SARS_Unified2,C$2,FALSE)</f>
        <v>0.23800000000000002</v>
      </c>
      <c r="D28" s="32">
        <f t="shared" ca="1" si="1"/>
        <v>1779.3070987654319</v>
      </c>
      <c r="E28" s="35">
        <f ca="1">VLOOKUP($A28,[1]!LOOKUP_SARS_Unified2,E$2,FALSE)</f>
        <v>7476.0802469135788</v>
      </c>
      <c r="F28" s="4"/>
      <c r="G28" s="12"/>
      <c r="H28" s="12"/>
      <c r="I28" s="12"/>
      <c r="J28" s="1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</row>
    <row r="29" spans="1:68" x14ac:dyDescent="0.25">
      <c r="A29" s="92" t="s">
        <v>69</v>
      </c>
      <c r="B29" s="4" t="str">
        <f>IF(VLOOKUP($A29,[1]!LOOKUP_Key_Information2,B$2,FALSE)&lt;&gt;0,VLOOKUP($A29,[1]!LOOKUP_Key_Information2,'Service-Scatter'!B$2,FALSE),"")</f>
        <v>Air Force</v>
      </c>
      <c r="C29" s="3">
        <f ca="1">VLOOKUP($A29,[1]!LOOKUP_SARS_Unified2,C$2,FALSE)</f>
        <v>2.7370000000000001</v>
      </c>
      <c r="D29" s="32">
        <f t="shared" ca="1" si="1"/>
        <v>18736.101359703338</v>
      </c>
      <c r="E29" s="35">
        <f ca="1">VLOOKUP($A29,[1]!LOOKUP_SARS_Unified2,E$2,FALSE)</f>
        <v>6845.4882571075395</v>
      </c>
      <c r="F29" s="4"/>
      <c r="G29" s="12"/>
      <c r="H29" s="12"/>
      <c r="I29" s="12"/>
      <c r="J29" s="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</row>
    <row r="30" spans="1:68" x14ac:dyDescent="0.25">
      <c r="A30" s="92" t="s">
        <v>246</v>
      </c>
      <c r="B30" s="4" t="str">
        <f>IF(VLOOKUP($A30,[1]!LOOKUP_Key_Information2,B$2,FALSE)&lt;&gt;0,VLOOKUP($A30,[1]!LOOKUP_Key_Information2,'Service-Scatter'!B$2,FALSE),"")</f>
        <v>Air Force</v>
      </c>
      <c r="C30" s="3" t="str">
        <f ca="1">VLOOKUP($A30,[1]!LOOKUP_SARS_Unified2,C$2,FALSE)</f>
        <v/>
      </c>
      <c r="D30" s="32" t="e">
        <f t="shared" ca="1" si="1"/>
        <v>#VALUE!</v>
      </c>
      <c r="E30" s="35" t="e">
        <f ca="1">VLOOKUP($A30,[1]!LOOKUP_SARS_Unified2,E$2,FALSE)</f>
        <v>#VALUE!</v>
      </c>
      <c r="F30" s="4"/>
      <c r="G30" s="12"/>
      <c r="H30" s="12"/>
      <c r="I30" s="12"/>
      <c r="J30" s="1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</row>
    <row r="31" spans="1:68" x14ac:dyDescent="0.25">
      <c r="A31" s="92" t="s">
        <v>247</v>
      </c>
      <c r="B31" s="4" t="str">
        <f>IF(VLOOKUP($A31,[1]!LOOKUP_Key_Information2,B$2,FALSE)&lt;&gt;0,VLOOKUP($A31,[1]!LOOKUP_Key_Information2,'Service-Scatter'!B$2,FALSE),"")</f>
        <v>Air Force</v>
      </c>
      <c r="C31" s="3">
        <f ca="1">VLOOKUP($A31,[1]!LOOKUP_SARS_Unified2,C$2,FALSE)</f>
        <v>5.7000000000000002E-2</v>
      </c>
      <c r="D31" s="32">
        <f t="shared" ca="1" si="1"/>
        <v>642.84495961397249</v>
      </c>
      <c r="E31" s="35">
        <f ca="1">VLOOKUP($A31,[1]!LOOKUP_SARS_Unified2,E$2,FALSE)</f>
        <v>11277.981747613552</v>
      </c>
      <c r="F31" s="4"/>
      <c r="G31" s="12"/>
      <c r="H31" s="12"/>
      <c r="I31" s="12"/>
      <c r="J31" s="1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</row>
    <row r="32" spans="1:68" x14ac:dyDescent="0.25">
      <c r="A32" s="92" t="s">
        <v>248</v>
      </c>
      <c r="B32" s="4" t="str">
        <f>IF(VLOOKUP($A32,[1]!LOOKUP_Key_Information2,B$2,FALSE)&lt;&gt;0,VLOOKUP($A32,[1]!LOOKUP_Key_Information2,'Service-Scatter'!B$2,FALSE),"")</f>
        <v>Air Force</v>
      </c>
      <c r="C32" s="3">
        <f ca="1">VLOOKUP($A32,[1]!LOOKUP_SARS_Unified2,C$2,FALSE)</f>
        <v>0.99199999999999999</v>
      </c>
      <c r="D32" s="32">
        <f t="shared" ca="1" si="1"/>
        <v>5549.7654320987658</v>
      </c>
      <c r="E32" s="35">
        <f ca="1">VLOOKUP($A32,[1]!LOOKUP_SARS_Unified2,E$2,FALSE)</f>
        <v>5594.5216049382716</v>
      </c>
      <c r="F32" s="4"/>
      <c r="G32" s="12"/>
      <c r="H32" s="12"/>
      <c r="I32" s="12"/>
      <c r="J32" s="1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</row>
    <row r="33" spans="1:68" x14ac:dyDescent="0.25">
      <c r="A33" t="s">
        <v>222</v>
      </c>
      <c r="B33" s="4" t="str">
        <f>IF(VLOOKUP($A33,[1]!LOOKUP_Key_Information2,B$2,FALSE)&lt;&gt;0,VLOOKUP($A33,[1]!LOOKUP_Key_Information2,'Service-Scatter'!B$2,FALSE),"")</f>
        <v>Air Force</v>
      </c>
      <c r="C33" s="3">
        <f ca="1">VLOOKUP($A33,[1]!LOOKUP_SARS_Unified2,C$2,FALSE)</f>
        <v>2.7000000000000003E-2</v>
      </c>
      <c r="D33" s="32">
        <f t="shared" ca="1" si="1"/>
        <v>518.88726823238574</v>
      </c>
      <c r="E33" s="35">
        <f ca="1">VLOOKUP($A33,[1]!LOOKUP_SARS_Unified2,E$2,FALSE)</f>
        <v>19218.046971569838</v>
      </c>
      <c r="F33" s="4"/>
      <c r="G33" s="12"/>
      <c r="H33" s="12"/>
      <c r="I33" s="12"/>
      <c r="J33" s="1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</row>
    <row r="34" spans="1:68" x14ac:dyDescent="0.25">
      <c r="A34" t="s">
        <v>59</v>
      </c>
      <c r="B34" s="4" t="str">
        <f>IF(VLOOKUP($A34,[1]!LOOKUP_Key_Information2,B$2,FALSE)&lt;&gt;0,VLOOKUP($A34,[1]!LOOKUP_Key_Information2,'Service-Scatter'!B$2,FALSE),"")</f>
        <v>Air Force</v>
      </c>
      <c r="C34" s="3">
        <f ca="1">VLOOKUP($A34,[1]!LOOKUP_SARS_Unified2,C$2,FALSE)</f>
        <v>-2.5000000000000001E-2</v>
      </c>
      <c r="D34" s="32">
        <f t="shared" ca="1" si="1"/>
        <v>-92.741189766772834</v>
      </c>
      <c r="E34" s="35">
        <f ca="1">VLOOKUP($A34,[1]!LOOKUP_SARS_Unified2,E$2,FALSE)</f>
        <v>3709.6475906709134</v>
      </c>
      <c r="F34" s="4"/>
      <c r="G34" s="12"/>
      <c r="H34" s="12"/>
      <c r="I34" s="12"/>
      <c r="J34" s="1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x14ac:dyDescent="0.25">
      <c r="A35" t="s">
        <v>0</v>
      </c>
      <c r="B35" s="4" t="str">
        <f>IF(VLOOKUP($A35,[1]!LOOKUP_Key_Information2,B$2,FALSE)&lt;&gt;0,VLOOKUP($A35,[1]!LOOKUP_Key_Information2,'Service-Scatter'!B$2,FALSE),"")</f>
        <v>Army</v>
      </c>
      <c r="C35" s="3">
        <f ca="1">VLOOKUP($A35,[1]!LOOKUP_SARS_Unified2,C$2,FALSE)</f>
        <v>0.42399999999999999</v>
      </c>
      <c r="D35" s="32">
        <f t="shared" ca="1" si="1"/>
        <v>3071.1528683541505</v>
      </c>
      <c r="E35" s="35">
        <f ca="1">VLOOKUP($A35,[1]!LOOKUP_SARS_Unified2,E$2,FALSE)</f>
        <v>7243.285066872997</v>
      </c>
      <c r="F35" s="4"/>
      <c r="G35" s="12"/>
      <c r="H35" s="12"/>
      <c r="I35" s="12"/>
      <c r="J35" s="1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</row>
    <row r="36" spans="1:68" x14ac:dyDescent="0.25">
      <c r="A36" s="92" t="s">
        <v>212</v>
      </c>
      <c r="B36" s="4" t="str">
        <f>IF(VLOOKUP($A36,[1]!LOOKUP_Key_Information2,B$2,FALSE)&lt;&gt;0,VLOOKUP($A36,[1]!LOOKUP_Key_Information2,'Service-Scatter'!B$2,FALSE),"")</f>
        <v>Army</v>
      </c>
      <c r="C36" s="3">
        <f ca="1">VLOOKUP($A36,[1]!LOOKUP_SARS_Unified2,C$2,FALSE)</f>
        <v>-0.14899999999999999</v>
      </c>
      <c r="D36" s="32">
        <f t="shared" ca="1" si="1"/>
        <v>-695.83847923477413</v>
      </c>
      <c r="E36" s="35">
        <f ca="1">VLOOKUP($A36,[1]!LOOKUP_SARS_Unified2,E$2,FALSE)</f>
        <v>4670.0569076159336</v>
      </c>
      <c r="F36" s="4"/>
      <c r="G36" s="12"/>
      <c r="H36" s="12"/>
      <c r="I36" s="12"/>
      <c r="J36" s="1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</row>
    <row r="37" spans="1:68" x14ac:dyDescent="0.25">
      <c r="A37" s="92" t="s">
        <v>213</v>
      </c>
      <c r="B37" s="4" t="str">
        <f>IF(VLOOKUP($A37,[1]!LOOKUP_Key_Information2,B$2,FALSE)&lt;&gt;0,VLOOKUP($A37,[1]!LOOKUP_Key_Information2,'Service-Scatter'!B$2,FALSE),"")</f>
        <v>Army</v>
      </c>
      <c r="C37" s="3">
        <f ca="1">VLOOKUP($A37,[1]!LOOKUP_SARS_Unified2,C$2,FALSE)</f>
        <v>-0.60099999999999998</v>
      </c>
      <c r="D37" s="32">
        <f t="shared" ca="1" si="1"/>
        <v>-2163.7236766891506</v>
      </c>
      <c r="E37" s="35">
        <f ca="1">VLOOKUP($A37,[1]!LOOKUP_SARS_Unified2,E$2,FALSE)</f>
        <v>3600.2057848405166</v>
      </c>
      <c r="F37" s="4"/>
      <c r="G37" s="12"/>
      <c r="H37" s="12"/>
      <c r="I37" s="12"/>
      <c r="J37" s="1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</row>
    <row r="38" spans="1:68" x14ac:dyDescent="0.25">
      <c r="A38" s="92" t="s">
        <v>214</v>
      </c>
      <c r="B38" s="4" t="str">
        <f>IF(VLOOKUP($A38,[1]!LOOKUP_Key_Information2,B$2,FALSE)&lt;&gt;0,VLOOKUP($A38,[1]!LOOKUP_Key_Information2,'Service-Scatter'!B$2,FALSE),"")</f>
        <v>Army</v>
      </c>
      <c r="C38" s="3">
        <f ca="1">VLOOKUP($A38,[1]!LOOKUP_SARS_Unified2,C$2,FALSE)</f>
        <v>2.7999999999999997E-2</v>
      </c>
      <c r="D38" s="32">
        <f t="shared" ca="1" si="1"/>
        <v>62.309238406586744</v>
      </c>
      <c r="E38" s="35">
        <f ca="1">VLOOKUP($A38,[1]!LOOKUP_SARS_Unified2,E$2,FALSE)</f>
        <v>2225.3299430923839</v>
      </c>
      <c r="F38" s="4"/>
      <c r="G38" s="12"/>
      <c r="H38" s="12"/>
      <c r="I38" s="12"/>
      <c r="J38" s="1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</row>
    <row r="39" spans="1:68" x14ac:dyDescent="0.25">
      <c r="A39" s="92" t="s">
        <v>13</v>
      </c>
      <c r="B39" s="4" t="str">
        <f>IF(VLOOKUP($A39,[1]!LOOKUP_Key_Information2,B$2,FALSE)&lt;&gt;0,VLOOKUP($A39,[1]!LOOKUP_Key_Information2,'Service-Scatter'!B$2,FALSE),"")</f>
        <v>Army</v>
      </c>
      <c r="C39" s="3">
        <f ca="1">VLOOKUP($A39,[1]!LOOKUP_SARS_Unified2,C$2,FALSE)</f>
        <v>1.8000000000000002E-2</v>
      </c>
      <c r="D39" s="32">
        <f t="shared" ca="1" si="1"/>
        <v>60.930621140573919</v>
      </c>
      <c r="E39" s="35">
        <f ca="1">VLOOKUP($A39,[1]!LOOKUP_SARS_Unified2,E$2,FALSE)</f>
        <v>3385.0345078096616</v>
      </c>
      <c r="F39" s="4"/>
      <c r="G39" s="12"/>
      <c r="H39" s="12"/>
      <c r="I39" s="12"/>
      <c r="J39" s="1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</row>
    <row r="40" spans="1:68" x14ac:dyDescent="0.25">
      <c r="A40" s="92" t="s">
        <v>22</v>
      </c>
      <c r="B40" s="4" t="str">
        <f>IF(VLOOKUP($A40,[1]!LOOKUP_Key_Information2,B$2,FALSE)&lt;&gt;0,VLOOKUP($A40,[1]!LOOKUP_Key_Information2,'Service-Scatter'!B$2,FALSE),"")</f>
        <v>Army</v>
      </c>
      <c r="C40" s="3">
        <f ca="1">VLOOKUP($A40,[1]!LOOKUP_SARS_Unified2,C$2,FALSE)</f>
        <v>0.13100000000000001</v>
      </c>
      <c r="D40" s="32">
        <f t="shared" ca="1" si="1"/>
        <v>1589.7322510575052</v>
      </c>
      <c r="E40" s="35">
        <f ca="1">VLOOKUP($A40,[1]!LOOKUP_SARS_Unified2,E$2,FALSE)</f>
        <v>12135.36069509546</v>
      </c>
      <c r="F40" s="4"/>
      <c r="G40" s="12"/>
      <c r="H40" s="12"/>
      <c r="I40" s="12"/>
      <c r="J40" s="1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</row>
    <row r="41" spans="1:68" x14ac:dyDescent="0.25">
      <c r="A41" s="92" t="s">
        <v>215</v>
      </c>
      <c r="B41" s="4" t="str">
        <f>IF(VLOOKUP($A41,[1]!LOOKUP_Key_Information2,B$2,FALSE)&lt;&gt;0,VLOOKUP($A41,[1]!LOOKUP_Key_Information2,'Service-Scatter'!B$2,FALSE),"")</f>
        <v>Army</v>
      </c>
      <c r="C41" s="3">
        <f ca="1">VLOOKUP($A41,[1]!LOOKUP_SARS_Unified2,C$2,FALSE)</f>
        <v>0.151</v>
      </c>
      <c r="D41" s="32">
        <f t="shared" ca="1" si="1"/>
        <v>7366.7066615226322</v>
      </c>
      <c r="E41" s="35">
        <f ca="1">VLOOKUP($A41,[1]!LOOKUP_SARS_Unified2,E$2,FALSE)</f>
        <v>48786.136831275711</v>
      </c>
      <c r="F41" s="4"/>
      <c r="G41" s="12"/>
      <c r="H41" s="12"/>
      <c r="I41" s="12"/>
      <c r="J41" s="1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</row>
    <row r="42" spans="1:68" x14ac:dyDescent="0.25">
      <c r="A42" s="92" t="s">
        <v>180</v>
      </c>
      <c r="B42" s="4" t="str">
        <f>IF(VLOOKUP($A42,[1]!LOOKUP_Key_Information2,B$2,FALSE)&lt;&gt;0,VLOOKUP($A42,[1]!LOOKUP_Key_Information2,'Service-Scatter'!B$2,FALSE),"")</f>
        <v>Army</v>
      </c>
      <c r="C42" s="3">
        <f ca="1">VLOOKUP($A42,[1]!LOOKUP_SARS_Unified2,C$2,FALSE)</f>
        <v>-0.183</v>
      </c>
      <c r="D42" s="32">
        <f t="shared" ca="1" si="1"/>
        <v>-592.16942361039764</v>
      </c>
      <c r="E42" s="35">
        <f ca="1">VLOOKUP($A42,[1]!LOOKUP_SARS_Unified2,E$2,FALSE)</f>
        <v>3235.8984896743041</v>
      </c>
      <c r="F42" s="4"/>
      <c r="G42" s="12"/>
      <c r="H42" s="12"/>
      <c r="I42" s="12"/>
      <c r="J42" s="1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</row>
    <row r="43" spans="1:68" x14ac:dyDescent="0.25">
      <c r="A43" s="92" t="s">
        <v>178</v>
      </c>
      <c r="B43" s="4" t="str">
        <f>IF(VLOOKUP($A43,[1]!LOOKUP_Key_Information2,B$2,FALSE)&lt;&gt;0,VLOOKUP($A43,[1]!LOOKUP_Key_Information2,'Service-Scatter'!B$2,FALSE),"")</f>
        <v>Army</v>
      </c>
      <c r="C43" s="3" t="str">
        <f ca="1">VLOOKUP($A43,[1]!LOOKUP_SARS_Unified2,C$2,FALSE)</f>
        <v/>
      </c>
      <c r="D43" s="32" t="e">
        <f t="shared" ca="1" si="1"/>
        <v>#VALUE!</v>
      </c>
      <c r="E43" s="35" t="e">
        <f ca="1">VLOOKUP($A43,[1]!LOOKUP_SARS_Unified2,E$2,FALSE)</f>
        <v>#VALUE!</v>
      </c>
      <c r="F43" s="4"/>
      <c r="G43" s="12"/>
      <c r="H43" s="12"/>
      <c r="I43" s="12"/>
      <c r="J43" s="1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</row>
    <row r="44" spans="1:68" x14ac:dyDescent="0.25">
      <c r="A44" s="92" t="s">
        <v>29</v>
      </c>
      <c r="B44" s="4" t="str">
        <f>IF(VLOOKUP($A44,[1]!LOOKUP_Key_Information2,B$2,FALSE)&lt;&gt;0,VLOOKUP($A44,[1]!LOOKUP_Key_Information2,'Service-Scatter'!B$2,FALSE),"")</f>
        <v>Army</v>
      </c>
      <c r="C44" s="3">
        <f ca="1">VLOOKUP($A44,[1]!LOOKUP_SARS_Unified2,C$2,FALSE)</f>
        <v>-1.6E-2</v>
      </c>
      <c r="D44" s="32">
        <f t="shared" ca="1" si="1"/>
        <v>-28.408198304539113</v>
      </c>
      <c r="E44" s="35">
        <f ca="1">VLOOKUP($A44,[1]!LOOKUP_SARS_Unified2,E$2,FALSE)</f>
        <v>1775.5123940336946</v>
      </c>
      <c r="F44" s="4"/>
      <c r="G44" s="12"/>
      <c r="H44" s="12"/>
      <c r="I44" s="12"/>
      <c r="J44" s="1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</row>
    <row r="45" spans="1:68" x14ac:dyDescent="0.25">
      <c r="A45" s="92" t="s">
        <v>14</v>
      </c>
      <c r="B45" s="4" t="str">
        <f>IF(VLOOKUP($A45,[1]!LOOKUP_Key_Information2,B$2,FALSE)&lt;&gt;0,VLOOKUP($A45,[1]!LOOKUP_Key_Information2,'Service-Scatter'!B$2,FALSE),"")</f>
        <v>Army</v>
      </c>
      <c r="C45" s="3">
        <f ca="1">VLOOKUP($A45,[1]!LOOKUP_SARS_Unified2,C$2,FALSE)</f>
        <v>0.20899999999999999</v>
      </c>
      <c r="D45" s="32">
        <f t="shared" ca="1" si="1"/>
        <v>377.49982851263286</v>
      </c>
      <c r="E45" s="35">
        <f ca="1">VLOOKUP($A45,[1]!LOOKUP_SARS_Unified2,E$2,FALSE)</f>
        <v>1806.2192751800617</v>
      </c>
      <c r="F45" s="4"/>
      <c r="G45" s="12"/>
      <c r="H45" s="12"/>
      <c r="I45" s="12"/>
      <c r="J45" s="1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x14ac:dyDescent="0.25">
      <c r="A46" s="104" t="s">
        <v>218</v>
      </c>
      <c r="B46" s="4" t="str">
        <f>IF(VLOOKUP($A46,[1]!LOOKUP_Key_Information2,B$2,FALSE)&lt;&gt;0,VLOOKUP($A46,[1]!LOOKUP_Key_Information2,'Service-Scatter'!B$2,FALSE),"")</f>
        <v>Army</v>
      </c>
      <c r="C46" s="3">
        <f ca="1">VLOOKUP($A46,[1]!LOOKUP_SARS_Unified2,C$2,FALSE)</f>
        <v>0.44500000000000001</v>
      </c>
      <c r="D46" s="32">
        <f t="shared" ca="1" si="1"/>
        <v>41919.118537353184</v>
      </c>
      <c r="E46" s="35">
        <f ca="1">VLOOKUP($A46,[1]!LOOKUP_SARS_Unified2,E$2,FALSE)</f>
        <v>94200.266376074578</v>
      </c>
      <c r="F46" s="4"/>
      <c r="G46" s="12"/>
      <c r="H46" s="12"/>
      <c r="I46" s="12"/>
      <c r="J46" s="1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x14ac:dyDescent="0.25">
      <c r="A47" s="92" t="s">
        <v>7</v>
      </c>
      <c r="B47" s="4" t="str">
        <f>IF(VLOOKUP($A47,[1]!LOOKUP_Key_Information2,B$2,FALSE)&lt;&gt;0,VLOOKUP($A47,[1]!LOOKUP_Key_Information2,'Service-Scatter'!B$2,FALSE),"")</f>
        <v>Army</v>
      </c>
      <c r="C47" s="3">
        <f ca="1">VLOOKUP($A47,[1]!LOOKUP_SARS_Unified2,C$2,FALSE)</f>
        <v>0.252</v>
      </c>
      <c r="D47" s="32">
        <f t="shared" ca="1" si="1"/>
        <v>4004.0268603535706</v>
      </c>
      <c r="E47" s="35">
        <f ca="1">VLOOKUP($A47,[1]!LOOKUP_SARS_Unified2,E$2,FALSE)</f>
        <v>15888.995477593533</v>
      </c>
      <c r="F47" s="4"/>
      <c r="G47" s="12"/>
      <c r="H47" s="12"/>
      <c r="I47" s="12"/>
      <c r="J47" s="1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x14ac:dyDescent="0.25">
      <c r="A48" s="92" t="s">
        <v>53</v>
      </c>
      <c r="B48" s="4" t="str">
        <f>IF(VLOOKUP($A48,[1]!LOOKUP_Key_Information2,B$2,FALSE)&lt;&gt;0,VLOOKUP($A48,[1]!LOOKUP_Key_Information2,'Service-Scatter'!B$2,FALSE),"")</f>
        <v>Army</v>
      </c>
      <c r="C48" s="3">
        <f ca="1">VLOOKUP($A48,[1]!LOOKUP_SARS_Unified2,C$2,FALSE)</f>
        <v>0.25800000000000001</v>
      </c>
      <c r="D48" s="32">
        <f t="shared" ca="1" si="1"/>
        <v>3055.202324736651</v>
      </c>
      <c r="E48" s="35">
        <f ca="1">VLOOKUP($A48,[1]!LOOKUP_SARS_Unified2,E$2,FALSE)</f>
        <v>11841.869475723453</v>
      </c>
      <c r="F48" s="4"/>
      <c r="G48" s="12"/>
      <c r="H48" s="12"/>
      <c r="I48" s="12"/>
      <c r="J48" s="1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x14ac:dyDescent="0.25">
      <c r="A49" s="92" t="s">
        <v>3</v>
      </c>
      <c r="B49" s="4" t="str">
        <f>IF(VLOOKUP($A49,[1]!LOOKUP_Key_Information2,B$2,FALSE)&lt;&gt;0,VLOOKUP($A49,[1]!LOOKUP_Key_Information2,'Service-Scatter'!B$2,FALSE),"")</f>
        <v>Army</v>
      </c>
      <c r="C49" s="3">
        <f ca="1">VLOOKUP($A49,[1]!LOOKUP_SARS_Unified2,C$2,FALSE)</f>
        <v>-0.13</v>
      </c>
      <c r="D49" s="32">
        <f t="shared" ca="1" si="1"/>
        <v>-584.22084998183789</v>
      </c>
      <c r="E49" s="35">
        <f ca="1">VLOOKUP($A49,[1]!LOOKUP_SARS_Unified2,E$2,FALSE)</f>
        <v>4494.0065383218298</v>
      </c>
      <c r="F49" s="4"/>
      <c r="G49" s="12"/>
      <c r="H49" s="12"/>
      <c r="I49" s="12"/>
      <c r="J49" s="12"/>
      <c r="K49" s="1"/>
      <c r="L49" s="1"/>
      <c r="M49" s="1"/>
      <c r="N49" s="18"/>
      <c r="O49" s="40">
        <f ca="1">SUM(O51:O57)</f>
        <v>971434.98315439536</v>
      </c>
      <c r="P49" s="39">
        <f ca="1">SUM(P51:P57)</f>
        <v>-82347.16370636996</v>
      </c>
      <c r="Q49" s="18" t="s">
        <v>107</v>
      </c>
      <c r="R49" s="18"/>
      <c r="S49" s="18"/>
      <c r="T49" s="18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ht="15" customHeight="1" x14ac:dyDescent="0.25">
      <c r="A50" s="129" t="s">
        <v>179</v>
      </c>
      <c r="B50" s="130" t="str">
        <f>IF(VLOOKUP($A50,[1]!LOOKUP_Key_Information2,B$2,FALSE)&lt;&gt;0,VLOOKUP($A50,[1]!LOOKUP_Key_Information2,'Service-Scatter'!B$2,FALSE),"")</f>
        <v>Army</v>
      </c>
      <c r="C50" s="131">
        <f ca="1">VLOOKUP($A50,[1]!LOOKUP_SARS_Unified2,C$2,FALSE)</f>
        <v>-0.122</v>
      </c>
      <c r="D50" s="132">
        <f t="shared" ca="1" si="1"/>
        <v>-613.35942028985517</v>
      </c>
      <c r="E50" s="35">
        <f ca="1">VLOOKUP($A50,[1]!LOOKUP_SARS_Unified2,E$2,FALSE)</f>
        <v>5027.5362318840589</v>
      </c>
      <c r="F50" s="4"/>
      <c r="G50" s="12"/>
      <c r="H50" s="12"/>
      <c r="I50" s="12"/>
      <c r="J50" s="12"/>
      <c r="K50" s="1"/>
      <c r="L50" s="1"/>
      <c r="M50" s="1"/>
      <c r="N50" s="1"/>
      <c r="O50" s="18" t="s">
        <v>95</v>
      </c>
      <c r="P50" s="18" t="s">
        <v>94</v>
      </c>
      <c r="Q50" s="17" t="s">
        <v>106</v>
      </c>
      <c r="R50" s="22" t="s">
        <v>105</v>
      </c>
      <c r="S50" s="34" t="e">
        <f ca="1">SUM(S51:S57)</f>
        <v>#VALUE!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x14ac:dyDescent="0.25">
      <c r="A51" s="92" t="s">
        <v>5</v>
      </c>
      <c r="B51" s="4" t="str">
        <f>IF(VLOOKUP($A51,[1]!LOOKUP_Key_Information2,B$2,FALSE)&lt;&gt;0,VLOOKUP($A51,[1]!LOOKUP_Key_Information2,'Service-Scatter'!B$2,FALSE),"")</f>
        <v>Army</v>
      </c>
      <c r="C51" s="3">
        <f ca="1">VLOOKUP($A51,[1]!LOOKUP_SARS_Unified2,C$2,FALSE)</f>
        <v>-0.12</v>
      </c>
      <c r="D51" s="32">
        <f t="shared" ca="1" si="1"/>
        <v>-468.10172765318168</v>
      </c>
      <c r="E51" s="35">
        <f ca="1">VLOOKUP($A51,[1]!LOOKUP_SARS_Unified2,E$2,FALSE)</f>
        <v>3900.8477304431808</v>
      </c>
      <c r="F51" s="4"/>
      <c r="G51" s="12"/>
      <c r="H51" s="12"/>
      <c r="I51" s="12"/>
      <c r="J51" s="12"/>
      <c r="K51" s="1"/>
      <c r="L51" s="1"/>
      <c r="M51" s="1"/>
      <c r="N51" s="9" t="s">
        <v>103</v>
      </c>
      <c r="O51" s="13">
        <f ca="1">SUMIFS(Service_Overrun_Dollars,Service_Service,$N51,Service_Overrun_Dollars,"&gt;=0")</f>
        <v>693135.66713125643</v>
      </c>
      <c r="P51" s="13">
        <f ca="1">SUMIFS(Service_Overrun_Dollars,Service_Service,$N51,Service_Overrun_Dollars,"&lt;0")</f>
        <v>-19249.26107547561</v>
      </c>
      <c r="Q51" s="37" t="e">
        <f ca="1">SUM(O51:P51)/S51</f>
        <v>#VALUE!</v>
      </c>
      <c r="R51" s="37">
        <f ca="1">SUMIF(Service_Service,$N51,Service_Overrun_Percentage)/COUNTIF(Service_Service,$N51)</f>
        <v>2.8351071428571428</v>
      </c>
      <c r="S51" s="36" t="e">
        <f ca="1">F4</f>
        <v>#VALUE!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x14ac:dyDescent="0.25">
      <c r="A52" s="92" t="s">
        <v>219</v>
      </c>
      <c r="B52" s="4" t="str">
        <f>IF(VLOOKUP($A52,[1]!LOOKUP_Key_Information2,B$2,FALSE)&lt;&gt;0,VLOOKUP($A52,[1]!LOOKUP_Key_Information2,'Service-Scatter'!B$2,FALSE),"")</f>
        <v>Army</v>
      </c>
      <c r="C52" s="3">
        <f ca="1">VLOOKUP($A52,[1]!LOOKUP_SARS_Unified2,C$2,FALSE)</f>
        <v>-0.70599999999999996</v>
      </c>
      <c r="D52" s="32">
        <f t="shared" ca="1" si="1"/>
        <v>-5643.166096092551</v>
      </c>
      <c r="E52" s="35">
        <f ca="1">VLOOKUP($A52,[1]!LOOKUP_SARS_Unified2,E$2,FALSE)</f>
        <v>7993.1531106126786</v>
      </c>
      <c r="F52" s="4"/>
      <c r="G52" s="12"/>
      <c r="H52" s="12"/>
      <c r="I52" s="12"/>
      <c r="J52" s="12"/>
      <c r="K52" s="1"/>
      <c r="L52" s="1"/>
      <c r="M52" s="1"/>
      <c r="N52" s="9" t="s">
        <v>102</v>
      </c>
      <c r="O52" s="13">
        <f ca="1">SUMIFS(Service_Overrun_Dollars,Service_Service,$N52,Service_Overrun_Dollars,"&gt;=0")</f>
        <v>68590.05229690671</v>
      </c>
      <c r="P52" s="13">
        <f ca="1">SUMIFS(Service_Overrun_Dollars,Service_Service,$N52,Service_Overrun_Dollars,"&lt;0")</f>
        <v>-10114.502271348771</v>
      </c>
      <c r="Q52" s="37" t="e">
        <f ca="1">SUM(O52:P52)/S52</f>
        <v>#VALUE!</v>
      </c>
      <c r="R52" s="37">
        <f ca="1">SUMIF(Service_Service,$N52,Service_Overrun_Percentage)/COUNTIF(Service_Service,$N52)</f>
        <v>0.14660526315789474</v>
      </c>
      <c r="S52" s="36" t="e">
        <f ca="1">F5</f>
        <v>#VALUE!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x14ac:dyDescent="0.25">
      <c r="A53" s="92" t="s">
        <v>78</v>
      </c>
      <c r="B53" s="4" t="str">
        <f>IF(VLOOKUP($A53,[1]!LOOKUP_Key_Information2,B$2,FALSE)&lt;&gt;0,VLOOKUP($A53,[1]!LOOKUP_Key_Information2,'Service-Scatter'!B$2,FALSE),"")</f>
        <v>Army</v>
      </c>
      <c r="C53" s="3">
        <f ca="1">VLOOKUP($A53,[1]!LOOKUP_SARS_Unified2,C$2,FALSE)</f>
        <v>-0.222</v>
      </c>
      <c r="D53" s="32">
        <f t="shared" ca="1" si="1"/>
        <v>-1484.7376243283411</v>
      </c>
      <c r="E53" s="35">
        <f ca="1">VLOOKUP($A53,[1]!LOOKUP_SARS_Unified2,E$2,FALSE)</f>
        <v>6688.0073167943292</v>
      </c>
      <c r="F53" s="4"/>
      <c r="G53" s="12"/>
      <c r="H53" s="12"/>
      <c r="I53" s="12"/>
      <c r="J53" s="12"/>
      <c r="K53" s="1"/>
      <c r="L53" s="1"/>
      <c r="M53" s="1"/>
      <c r="N53" s="9" t="s">
        <v>104</v>
      </c>
      <c r="O53" s="13">
        <f ca="1">SUMIFS(Service_Overrun_Dollars,Service_Service,$N53,Service_Overrun_Dollars,"&gt;=0")</f>
        <v>72025.430292776437</v>
      </c>
      <c r="P53" s="13">
        <f ca="1">SUMIFS(Service_Overrun_Dollars,Service_Service,$N53,Service_Overrun_Dollars,"&lt;0")</f>
        <v>-38478.950992672966</v>
      </c>
      <c r="Q53" s="37" t="e">
        <f ca="1">SUM(O53:P53)/S53</f>
        <v>#VALUE!</v>
      </c>
      <c r="R53" s="37">
        <f ca="1">SUMIF(Service_Service,$N53,Service_Overrun_Percentage)/COUNTIF(Service_Service,$N53)</f>
        <v>-0.48899999999999999</v>
      </c>
      <c r="S53" s="36" t="e">
        <f ca="1">F6</f>
        <v>#VALUE!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x14ac:dyDescent="0.25">
      <c r="A54" s="92" t="s">
        <v>221</v>
      </c>
      <c r="B54" s="4" t="str">
        <f>IF(VLOOKUP($A54,[1]!LOOKUP_Key_Information2,B$2,FALSE)&lt;&gt;0,VLOOKUP($A54,[1]!LOOKUP_Key_Information2,'Service-Scatter'!B$2,FALSE),"")</f>
        <v>Army</v>
      </c>
      <c r="C54" s="3">
        <f ca="1">VLOOKUP($A54,[1]!LOOKUP_SARS_Unified2,C$2,FALSE)</f>
        <v>-0.90400000000000003</v>
      </c>
      <c r="D54" s="32">
        <f t="shared" ca="1" si="1"/>
        <v>-2683.3224361302823</v>
      </c>
      <c r="E54" s="35">
        <f ca="1">VLOOKUP($A54,[1]!LOOKUP_SARS_Unified2,E$2,FALSE)</f>
        <v>2968.2770311175686</v>
      </c>
      <c r="F54" s="4"/>
      <c r="G54" s="12"/>
      <c r="H54" s="12"/>
      <c r="I54" s="12"/>
      <c r="J54" s="12"/>
      <c r="K54" s="1"/>
      <c r="L54" s="1"/>
      <c r="M54" s="1"/>
      <c r="N54" s="38" t="s">
        <v>101</v>
      </c>
      <c r="O54" s="13">
        <f ca="1">SUMIFS(Service_Overrun_Dollars,Service_Service,$N54,Service_Overrun_Dollars,"&gt;=0")</f>
        <v>137683.83343345582</v>
      </c>
      <c r="P54" s="13">
        <f ca="1">SUMIFS(Service_Overrun_Dollars,Service_Service,$N54,Service_Overrun_Dollars,"&lt;0")</f>
        <v>-14504.449366872606</v>
      </c>
      <c r="Q54" s="37">
        <f ca="1">SUM(O54:P54)/S54</f>
        <v>0.44020694529750742</v>
      </c>
      <c r="R54" s="37">
        <f ca="1">SUMIF(Service_Service,$N54,Service_Overrun_Percentage)/COUNTIF(Service_Service,$N54)</f>
        <v>0.40460000000000002</v>
      </c>
      <c r="S54" s="36">
        <f ca="1">F7</f>
        <v>279821.5370803253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x14ac:dyDescent="0.25">
      <c r="A55" s="92" t="s">
        <v>245</v>
      </c>
      <c r="B55" s="4" t="str">
        <f>IF(VLOOKUP($A55,[1]!LOOKUP_Key_Information2,B$2,FALSE)&lt;&gt;0,VLOOKUP($A55,[1]!LOOKUP_Key_Information2,'Service-Scatter'!B$2,FALSE),"")</f>
        <v>Army</v>
      </c>
      <c r="C55" s="3">
        <f ca="1">VLOOKUP($A55,[1]!LOOKUP_SARS_Unified2,C$2,FALSE)</f>
        <v>80.599999999999994</v>
      </c>
      <c r="D55" s="32">
        <f t="shared" ca="1" si="1"/>
        <v>628562.91626695904</v>
      </c>
      <c r="E55" s="35">
        <f ca="1">VLOOKUP($A55,[1]!LOOKUP_SARS_Unified2,E$2,FALSE)</f>
        <v>7798.5473482252983</v>
      </c>
      <c r="F55" s="4"/>
      <c r="G55" s="12"/>
      <c r="H55" s="12"/>
      <c r="I55" s="12"/>
      <c r="J55" s="1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x14ac:dyDescent="0.25">
      <c r="A56" s="92" t="s">
        <v>58</v>
      </c>
      <c r="B56" s="4" t="str">
        <f>IF(VLOOKUP($A56,[1]!LOOKUP_Key_Information2,B$2,FALSE)&lt;&gt;0,VLOOKUP($A56,[1]!LOOKUP_Key_Information2,'Service-Scatter'!B$2,FALSE),"")</f>
        <v>Army</v>
      </c>
      <c r="C56" s="3">
        <f ca="1">VLOOKUP($A56,[1]!LOOKUP_SARS_Unified2,C$2,FALSE)</f>
        <v>2.6000000000000002E-2</v>
      </c>
      <c r="D56" s="32">
        <f t="shared" ca="1" si="1"/>
        <v>47.082789875096722</v>
      </c>
      <c r="E56" s="35">
        <f ca="1">VLOOKUP($A56,[1]!LOOKUP_SARS_Unified2,E$2,FALSE)</f>
        <v>1810.8765336575661</v>
      </c>
      <c r="F56" s="4"/>
      <c r="G56" s="12"/>
      <c r="H56" s="12"/>
      <c r="I56" s="12"/>
      <c r="J56" s="1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x14ac:dyDescent="0.25">
      <c r="A57" s="92" t="s">
        <v>38</v>
      </c>
      <c r="B57" s="4" t="e">
        <f>IF(VLOOKUP($A57,[1]!LOOKUP_Key_Information2,B$2,FALSE)&lt;&gt;0,VLOOKUP($A57,[1]!LOOKUP_Key_Information2,'Service-Scatter'!B$2,FALSE),"")</f>
        <v>#N/A</v>
      </c>
      <c r="C57" s="3" t="e">
        <f>VLOOKUP($A57,[1]!LOOKUP_SARS_Unified2,C$2,FALSE)</f>
        <v>#N/A</v>
      </c>
      <c r="D57" s="32" t="e">
        <f t="shared" si="1"/>
        <v>#N/A</v>
      </c>
      <c r="E57" s="35" t="e">
        <f>VLOOKUP($A57,[1]!LOOKUP_SARS_Unified2,E$2,FALSE)</f>
        <v>#N/A</v>
      </c>
      <c r="F57" s="4"/>
      <c r="G57" s="12"/>
      <c r="H57" s="12"/>
      <c r="I57" s="12"/>
      <c r="J57" s="1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x14ac:dyDescent="0.25">
      <c r="A58" s="92" t="s">
        <v>77</v>
      </c>
      <c r="B58" s="4" t="str">
        <f>IF(VLOOKUP($A58,[1]!LOOKUP_Key_Information2,B$2,FALSE)&lt;&gt;0,VLOOKUP($A58,[1]!LOOKUP_Key_Information2,'Service-Scatter'!B$2,FALSE),"")</f>
        <v>Army</v>
      </c>
      <c r="C58" s="3">
        <f ca="1">VLOOKUP($A58,[1]!LOOKUP_SARS_Unified2,C$2,FALSE)</f>
        <v>-4.0999999999999995E-2</v>
      </c>
      <c r="D58" s="32">
        <f t="shared" ca="1" si="1"/>
        <v>-1101.1774288749853</v>
      </c>
      <c r="E58" s="35">
        <f ca="1">VLOOKUP($A58,[1]!LOOKUP_SARS_Unified2,E$2,FALSE)</f>
        <v>26857.986070121595</v>
      </c>
      <c r="F58" s="4"/>
      <c r="G58" s="12"/>
      <c r="H58" s="12"/>
      <c r="I58" s="12"/>
      <c r="J58" s="1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x14ac:dyDescent="0.25">
      <c r="A59" s="92" t="s">
        <v>40</v>
      </c>
      <c r="B59" s="4" t="str">
        <f>IF(VLOOKUP($A59,[1]!LOOKUP_Key_Information2,B$2,FALSE)&lt;&gt;0,VLOOKUP($A59,[1]!LOOKUP_Key_Information2,'Service-Scatter'!B$2,FALSE),"")</f>
        <v>Army</v>
      </c>
      <c r="C59" s="3">
        <f ca="1">VLOOKUP($A59,[1]!LOOKUP_SARS_Unified2,C$2,FALSE)</f>
        <v>0.02</v>
      </c>
      <c r="D59" s="32">
        <f t="shared" ca="1" si="1"/>
        <v>195.41730610317555</v>
      </c>
      <c r="E59" s="35">
        <f ca="1">VLOOKUP($A59,[1]!LOOKUP_SARS_Unified2,E$2,FALSE)</f>
        <v>9770.8653051587771</v>
      </c>
      <c r="F59" s="4"/>
      <c r="G59" s="12"/>
      <c r="H59" s="12"/>
      <c r="I59" s="12"/>
      <c r="J59" s="12"/>
      <c r="K59" s="1"/>
      <c r="L59" s="1"/>
      <c r="M59" s="1"/>
      <c r="N59" s="12"/>
      <c r="O59" s="12"/>
      <c r="P59" s="1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x14ac:dyDescent="0.25">
      <c r="A60" t="s">
        <v>49</v>
      </c>
      <c r="B60" s="4" t="str">
        <f>IF(VLOOKUP($A60,[1]!LOOKUP_Key_Information2,B$2,FALSE)&lt;&gt;0,VLOOKUP($A60,[1]!LOOKUP_Key_Information2,'Service-Scatter'!B$2,FALSE),"")</f>
        <v>Army</v>
      </c>
      <c r="C60" s="3">
        <f ca="1">VLOOKUP($A60,[1]!LOOKUP_SARS_Unified2,C$2,FALSE)</f>
        <v>0.127</v>
      </c>
      <c r="D60" s="32">
        <f t="shared" ca="1" si="1"/>
        <v>2439.4831370755687</v>
      </c>
      <c r="E60" s="35">
        <f ca="1">VLOOKUP($A60,[1]!LOOKUP_SARS_Unified2,E$2,FALSE)</f>
        <v>19208.528638390304</v>
      </c>
      <c r="F60" s="4"/>
      <c r="G60" s="12"/>
      <c r="H60" s="12"/>
      <c r="I60" s="12"/>
      <c r="J60" s="1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x14ac:dyDescent="0.25">
      <c r="A61" t="s">
        <v>43</v>
      </c>
      <c r="B61" s="4" t="str">
        <f>IF(VLOOKUP($A61,[1]!LOOKUP_Key_Information2,B$2,FALSE)&lt;&gt;0,VLOOKUP($A61,[1]!LOOKUP_Key_Information2,'Service-Scatter'!B$2,FALSE),"")</f>
        <v>Army</v>
      </c>
      <c r="C61" s="3">
        <f ca="1">VLOOKUP($A61,[1]!LOOKUP_SARS_Unified2,C$2,FALSE)</f>
        <v>2.1000000000000001E-2</v>
      </c>
      <c r="D61" s="32">
        <f t="shared" ca="1" si="1"/>
        <v>85.586436312909129</v>
      </c>
      <c r="E61" s="35">
        <f ca="1">VLOOKUP($A61,[1]!LOOKUP_SARS_Unified2,E$2,FALSE)</f>
        <v>4075.5445863290056</v>
      </c>
      <c r="F61" s="4"/>
      <c r="G61" s="12"/>
      <c r="H61" s="12"/>
      <c r="I61" s="12"/>
      <c r="J61" s="1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x14ac:dyDescent="0.25">
      <c r="A62" t="s">
        <v>57</v>
      </c>
      <c r="B62" s="4" t="str">
        <f>IF(VLOOKUP($A62,[1]!LOOKUP_Key_Information2,B$2,FALSE)&lt;&gt;0,VLOOKUP($A62,[1]!LOOKUP_Key_Information2,'Service-Scatter'!B$2,FALSE),"")</f>
        <v>Army</v>
      </c>
      <c r="C62" s="3">
        <f ca="1">VLOOKUP($A62,[1]!LOOKUP_SARS_Unified2,C$2,FALSE)</f>
        <v>6.2E-2</v>
      </c>
      <c r="D62" s="32">
        <f t="shared" ca="1" si="1"/>
        <v>298.50200349327031</v>
      </c>
      <c r="E62" s="35">
        <f ca="1">VLOOKUP($A62,[1]!LOOKUP_SARS_Unified2,E$2,FALSE)</f>
        <v>4814.548443439844</v>
      </c>
      <c r="F62" s="4"/>
      <c r="G62" s="12"/>
      <c r="H62" s="12"/>
      <c r="I62" s="12"/>
      <c r="J62" s="1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x14ac:dyDescent="0.25">
      <c r="A63" t="s">
        <v>185</v>
      </c>
      <c r="B63" s="4" t="str">
        <f>IF(VLOOKUP($A63,[1]!LOOKUP_Key_Information2,B$2,FALSE)&lt;&gt;0,VLOOKUP($A63,[1]!LOOKUP_Key_Information2,'Service-Scatter'!B$2,FALSE),"")</f>
        <v>Army</v>
      </c>
      <c r="C63" s="3">
        <f ca="1">VLOOKUP($A63,[1]!LOOKUP_SARS_Unified2,C$2,FALSE)</f>
        <v>-0.19500000000000001</v>
      </c>
      <c r="D63" s="32">
        <f t="shared" ca="1" si="1"/>
        <v>-3191.0357142857142</v>
      </c>
      <c r="E63" s="35">
        <f ca="1">VLOOKUP($A63,[1]!LOOKUP_SARS_Unified2,E$2,FALSE)</f>
        <v>16364.285714285714</v>
      </c>
      <c r="F63" s="4"/>
      <c r="G63" s="12"/>
      <c r="H63" s="12"/>
      <c r="I63" s="12"/>
      <c r="J63" s="1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x14ac:dyDescent="0.25">
      <c r="A64" s="92" t="s">
        <v>174</v>
      </c>
      <c r="B64" s="4" t="str">
        <f>IF(VLOOKUP($A64,[1]!LOOKUP_Key_Information2,B$2,FALSE)&lt;&gt;0,VLOOKUP($A64,[1]!LOOKUP_Key_Information2,'Service-Scatter'!B$2,FALSE),"")</f>
        <v>DoD-wide</v>
      </c>
      <c r="C64" s="3">
        <f ca="1">VLOOKUP($A64,[1]!LOOKUP_SARS_Unified2,C$2,FALSE)</f>
        <v>-0.191</v>
      </c>
      <c r="D64" s="32">
        <f t="shared" ca="1" si="1"/>
        <v>-1554.4871499003461</v>
      </c>
      <c r="E64" s="35">
        <f ca="1">VLOOKUP($A64,[1]!LOOKUP_SARS_Unified2,E$2,FALSE)</f>
        <v>8138.6761774887236</v>
      </c>
      <c r="F64" s="4"/>
      <c r="G64" s="12"/>
      <c r="H64" s="12"/>
      <c r="I64" s="12"/>
      <c r="J64" s="1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x14ac:dyDescent="0.25">
      <c r="A65" s="92" t="s">
        <v>47</v>
      </c>
      <c r="B65" s="4" t="str">
        <f>IF(VLOOKUP($A65,[1]!LOOKUP_Key_Information2,B$2,FALSE)&lt;&gt;0,VLOOKUP($A65,[1]!LOOKUP_Key_Information2,'Service-Scatter'!B$2,FALSE),"")</f>
        <v>DoD-wide</v>
      </c>
      <c r="C65" s="3">
        <f ca="1">VLOOKUP($A65,[1]!LOOKUP_SARS_Unified2,C$2,FALSE)</f>
        <v>2.8439999999999999</v>
      </c>
      <c r="D65" s="32">
        <f t="shared" ca="1" si="1"/>
        <v>7486.4414478353447</v>
      </c>
      <c r="E65" s="35">
        <f ca="1">VLOOKUP($A65,[1]!LOOKUP_SARS_Unified2,E$2,FALSE)</f>
        <v>2632.36337828247</v>
      </c>
      <c r="F65" s="4"/>
      <c r="G65" s="12"/>
      <c r="H65" s="12"/>
      <c r="I65" s="12"/>
      <c r="J65" s="1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x14ac:dyDescent="0.25">
      <c r="A66" s="92" t="s">
        <v>55</v>
      </c>
      <c r="B66" s="4" t="str">
        <f>IF(VLOOKUP($A66,[1]!LOOKUP_Key_Information2,B$2,FALSE)&lt;&gt;0,VLOOKUP($A66,[1]!LOOKUP_Key_Information2,'Service-Scatter'!B$2,FALSE),"")</f>
        <v>DoD-wide</v>
      </c>
      <c r="C66" s="3">
        <f ca="1">VLOOKUP($A66,[1]!LOOKUP_SARS_Unified2,C$2,FALSE)</f>
        <v>0.80200000000000005</v>
      </c>
      <c r="D66" s="32">
        <f t="shared" ca="1" si="1"/>
        <v>13172.59258202568</v>
      </c>
      <c r="E66" s="35">
        <f ca="1">VLOOKUP($A66,[1]!LOOKUP_SARS_Unified2,E$2,FALSE)</f>
        <v>16424.679029957206</v>
      </c>
      <c r="F66" s="4"/>
      <c r="G66" s="12"/>
      <c r="H66" s="12"/>
      <c r="I66" s="12"/>
      <c r="J66" s="1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x14ac:dyDescent="0.25">
      <c r="A67" s="92" t="s">
        <v>216</v>
      </c>
      <c r="B67" s="4" t="str">
        <f>IF(VLOOKUP($A67,[1]!LOOKUP_Key_Information2,B$2,FALSE)&lt;&gt;0,VLOOKUP($A67,[1]!LOOKUP_Key_Information2,'Service-Scatter'!B$2,FALSE),"")</f>
        <v>DoD-wide</v>
      </c>
      <c r="C67" s="3">
        <f ca="1">VLOOKUP($A67,[1]!LOOKUP_SARS_Unified2,C$2,FALSE)</f>
        <v>-0.10300000000000001</v>
      </c>
      <c r="D67" s="32">
        <f t="shared" ca="1" si="1"/>
        <v>-104.72421933683873</v>
      </c>
      <c r="E67" s="35">
        <f ca="1">VLOOKUP($A67,[1]!LOOKUP_SARS_Unified2,E$2,FALSE)</f>
        <v>1016.739993561541</v>
      </c>
      <c r="F67" s="4"/>
      <c r="G67" s="12"/>
      <c r="H67" s="12"/>
      <c r="I67" s="12"/>
      <c r="J67" s="1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x14ac:dyDescent="0.25">
      <c r="A68" s="104" t="s">
        <v>10</v>
      </c>
      <c r="B68" s="4" t="str">
        <f>IF(VLOOKUP($A68,[1]!LOOKUP_Key_Information2,B$2,FALSE)&lt;&gt;0,VLOOKUP($A68,[1]!LOOKUP_Key_Information2,'Service-Scatter'!B$2,FALSE),"")</f>
        <v>DoD-wide</v>
      </c>
      <c r="C68" s="3">
        <f ca="1">VLOOKUP($A68,[1]!LOOKUP_SARS_Unified2,C$2,FALSE)</f>
        <v>0.52800000000000002</v>
      </c>
      <c r="D68" s="32">
        <f t="shared" ca="1" si="1"/>
        <v>115585.66131025959</v>
      </c>
      <c r="E68" s="35">
        <f ca="1">VLOOKUP($A68,[1]!LOOKUP_SARS_Unified2,E$2,FALSE)</f>
        <v>218912.23733003708</v>
      </c>
      <c r="F68" s="4"/>
      <c r="G68" s="12"/>
      <c r="H68" s="12"/>
      <c r="I68" s="12"/>
      <c r="J68" s="1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x14ac:dyDescent="0.25">
      <c r="A69" s="92" t="s">
        <v>220</v>
      </c>
      <c r="B69" s="4" t="str">
        <f>IF(VLOOKUP($A69,[1]!LOOKUP_Key_Information2,B$2,FALSE)&lt;&gt;0,VLOOKUP($A69,[1]!LOOKUP_Key_Information2,'Service-Scatter'!B$2,FALSE),"")</f>
        <v>DoD-wide</v>
      </c>
      <c r="C69" s="3">
        <f ca="1">VLOOKUP($A69,[1]!LOOKUP_SARS_Unified2,C$2,FALSE)</f>
        <v>-0.27399999999999997</v>
      </c>
      <c r="D69" s="32">
        <f t="shared" ca="1" si="1"/>
        <v>-441.20919713531839</v>
      </c>
      <c r="E69" s="35">
        <f ca="1">VLOOKUP($A69,[1]!LOOKUP_SARS_Unified2,E$2,FALSE)</f>
        <v>1610.2525442894835</v>
      </c>
      <c r="F69" s="4"/>
      <c r="G69" s="12"/>
      <c r="H69" s="12"/>
      <c r="I69" s="12"/>
      <c r="J69" s="1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x14ac:dyDescent="0.25">
      <c r="A70" s="92" t="s">
        <v>68</v>
      </c>
      <c r="B70" s="4" t="str">
        <f>IF(VLOOKUP($A70,[1]!LOOKUP_Key_Information2,B$2,FALSE)&lt;&gt;0,VLOOKUP($A70,[1]!LOOKUP_Key_Information2,'Service-Scatter'!B$2,FALSE),"")</f>
        <v>DoD-wide</v>
      </c>
      <c r="C70" s="3">
        <f ca="1">VLOOKUP($A70,[1]!LOOKUP_SARS_Unified2,C$2,FALSE)</f>
        <v>-0.54</v>
      </c>
      <c r="D70" s="32">
        <f t="shared" ca="1" si="1"/>
        <v>-9636.6971569839297</v>
      </c>
      <c r="E70" s="35">
        <f ca="1">VLOOKUP($A70,[1]!LOOKUP_SARS_Unified2,E$2,FALSE)</f>
        <v>17845.735475896166</v>
      </c>
      <c r="F70" s="4"/>
      <c r="G70" s="12"/>
      <c r="H70" s="12"/>
      <c r="I70" s="12"/>
      <c r="J70" s="1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x14ac:dyDescent="0.25">
      <c r="A71" s="92" t="s">
        <v>76</v>
      </c>
      <c r="B71" s="4" t="str">
        <f>IF(VLOOKUP($A71,[1]!LOOKUP_Key_Information2,B$2,FALSE)&lt;&gt;0,VLOOKUP($A71,[1]!LOOKUP_Key_Information2,'Service-Scatter'!B$2,FALSE),"")</f>
        <v>DoD-wide</v>
      </c>
      <c r="C71" s="3">
        <f ca="1">VLOOKUP($A71,[1]!LOOKUP_SARS_Unified2,C$2,FALSE)</f>
        <v>-0.27600000000000002</v>
      </c>
      <c r="D71" s="32">
        <f t="shared" ca="1" si="1"/>
        <v>-2767.3316435161723</v>
      </c>
      <c r="E71" s="35">
        <f ca="1">VLOOKUP($A71,[1]!LOOKUP_SARS_Unified2,E$2,FALSE)</f>
        <v>10026.563925783232</v>
      </c>
      <c r="F71" s="4"/>
      <c r="G71" s="12"/>
      <c r="H71" s="12"/>
      <c r="I71" s="12"/>
      <c r="J71" s="1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x14ac:dyDescent="0.25">
      <c r="A72" s="92" t="s">
        <v>70</v>
      </c>
      <c r="B72" s="4" t="str">
        <f>IF(VLOOKUP($A72,[1]!LOOKUP_Key_Information2,B$2,FALSE)&lt;&gt;0,VLOOKUP($A72,[1]!LOOKUP_Key_Information2,'Service-Scatter'!B$2,FALSE),"")</f>
        <v>DoD-wide</v>
      </c>
      <c r="C72" s="3">
        <f ca="1">VLOOKUP($A72,[1]!LOOKUP_SARS_Unified2,C$2,FALSE)</f>
        <v>1.109</v>
      </c>
      <c r="D72" s="32">
        <f t="shared" ca="1" si="1"/>
        <v>1114.3462299134733</v>
      </c>
      <c r="E72" s="35">
        <f ca="1">VLOOKUP($A72,[1]!LOOKUP_SARS_Unified2,E$2,FALSE)</f>
        <v>1004.8207663782447</v>
      </c>
      <c r="F72" s="4"/>
      <c r="G72" s="12"/>
      <c r="H72" s="12"/>
      <c r="I72" s="12"/>
      <c r="J72" s="1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x14ac:dyDescent="0.25">
      <c r="A73" s="92" t="s">
        <v>183</v>
      </c>
      <c r="B73" s="4" t="str">
        <f>IF(VLOOKUP($A73,[1]!LOOKUP_Key_Information2,B$2,FALSE)&lt;&gt;0,VLOOKUP($A73,[1]!LOOKUP_Key_Information2,'Service-Scatter'!B$2,FALSE),"")</f>
        <v>DoD-wide</v>
      </c>
      <c r="C73" s="3">
        <f ca="1">VLOOKUP($A73,[1]!LOOKUP_SARS_Unified2,C$2,FALSE)</f>
        <v>0.14699999999999999</v>
      </c>
      <c r="D73" s="32">
        <f t="shared" ref="D73:D111" ca="1" si="2">C73*E73</f>
        <v>324.7918634217217</v>
      </c>
      <c r="E73" s="35">
        <f ca="1">VLOOKUP($A73,[1]!LOOKUP_SARS_Unified2,E$2,FALSE)</f>
        <v>2209.468458651168</v>
      </c>
      <c r="F73" s="4"/>
      <c r="G73" s="12"/>
      <c r="H73" s="12"/>
      <c r="I73" s="12"/>
      <c r="J73" s="1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x14ac:dyDescent="0.25">
      <c r="A74" s="92" t="s">
        <v>18</v>
      </c>
      <c r="B74" s="4" t="str">
        <f>IF(VLOOKUP($A74,[1]!LOOKUP_Key_Information2,B$2,FALSE)&lt;&gt;0,VLOOKUP($A74,[1]!LOOKUP_Key_Information2,'Service-Scatter'!B$2,FALSE),"")</f>
        <v>Navy</v>
      </c>
      <c r="C74" s="3">
        <f ca="1">VLOOKUP($A74,[1]!LOOKUP_SARS_Unified2,C$2,FALSE)</f>
        <v>7.8E-2</v>
      </c>
      <c r="D74" s="32">
        <f t="shared" ca="1" si="2"/>
        <v>144.35524881946967</v>
      </c>
      <c r="E74" s="35">
        <f ca="1">VLOOKUP($A74,[1]!LOOKUP_SARS_Unified2,E$2,FALSE)</f>
        <v>1850.7083181983289</v>
      </c>
      <c r="F74" s="4"/>
      <c r="G74" s="12"/>
      <c r="H74" s="12"/>
      <c r="I74" s="12"/>
      <c r="J74" s="1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x14ac:dyDescent="0.25">
      <c r="A75" s="92" t="s">
        <v>12</v>
      </c>
      <c r="B75" s="4" t="str">
        <f>IF(VLOOKUP($A75,[1]!LOOKUP_Key_Information2,B$2,FALSE)&lt;&gt;0,VLOOKUP($A75,[1]!LOOKUP_Key_Information2,'Service-Scatter'!B$2,FALSE),"")</f>
        <v>Navy</v>
      </c>
      <c r="C75" s="3">
        <f ca="1">VLOOKUP($A75,[1]!LOOKUP_SARS_Unified2,C$2,FALSE)</f>
        <v>0.187</v>
      </c>
      <c r="D75" s="32">
        <f t="shared" ca="1" si="2"/>
        <v>620.06190283945637</v>
      </c>
      <c r="E75" s="35">
        <f ca="1">VLOOKUP($A75,[1]!LOOKUP_SARS_Unified2,E$2,FALSE)</f>
        <v>3315.8390526174135</v>
      </c>
      <c r="F75" s="4"/>
      <c r="G75" s="12"/>
      <c r="H75" s="12"/>
      <c r="I75" s="12"/>
      <c r="J75" s="1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x14ac:dyDescent="0.25">
      <c r="A76" s="92" t="s">
        <v>176</v>
      </c>
      <c r="B76" s="4" t="str">
        <f>IF(VLOOKUP($A76,[1]!LOOKUP_Key_Information2,B$2,FALSE)&lt;&gt;0,VLOOKUP($A76,[1]!LOOKUP_Key_Information2,'Service-Scatter'!B$2,FALSE),"")</f>
        <v>Navy</v>
      </c>
      <c r="C76" s="3">
        <f ca="1">VLOOKUP($A76,[1]!LOOKUP_SARS_Unified2,C$2,FALSE)</f>
        <v>0.2</v>
      </c>
      <c r="D76" s="32">
        <f t="shared" ca="1" si="2"/>
        <v>2564.6700933599077</v>
      </c>
      <c r="E76" s="35">
        <f ca="1">VLOOKUP($A76,[1]!LOOKUP_SARS_Unified2,E$2,FALSE)</f>
        <v>12823.350466799538</v>
      </c>
      <c r="F76" s="4"/>
      <c r="G76" s="12"/>
      <c r="H76" s="12"/>
      <c r="I76" s="12"/>
      <c r="J76" s="1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x14ac:dyDescent="0.25">
      <c r="A77" s="92" t="s">
        <v>16</v>
      </c>
      <c r="B77" s="4" t="str">
        <f>IF(VLOOKUP($A77,[1]!LOOKUP_Key_Information2,B$2,FALSE)&lt;&gt;0,VLOOKUP($A77,[1]!LOOKUP_Key_Information2,'Service-Scatter'!B$2,FALSE),"")</f>
        <v>Navy</v>
      </c>
      <c r="C77" s="3">
        <f ca="1">VLOOKUP($A77,[1]!LOOKUP_SARS_Unified2,C$2,FALSE)</f>
        <v>0.11699999999999999</v>
      </c>
      <c r="D77" s="32">
        <f t="shared" ca="1" si="2"/>
        <v>596.32398022249686</v>
      </c>
      <c r="E77" s="35">
        <f ca="1">VLOOKUP($A77,[1]!LOOKUP_SARS_Unified2,E$2,FALSE)</f>
        <v>5096.7861557478363</v>
      </c>
      <c r="F77" s="4"/>
      <c r="G77" s="12"/>
      <c r="H77" s="12"/>
      <c r="I77" s="12"/>
      <c r="J77" s="1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x14ac:dyDescent="0.25">
      <c r="A78" s="92" t="s">
        <v>23</v>
      </c>
      <c r="B78" s="4" t="str">
        <f>IF(VLOOKUP($A78,[1]!LOOKUP_Key_Information2,B$2,FALSE)&lt;&gt;0,VLOOKUP($A78,[1]!LOOKUP_Key_Information2,'Service-Scatter'!B$2,FALSE),"")</f>
        <v>Navy</v>
      </c>
      <c r="C78" s="3">
        <f ca="1">VLOOKUP($A78,[1]!LOOKUP_SARS_Unified2,C$2,FALSE)</f>
        <v>0.17699999999999999</v>
      </c>
      <c r="D78" s="32">
        <f t="shared" ca="1" si="2"/>
        <v>2930.9376588924506</v>
      </c>
      <c r="E78" s="35">
        <f ca="1">VLOOKUP($A78,[1]!LOOKUP_SARS_Unified2,E$2,FALSE)</f>
        <v>16558.969824251133</v>
      </c>
      <c r="F78" s="4"/>
      <c r="G78" s="12"/>
      <c r="H78" s="12"/>
      <c r="I78" s="12"/>
      <c r="J78" s="1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x14ac:dyDescent="0.25">
      <c r="A79" s="92" t="s">
        <v>20</v>
      </c>
      <c r="B79" s="4" t="str">
        <f>IF(VLOOKUP($A79,[1]!LOOKUP_Key_Information2,B$2,FALSE)&lt;&gt;0,VLOOKUP($A79,[1]!LOOKUP_Key_Information2,'Service-Scatter'!B$2,FALSE),"")</f>
        <v>Navy</v>
      </c>
      <c r="C79" s="3">
        <f ca="1">VLOOKUP($A79,[1]!LOOKUP_SARS_Unified2,C$2,FALSE)</f>
        <v>0.11699999999999999</v>
      </c>
      <c r="D79" s="32">
        <f t="shared" ca="1" si="2"/>
        <v>193.37086814384307</v>
      </c>
      <c r="E79" s="35">
        <f ca="1">VLOOKUP($A79,[1]!LOOKUP_SARS_Unified2,E$2,FALSE)</f>
        <v>1652.7424627678895</v>
      </c>
      <c r="F79" s="4"/>
      <c r="G79" s="12"/>
      <c r="H79" s="12"/>
      <c r="I79" s="12"/>
      <c r="J79" s="1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x14ac:dyDescent="0.25">
      <c r="A80" s="92" t="s">
        <v>11</v>
      </c>
      <c r="B80" s="4" t="str">
        <f>IF(VLOOKUP($A80,[1]!LOOKUP_Key_Information2,B$2,FALSE)&lt;&gt;0,VLOOKUP($A80,[1]!LOOKUP_Key_Information2,'Service-Scatter'!B$2,FALSE),"")</f>
        <v>Navy</v>
      </c>
      <c r="C80" s="3">
        <f ca="1">VLOOKUP($A80,[1]!LOOKUP_SARS_Unified2,C$2,FALSE)</f>
        <v>-0.129</v>
      </c>
      <c r="D80" s="32">
        <f t="shared" ca="1" si="2"/>
        <v>-4761.3873456790125</v>
      </c>
      <c r="E80" s="35">
        <f ca="1">VLOOKUP($A80,[1]!LOOKUP_SARS_Unified2,E$2,FALSE)</f>
        <v>36909.97942386831</v>
      </c>
      <c r="F80" s="4"/>
      <c r="G80" s="12"/>
      <c r="H80" s="12"/>
      <c r="I80" s="12"/>
      <c r="J80" s="1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x14ac:dyDescent="0.25">
      <c r="A81" s="92" t="s">
        <v>32</v>
      </c>
      <c r="B81" s="4" t="str">
        <f>IF(VLOOKUP($A81,[1]!LOOKUP_Key_Information2,B$2,FALSE)&lt;&gt;0,VLOOKUP($A81,[1]!LOOKUP_Key_Information2,'Service-Scatter'!B$2,FALSE),"")</f>
        <v>Navy</v>
      </c>
      <c r="C81" s="3">
        <f ca="1">VLOOKUP($A81,[1]!LOOKUP_SARS_Unified2,C$2,FALSE)</f>
        <v>8.3000000000000004E-2</v>
      </c>
      <c r="D81" s="32">
        <f t="shared" ca="1" si="2"/>
        <v>2993.5700240082319</v>
      </c>
      <c r="E81" s="35">
        <f ca="1">VLOOKUP($A81,[1]!LOOKUP_SARS_Unified2,E$2,FALSE)</f>
        <v>36067.108722990743</v>
      </c>
      <c r="F81" s="4"/>
      <c r="G81" s="12"/>
      <c r="H81" s="12"/>
      <c r="I81" s="12"/>
      <c r="J81" s="1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x14ac:dyDescent="0.25">
      <c r="A82" s="92" t="s">
        <v>51</v>
      </c>
      <c r="B82" s="4" t="str">
        <f>IF(VLOOKUP($A82,[1]!LOOKUP_Key_Information2,B$2,FALSE)&lt;&gt;0,VLOOKUP($A82,[1]!LOOKUP_Key_Information2,'Service-Scatter'!B$2,FALSE),"")</f>
        <v>Navy</v>
      </c>
      <c r="C82" s="3">
        <f ca="1">VLOOKUP($A82,[1]!LOOKUP_SARS_Unified2,C$2,FALSE)</f>
        <v>0.22399999999999998</v>
      </c>
      <c r="D82" s="32">
        <f t="shared" ca="1" si="2"/>
        <v>6693.0363059569963</v>
      </c>
      <c r="E82" s="35">
        <f ca="1">VLOOKUP($A82,[1]!LOOKUP_SARS_Unified2,E$2,FALSE)</f>
        <v>29879.626365879452</v>
      </c>
      <c r="F82" s="4"/>
      <c r="G82" s="12"/>
      <c r="H82" s="12"/>
      <c r="I82" s="12"/>
      <c r="J82" s="1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x14ac:dyDescent="0.25">
      <c r="A83" s="92" t="s">
        <v>8</v>
      </c>
      <c r="B83" s="4" t="str">
        <f>IF(VLOOKUP($A83,[1]!LOOKUP_Key_Information2,B$2,FALSE)&lt;&gt;0,VLOOKUP($A83,[1]!LOOKUP_Key_Information2,'Service-Scatter'!B$2,FALSE),"")</f>
        <v>Navy</v>
      </c>
      <c r="C83" s="3">
        <f ca="1">VLOOKUP($A83,[1]!LOOKUP_SARS_Unified2,C$2,FALSE)</f>
        <v>7.0999999999999994E-2</v>
      </c>
      <c r="D83" s="32">
        <f t="shared" ca="1" si="2"/>
        <v>1283.9240165631468</v>
      </c>
      <c r="E83" s="35">
        <f ca="1">VLOOKUP($A83,[1]!LOOKUP_SARS_Unified2,E$2,FALSE)</f>
        <v>18083.436853002069</v>
      </c>
      <c r="F83" s="4"/>
      <c r="G83" s="12"/>
      <c r="H83" s="12"/>
      <c r="I83" s="12"/>
      <c r="J83" s="1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x14ac:dyDescent="0.25">
      <c r="A84" s="92" t="s">
        <v>15</v>
      </c>
      <c r="B84" s="4" t="str">
        <f>IF(VLOOKUP($A84,[1]!LOOKUP_Key_Information2,B$2,FALSE)&lt;&gt;0,VLOOKUP($A84,[1]!LOOKUP_Key_Information2,'Service-Scatter'!B$2,FALSE),"")</f>
        <v>Navy</v>
      </c>
      <c r="C84" s="3">
        <f ca="1">VLOOKUP($A84,[1]!LOOKUP_SARS_Unified2,C$2,FALSE)</f>
        <v>2.7999999999999997E-2</v>
      </c>
      <c r="D84" s="32">
        <f t="shared" ca="1" si="2"/>
        <v>248.92267736985008</v>
      </c>
      <c r="E84" s="35">
        <f ca="1">VLOOKUP($A84,[1]!LOOKUP_SARS_Unified2,E$2,FALSE)</f>
        <v>8890.095620351789</v>
      </c>
      <c r="F84" s="4"/>
      <c r="G84" s="12"/>
      <c r="H84" s="12"/>
      <c r="I84" s="12"/>
      <c r="J84" s="1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x14ac:dyDescent="0.25">
      <c r="A85" s="92" t="s">
        <v>26</v>
      </c>
      <c r="B85" s="4" t="str">
        <f>IF(VLOOKUP($A85,[1]!LOOKUP_Key_Information2,B$2,FALSE)&lt;&gt;0,VLOOKUP($A85,[1]!LOOKUP_Key_Information2,'Service-Scatter'!B$2,FALSE),"")</f>
        <v>Navy</v>
      </c>
      <c r="C85" s="3">
        <f ca="1">VLOOKUP($A85,[1]!LOOKUP_SARS_Unified2,C$2,FALSE)</f>
        <v>0.63400000000000001</v>
      </c>
      <c r="D85" s="32">
        <f t="shared" ca="1" si="2"/>
        <v>5778.1830668526682</v>
      </c>
      <c r="E85" s="35">
        <f ca="1">VLOOKUP($A85,[1]!LOOKUP_SARS_Unified2,E$2,FALSE)</f>
        <v>9113.8534177486872</v>
      </c>
      <c r="F85" s="4"/>
      <c r="G85" s="12"/>
      <c r="H85" s="12"/>
      <c r="I85" s="12"/>
      <c r="J85" s="1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x14ac:dyDescent="0.25">
      <c r="A86" s="92" t="s">
        <v>217</v>
      </c>
      <c r="B86" s="4" t="str">
        <f>IF(VLOOKUP($A86,[1]!LOOKUP_Key_Information2,B$2,FALSE)&lt;&gt;0,VLOOKUP($A86,[1]!LOOKUP_Key_Information2,'Service-Scatter'!B$2,FALSE),"")</f>
        <v>Navy</v>
      </c>
      <c r="C86" s="3">
        <f ca="1">VLOOKUP($A86,[1]!LOOKUP_SARS_Unified2,C$2,FALSE)</f>
        <v>3.6000000000000004E-2</v>
      </c>
      <c r="D86" s="32">
        <f t="shared" ca="1" si="2"/>
        <v>51.145764262032699</v>
      </c>
      <c r="E86" s="35">
        <f ca="1">VLOOKUP($A86,[1]!LOOKUP_SARS_Unified2,E$2,FALSE)</f>
        <v>1420.7156739453526</v>
      </c>
      <c r="F86" s="4"/>
      <c r="G86" s="12"/>
      <c r="H86" s="12"/>
      <c r="I86" s="12"/>
      <c r="J86" s="1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x14ac:dyDescent="0.25">
      <c r="A87" s="92" t="s">
        <v>48</v>
      </c>
      <c r="B87" s="4" t="str">
        <f>IF(VLOOKUP($A87,[1]!LOOKUP_Key_Information2,B$2,FALSE)&lt;&gt;0,VLOOKUP($A87,[1]!LOOKUP_Key_Information2,'Service-Scatter'!B$2,FALSE),"")</f>
        <v>Navy</v>
      </c>
      <c r="C87" s="3">
        <f ca="1">VLOOKUP($A87,[1]!LOOKUP_SARS_Unified2,C$2,FALSE)</f>
        <v>5.0999999999999997E-2</v>
      </c>
      <c r="D87" s="32">
        <f t="shared" ca="1" si="2"/>
        <v>2550.3082561728388</v>
      </c>
      <c r="E87" s="35">
        <f ca="1">VLOOKUP($A87,[1]!LOOKUP_SARS_Unified2,E$2,FALSE)</f>
        <v>50006.04423868312</v>
      </c>
      <c r="F87" s="4"/>
      <c r="G87" s="12"/>
      <c r="H87" s="12"/>
      <c r="I87" s="12"/>
      <c r="J87" s="1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x14ac:dyDescent="0.25">
      <c r="A88" s="92" t="s">
        <v>39</v>
      </c>
      <c r="B88" s="4" t="str">
        <f>IF(VLOOKUP($A88,[1]!LOOKUP_Key_Information2,B$2,FALSE)&lt;&gt;0,VLOOKUP($A88,[1]!LOOKUP_Key_Information2,'Service-Scatter'!B$2,FALSE),"")</f>
        <v>Navy</v>
      </c>
      <c r="C88" s="3">
        <f ca="1">VLOOKUP($A88,[1]!LOOKUP_SARS_Unified2,C$2,FALSE)</f>
        <v>6.5000000000000002E-2</v>
      </c>
      <c r="D88" s="32">
        <f t="shared" ca="1" si="2"/>
        <v>763.89489142977027</v>
      </c>
      <c r="E88" s="35">
        <f ca="1">VLOOKUP($A88,[1]!LOOKUP_SARS_Unified2,E$2,FALSE)</f>
        <v>11752.229098919543</v>
      </c>
      <c r="F88" s="4"/>
      <c r="G88" s="12"/>
      <c r="H88" s="12"/>
      <c r="I88" s="12"/>
      <c r="J88" s="1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x14ac:dyDescent="0.25">
      <c r="A89" s="92" t="s">
        <v>2</v>
      </c>
      <c r="B89" s="4" t="str">
        <f>IF(VLOOKUP($A89,[1]!LOOKUP_Key_Information2,B$2,FALSE)&lt;&gt;0,VLOOKUP($A89,[1]!LOOKUP_Key_Information2,'Service-Scatter'!B$2,FALSE),"")</f>
        <v>Navy</v>
      </c>
      <c r="C89" s="3" t="str">
        <f ca="1">VLOOKUP($A89,[1]!LOOKUP_SARS_Unified2,C$2,FALSE)</f>
        <v/>
      </c>
      <c r="D89" s="32" t="e">
        <f t="shared" ca="1" si="2"/>
        <v>#VALUE!</v>
      </c>
      <c r="E89" s="35" t="e">
        <f ca="1">VLOOKUP($A89,[1]!LOOKUP_SARS_Unified2,E$2,FALSE)</f>
        <v>#VALUE!</v>
      </c>
      <c r="F89" s="4"/>
      <c r="G89" s="12"/>
      <c r="H89" s="12"/>
      <c r="I89" s="12"/>
      <c r="J89" s="1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x14ac:dyDescent="0.25">
      <c r="A90" s="92" t="s">
        <v>181</v>
      </c>
      <c r="B90" s="4" t="str">
        <f>IF(VLOOKUP($A90,[1]!LOOKUP_Key_Information2,B$2,FALSE)&lt;&gt;0,VLOOKUP($A90,[1]!LOOKUP_Key_Information2,'Service-Scatter'!B$2,FALSE),"")</f>
        <v>Navy</v>
      </c>
      <c r="C90" s="3">
        <f ca="1">VLOOKUP($A90,[1]!LOOKUP_SARS_Unified2,C$2,FALSE)</f>
        <v>-7.4999999999999997E-2</v>
      </c>
      <c r="D90" s="32">
        <f t="shared" ca="1" si="2"/>
        <v>-272.2123151159131</v>
      </c>
      <c r="E90" s="35">
        <f ca="1">VLOOKUP($A90,[1]!LOOKUP_SARS_Unified2,E$2,FALSE)</f>
        <v>3629.4975348788416</v>
      </c>
      <c r="F90" s="4"/>
      <c r="G90" s="12"/>
      <c r="H90" s="12"/>
      <c r="I90" s="12"/>
      <c r="J90" s="1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x14ac:dyDescent="0.25">
      <c r="A91" s="92" t="s">
        <v>6</v>
      </c>
      <c r="B91" s="4" t="str">
        <f>IF(VLOOKUP($A91,[1]!LOOKUP_Key_Information2,B$2,FALSE)&lt;&gt;0,VLOOKUP($A91,[1]!LOOKUP_Key_Information2,'Service-Scatter'!B$2,FALSE),"")</f>
        <v>Navy</v>
      </c>
      <c r="C91" s="3">
        <f ca="1">VLOOKUP($A91,[1]!LOOKUP_SARS_Unified2,C$2,FALSE)</f>
        <v>0.26100000000000001</v>
      </c>
      <c r="D91" s="32">
        <f t="shared" ca="1" si="2"/>
        <v>6026.9836357914619</v>
      </c>
      <c r="E91" s="35">
        <f ca="1">VLOOKUP($A91,[1]!LOOKUP_SARS_Unified2,E$2,FALSE)</f>
        <v>23091.8913248715</v>
      </c>
      <c r="F91" s="12"/>
      <c r="G91" s="12"/>
      <c r="H91" s="12"/>
      <c r="I91" s="12"/>
      <c r="J91" s="1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25">
      <c r="A92" s="92" t="s">
        <v>182</v>
      </c>
      <c r="B92" s="4" t="str">
        <f>IF(VLOOKUP($A92,[1]!LOOKUP_Key_Information2,B$2,FALSE)&lt;&gt;0,VLOOKUP($A92,[1]!LOOKUP_Key_Information2,'Service-Scatter'!B$2,FALSE),"")</f>
        <v>Navy</v>
      </c>
      <c r="C92" s="3">
        <f ca="1">VLOOKUP($A92,[1]!LOOKUP_SARS_Unified2,C$2,FALSE)</f>
        <v>-2.6000000000000002E-2</v>
      </c>
      <c r="D92" s="32">
        <f t="shared" ca="1" si="2"/>
        <v>-26.270009440889545</v>
      </c>
      <c r="E92" s="35">
        <f ca="1">VLOOKUP($A92,[1]!LOOKUP_SARS_Unified2,E$2,FALSE)</f>
        <v>1010.3849784957516</v>
      </c>
      <c r="F92" s="12"/>
      <c r="G92" s="12"/>
      <c r="H92" s="12"/>
      <c r="I92" s="12"/>
      <c r="J92" s="1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x14ac:dyDescent="0.25">
      <c r="A93" s="92" t="s">
        <v>33</v>
      </c>
      <c r="B93" s="4" t="str">
        <f>IF(VLOOKUP($A93,[1]!LOOKUP_Key_Information2,B$2,FALSE)&lt;&gt;0,VLOOKUP($A93,[1]!LOOKUP_Key_Information2,'Service-Scatter'!B$2,FALSE),"")</f>
        <v>Navy</v>
      </c>
      <c r="C93" s="3">
        <f ca="1">VLOOKUP($A93,[1]!LOOKUP_SARS_Unified2,C$2,FALSE)</f>
        <v>-6.6000000000000003E-2</v>
      </c>
      <c r="D93" s="32">
        <f t="shared" ca="1" si="2"/>
        <v>-580.1658474710639</v>
      </c>
      <c r="E93" s="35">
        <f ca="1">VLOOKUP($A93,[1]!LOOKUP_SARS_Unified2,E$2,FALSE)</f>
        <v>8790.3916283494527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x14ac:dyDescent="0.25">
      <c r="A94" s="92" t="s">
        <v>62</v>
      </c>
      <c r="B94" s="4" t="str">
        <f>IF(VLOOKUP($A94,[1]!LOOKUP_Key_Information2,B$2,FALSE)&lt;&gt;0,VLOOKUP($A94,[1]!LOOKUP_Key_Information2,'Service-Scatter'!B$2,FALSE),"")</f>
        <v>Navy</v>
      </c>
      <c r="C94" s="3">
        <f ca="1">VLOOKUP($A94,[1]!LOOKUP_SARS_Unified2,C$2,FALSE)</f>
        <v>-9.0000000000000011E-3</v>
      </c>
      <c r="D94" s="32">
        <f t="shared" ca="1" si="2"/>
        <v>-28.624516414280983</v>
      </c>
      <c r="E94" s="35">
        <f ca="1">VLOOKUP($A94,[1]!LOOKUP_SARS_Unified2,E$2,FALSE)</f>
        <v>3180.5018238089979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x14ac:dyDescent="0.25">
      <c r="A95" s="92" t="s">
        <v>37</v>
      </c>
      <c r="B95" s="4" t="str">
        <f>IF(VLOOKUP($A95,[1]!LOOKUP_Key_Information2,B$2,FALSE)&lt;&gt;0,VLOOKUP($A95,[1]!LOOKUP_Key_Information2,'Service-Scatter'!B$2,FALSE),"")</f>
        <v>Navy</v>
      </c>
      <c r="C95" s="3">
        <f ca="1">VLOOKUP($A95,[1]!LOOKUP_SARS_Unified2,C$2,FALSE)</f>
        <v>0.85499999999999998</v>
      </c>
      <c r="D95" s="32">
        <f t="shared" ca="1" si="2"/>
        <v>10566.637659312046</v>
      </c>
      <c r="E95" s="35">
        <f ca="1">VLOOKUP($A95,[1]!LOOKUP_SARS_Unified2,E$2,FALSE)</f>
        <v>12358.640537207071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x14ac:dyDescent="0.25">
      <c r="A96" s="92" t="s">
        <v>41</v>
      </c>
      <c r="B96" s="4" t="str">
        <f>IF(VLOOKUP($A96,[1]!LOOKUP_Key_Information2,B$2,FALSE)&lt;&gt;0,VLOOKUP($A96,[1]!LOOKUP_Key_Information2,'Service-Scatter'!B$2,FALSE),"")</f>
        <v>Navy</v>
      </c>
      <c r="C96" s="3">
        <f ca="1">VLOOKUP($A96,[1]!LOOKUP_SARS_Unified2,C$2,FALSE)</f>
        <v>0.13500000000000001</v>
      </c>
      <c r="D96" s="32">
        <f t="shared" ca="1" si="2"/>
        <v>1585.7687631258982</v>
      </c>
      <c r="E96" s="35">
        <f ca="1">VLOOKUP($A96,[1]!LOOKUP_SARS_Unified2,E$2,FALSE)</f>
        <v>11746.435282414061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x14ac:dyDescent="0.25">
      <c r="A97" s="92" t="s">
        <v>44</v>
      </c>
      <c r="B97" s="4" t="str">
        <f>IF(VLOOKUP($A97,[1]!LOOKUP_Key_Information2,B$2,FALSE)&lt;&gt;0,VLOOKUP($A97,[1]!LOOKUP_Key_Information2,'Service-Scatter'!B$2,FALSE),"")</f>
        <v>Navy</v>
      </c>
      <c r="C97" s="3">
        <f ca="1">VLOOKUP($A97,[1]!LOOKUP_SARS_Unified2,C$2,FALSE)</f>
        <v>0.13500000000000001</v>
      </c>
      <c r="D97" s="32">
        <f t="shared" ca="1" si="2"/>
        <v>945.46644518272444</v>
      </c>
      <c r="E97" s="35">
        <f ca="1">VLOOKUP($A97,[1]!LOOKUP_SARS_Unified2,E$2,FALSE)</f>
        <v>7003.4551495016622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x14ac:dyDescent="0.25">
      <c r="A98" s="92" t="s">
        <v>65</v>
      </c>
      <c r="B98" s="4" t="str">
        <f>IF(VLOOKUP($A98,[1]!LOOKUP_Key_Information2,B$2,FALSE)&lt;&gt;0,VLOOKUP($A98,[1]!LOOKUP_Key_Information2,'Service-Scatter'!B$2,FALSE),"")</f>
        <v>Navy</v>
      </c>
      <c r="C98" s="3">
        <f ca="1">VLOOKUP($A98,[1]!LOOKUP_SARS_Unified2,C$2,FALSE)</f>
        <v>0.04</v>
      </c>
      <c r="D98" s="32">
        <f t="shared" ca="1" si="2"/>
        <v>272.40703576909453</v>
      </c>
      <c r="E98" s="35">
        <f ca="1">VLOOKUP($A98,[1]!LOOKUP_SARS_Unified2,E$2,FALSE)</f>
        <v>6810.1758942273636</v>
      </c>
    </row>
    <row r="99" spans="1:68" x14ac:dyDescent="0.25">
      <c r="A99" s="92" t="s">
        <v>71</v>
      </c>
      <c r="B99" s="4" t="str">
        <f>IF(VLOOKUP($A99,[1]!LOOKUP_Key_Information2,B$2,FALSE)&lt;&gt;0,VLOOKUP($A99,[1]!LOOKUP_Key_Information2,'Service-Scatter'!B$2,FALSE),"")</f>
        <v>Navy</v>
      </c>
      <c r="C99" s="3">
        <f ca="1">VLOOKUP($A99,[1]!LOOKUP_SARS_Unified2,C$2,FALSE)</f>
        <v>4.9000000000000002E-2</v>
      </c>
      <c r="D99" s="32">
        <f t="shared" ca="1" si="2"/>
        <v>91.937082818294201</v>
      </c>
      <c r="E99" s="35">
        <f ca="1">VLOOKUP($A99,[1]!LOOKUP_SARS_Unified2,E$2,FALSE)</f>
        <v>1876.2669962917182</v>
      </c>
    </row>
    <row r="100" spans="1:68" x14ac:dyDescent="0.25">
      <c r="A100" s="92" t="s">
        <v>72</v>
      </c>
      <c r="B100" s="4" t="str">
        <f>IF(VLOOKUP($A100,[1]!LOOKUP_Key_Information2,B$2,FALSE)&lt;&gt;0,VLOOKUP($A100,[1]!LOOKUP_Key_Information2,'Service-Scatter'!B$2,FALSE),"")</f>
        <v>Navy</v>
      </c>
      <c r="C100" s="3">
        <f ca="1">VLOOKUP($A100,[1]!LOOKUP_SARS_Unified2,C$2,FALSE)</f>
        <v>-1.6E-2</v>
      </c>
      <c r="D100" s="32">
        <f t="shared" ca="1" si="2"/>
        <v>-531.73163464502215</v>
      </c>
      <c r="E100" s="35">
        <f ca="1">VLOOKUP($A100,[1]!LOOKUP_SARS_Unified2,E$2,FALSE)</f>
        <v>33233.227165313881</v>
      </c>
    </row>
    <row r="101" spans="1:68" x14ac:dyDescent="0.25">
      <c r="A101" s="92" t="s">
        <v>50</v>
      </c>
      <c r="B101" s="4" t="str">
        <f>IF(VLOOKUP($A101,[1]!LOOKUP_Key_Information2,B$2,FALSE)&lt;&gt;0,VLOOKUP($A101,[1]!LOOKUP_Key_Information2,'Service-Scatter'!B$2,FALSE),"")</f>
        <v>Navy</v>
      </c>
      <c r="C101" s="3">
        <f ca="1">VLOOKUP($A101,[1]!LOOKUP_SARS_Unified2,C$2,FALSE)</f>
        <v>-1.1000000000000001E-2</v>
      </c>
      <c r="D101" s="32">
        <f t="shared" ca="1" si="2"/>
        <v>-15.55830662097933</v>
      </c>
      <c r="E101" s="35">
        <f ca="1">VLOOKUP($A101,[1]!LOOKUP_SARS_Unified2,E$2,FALSE)</f>
        <v>1414.3915109981208</v>
      </c>
    </row>
    <row r="102" spans="1:68" x14ac:dyDescent="0.25">
      <c r="A102" s="92" t="s">
        <v>64</v>
      </c>
      <c r="B102" s="4" t="str">
        <f>IF(VLOOKUP($A102,[1]!LOOKUP_Key_Information2,B$2,FALSE)&lt;&gt;0,VLOOKUP($A102,[1]!LOOKUP_Key_Information2,'Service-Scatter'!B$2,FALSE),"")</f>
        <v>Navy</v>
      </c>
      <c r="C102" s="3">
        <f ca="1">VLOOKUP($A102,[1]!LOOKUP_SARS_Unified2,C$2,FALSE)</f>
        <v>1.7519999999999998</v>
      </c>
      <c r="D102" s="32">
        <f t="shared" ca="1" si="2"/>
        <v>9004.7269171672015</v>
      </c>
      <c r="E102" s="35">
        <f ca="1">VLOOKUP($A102,[1]!LOOKUP_SARS_Unified2,E$2,FALSE)</f>
        <v>5139.6843134515993</v>
      </c>
    </row>
    <row r="103" spans="1:68" x14ac:dyDescent="0.25">
      <c r="A103" s="92" t="s">
        <v>79</v>
      </c>
      <c r="B103" s="4" t="str">
        <f>IF(VLOOKUP($A103,[1]!LOOKUP_Key_Information2,B$2,FALSE)&lt;&gt;0,VLOOKUP($A103,[1]!LOOKUP_Key_Information2,'Service-Scatter'!B$2,FALSE),"")</f>
        <v>Navy</v>
      </c>
      <c r="C103" s="3">
        <f ca="1">VLOOKUP($A103,[1]!LOOKUP_SARS_Unified2,C$2,FALSE)</f>
        <v>0.114</v>
      </c>
      <c r="D103" s="32">
        <f t="shared" ca="1" si="2"/>
        <v>99.14905032728835</v>
      </c>
      <c r="E103" s="35">
        <f ca="1">VLOOKUP($A103,[1]!LOOKUP_SARS_Unified2,E$2,FALSE)</f>
        <v>869.72851164288022</v>
      </c>
    </row>
    <row r="104" spans="1:68" x14ac:dyDescent="0.25">
      <c r="A104" s="92" t="s">
        <v>67</v>
      </c>
      <c r="B104" s="4" t="str">
        <f>IF(VLOOKUP($A104,[1]!LOOKUP_Key_Information2,B$2,FALSE)&lt;&gt;0,VLOOKUP($A104,[1]!LOOKUP_Key_Information2,'Service-Scatter'!B$2,FALSE),"")</f>
        <v>Navy</v>
      </c>
      <c r="C104" s="3">
        <f ca="1">VLOOKUP($A104,[1]!LOOKUP_SARS_Unified2,C$2,FALSE)</f>
        <v>-3.1E-2</v>
      </c>
      <c r="D104" s="32">
        <f t="shared" ca="1" si="2"/>
        <v>-193.26419549049703</v>
      </c>
      <c r="E104" s="35">
        <f ca="1">VLOOKUP($A104,[1]!LOOKUP_SARS_Unified2,E$2,FALSE)</f>
        <v>6234.3288867902265</v>
      </c>
    </row>
    <row r="105" spans="1:68" x14ac:dyDescent="0.25">
      <c r="A105" s="92" t="s">
        <v>75</v>
      </c>
      <c r="B105" s="4" t="str">
        <f>IF(VLOOKUP($A105,[1]!LOOKUP_Key_Information2,B$2,FALSE)&lt;&gt;0,VLOOKUP($A105,[1]!LOOKUP_Key_Information2,'Service-Scatter'!B$2,FALSE),"")</f>
        <v>Navy</v>
      </c>
      <c r="C105" s="3">
        <f ca="1">VLOOKUP($A105,[1]!LOOKUP_SARS_Unified2,C$2,FALSE)</f>
        <v>-3.4000000000000002E-2</v>
      </c>
      <c r="D105" s="32">
        <f t="shared" ca="1" si="2"/>
        <v>-3056.3240676072078</v>
      </c>
      <c r="E105" s="35">
        <f ca="1">VLOOKUP($A105,[1]!LOOKUP_SARS_Unified2,E$2,FALSE)</f>
        <v>89891.884341388461</v>
      </c>
    </row>
    <row r="106" spans="1:68" x14ac:dyDescent="0.25">
      <c r="A106" s="92" t="s">
        <v>42</v>
      </c>
      <c r="B106" s="4" t="str">
        <f>IF(VLOOKUP($A106,[1]!LOOKUP_Key_Information2,B$2,FALSE)&lt;&gt;0,VLOOKUP($A106,[1]!LOOKUP_Key_Information2,'Service-Scatter'!B$2,FALSE),"")</f>
        <v>Navy</v>
      </c>
      <c r="C106" s="3">
        <f ca="1">VLOOKUP($A106,[1]!LOOKUP_SARS_Unified2,C$2,FALSE)</f>
        <v>0.32</v>
      </c>
      <c r="D106" s="32">
        <f t="shared" ca="1" si="2"/>
        <v>1249.4898360655739</v>
      </c>
      <c r="E106" s="35">
        <f ca="1">VLOOKUP($A106,[1]!LOOKUP_SARS_Unified2,E$2,FALSE)</f>
        <v>3904.6557377049185</v>
      </c>
    </row>
    <row r="107" spans="1:68" x14ac:dyDescent="0.25">
      <c r="A107" s="92" t="s">
        <v>52</v>
      </c>
      <c r="B107" s="4" t="str">
        <f>IF(VLOOKUP($A107,[1]!LOOKUP_Key_Information2,B$2,FALSE)&lt;&gt;0,VLOOKUP($A107,[1]!LOOKUP_Key_Information2,'Service-Scatter'!B$2,FALSE),"")</f>
        <v>Navy</v>
      </c>
      <c r="C107" s="3">
        <f ca="1">VLOOKUP($A107,[1]!LOOKUP_SARS_Unified2,C$2,FALSE)</f>
        <v>0.08</v>
      </c>
      <c r="D107" s="32">
        <f t="shared" ca="1" si="2"/>
        <v>438.53909465020575</v>
      </c>
      <c r="E107" s="35">
        <f ca="1">VLOOKUP($A107,[1]!LOOKUP_SARS_Unified2,E$2,FALSE)</f>
        <v>5481.7386831275717</v>
      </c>
    </row>
    <row r="108" spans="1:68" x14ac:dyDescent="0.25">
      <c r="A108" s="92" t="s">
        <v>249</v>
      </c>
      <c r="B108" s="4" t="str">
        <f>IF(VLOOKUP($A108,[1]!LOOKUP_Key_Information2,B$2,FALSE)&lt;&gt;0,VLOOKUP($A108,[1]!LOOKUP_Key_Information2,'Service-Scatter'!B$2,FALSE),"")</f>
        <v>Navy</v>
      </c>
      <c r="C108" s="3">
        <f ca="1">VLOOKUP($A108,[1]!LOOKUP_SARS_Unified2,C$2,FALSE)</f>
        <v>0.20699999999999999</v>
      </c>
      <c r="D108" s="32">
        <f t="shared" ca="1" si="2"/>
        <v>10896.242021803764</v>
      </c>
      <c r="E108" s="35">
        <f ca="1">VLOOKUP($A108,[1]!LOOKUP_SARS_Unified2,E$2,FALSE)</f>
        <v>52638.850346878091</v>
      </c>
    </row>
    <row r="109" spans="1:68" x14ac:dyDescent="0.25">
      <c r="A109" t="s">
        <v>60</v>
      </c>
      <c r="B109" s="4" t="str">
        <f>IF(VLOOKUP($A109,[1]!LOOKUP_Key_Information2,B$2,FALSE)&lt;&gt;0,VLOOKUP($A109,[1]!LOOKUP_Key_Information2,'Service-Scatter'!B$2,FALSE),"")</f>
        <v>Navy</v>
      </c>
      <c r="C109" s="3">
        <f ca="1">VLOOKUP($A109,[1]!LOOKUP_SARS_Unified2,C$2,FALSE)</f>
        <v>-6.9999999999999993E-3</v>
      </c>
      <c r="D109" s="32">
        <f t="shared" ca="1" si="2"/>
        <v>-402.1410769406653</v>
      </c>
      <c r="E109" s="35">
        <f ca="1">VLOOKUP($A109,[1]!LOOKUP_SARS_Unified2,E$2,FALSE)</f>
        <v>57448.725277237907</v>
      </c>
    </row>
    <row r="110" spans="1:68" x14ac:dyDescent="0.25">
      <c r="A110" s="92" t="s">
        <v>223</v>
      </c>
      <c r="B110" s="4" t="str">
        <f>IF(VLOOKUP($A110,[1]!LOOKUP_Key_Information2,B$2,FALSE)&lt;&gt;0,VLOOKUP($A110,[1]!LOOKUP_Key_Information2,'Service-Scatter'!B$2,FALSE),"")</f>
        <v>Navy</v>
      </c>
      <c r="C110" s="3">
        <f ca="1">VLOOKUP($A110,[1]!LOOKUP_SARS_Unified2,C$2,FALSE)</f>
        <v>-3.3000000000000002E-2</v>
      </c>
      <c r="D110" s="32">
        <f t="shared" ca="1" si="2"/>
        <v>-225.89756629131858</v>
      </c>
      <c r="E110" s="35">
        <f ca="1">VLOOKUP($A110,[1]!LOOKUP_SARS_Unified2,E$2,FALSE)</f>
        <v>6845.3807967066232</v>
      </c>
    </row>
    <row r="111" spans="1:68" x14ac:dyDescent="0.25">
      <c r="A111" t="s">
        <v>56</v>
      </c>
      <c r="B111" s="4" t="str">
        <f>IF(VLOOKUP($A111,[1]!LOOKUP_Key_Information2,B$2,FALSE)&lt;&gt;0,VLOOKUP($A111,[1]!LOOKUP_Key_Information2,'Service-Scatter'!B$2,FALSE),"")</f>
        <v>Navy</v>
      </c>
      <c r="C111" s="3">
        <f ca="1">VLOOKUP($A111,[1]!LOOKUP_SARS_Unified2,C$2,FALSE)</f>
        <v>-8.0000000000000002E-3</v>
      </c>
      <c r="D111" s="32">
        <f t="shared" ca="1" si="2"/>
        <v>-20.925389631922187</v>
      </c>
      <c r="E111" s="35">
        <f ca="1">VLOOKUP($A111,[1]!LOOKUP_SARS_Unified2,E$2,FALSE)</f>
        <v>2615.6737039902732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309"/>
  <sheetViews>
    <sheetView topLeftCell="A64" zoomScaleNormal="100" workbookViewId="0">
      <selection activeCell="A83" sqref="A83:A84"/>
    </sheetView>
  </sheetViews>
  <sheetFormatPr defaultRowHeight="12.75" x14ac:dyDescent="0.2"/>
  <cols>
    <col min="1" max="1" width="21.85546875" style="1" customWidth="1"/>
    <col min="2" max="2" width="26.7109375" style="1" bestFit="1" customWidth="1"/>
    <col min="3" max="3" width="9.140625" style="1"/>
    <col min="4" max="4" width="12.28515625" style="1" bestFit="1" customWidth="1"/>
    <col min="5" max="5" width="15.5703125" style="1" customWidth="1"/>
    <col min="6" max="6" width="15.140625" style="1" customWidth="1"/>
    <col min="7" max="8" width="12.28515625" style="1" bestFit="1" customWidth="1"/>
    <col min="9" max="9" width="14.28515625" style="1" customWidth="1"/>
    <col min="10" max="10" width="34.28515625" style="1" bestFit="1" customWidth="1"/>
    <col min="11" max="11" width="14" style="1" customWidth="1"/>
    <col min="12" max="12" width="12.140625" style="1" bestFit="1" customWidth="1"/>
    <col min="13" max="13" width="11.28515625" style="1" bestFit="1" customWidth="1"/>
    <col min="14" max="14" width="11.42578125" style="1" customWidth="1"/>
    <col min="15" max="15" width="12.28515625" style="1" bestFit="1" customWidth="1"/>
    <col min="16" max="16" width="10.28515625" style="1" bestFit="1" customWidth="1"/>
    <col min="17" max="17" width="11.28515625" style="1" bestFit="1" customWidth="1"/>
    <col min="18" max="16384" width="9.140625" style="1"/>
  </cols>
  <sheetData>
    <row r="1" spans="1:18" ht="57" x14ac:dyDescent="0.85">
      <c r="A1" s="11" t="s">
        <v>100</v>
      </c>
    </row>
    <row r="2" spans="1:18" ht="57" x14ac:dyDescent="0.85">
      <c r="A2" s="11"/>
      <c r="B2" s="126">
        <f>HLOOKUP(B3,[1]!LOOKUP_Key_Information2,2,FALSE)</f>
        <v>8</v>
      </c>
      <c r="C2" s="127"/>
      <c r="D2" s="127">
        <f>HLOOKUP(D3,[1]!LOOKUP_SARS_Unified2,2,FALSE)</f>
        <v>38</v>
      </c>
      <c r="E2" s="127"/>
      <c r="F2" s="127">
        <f>HLOOKUP(F3,[1]!LOOKUP_SARS_Unified2,2,FALSE)</f>
        <v>31</v>
      </c>
      <c r="R2" s="98" t="s">
        <v>191</v>
      </c>
    </row>
    <row r="3" spans="1:18" ht="63.75" x14ac:dyDescent="0.25">
      <c r="A3" s="9" t="s">
        <v>80</v>
      </c>
      <c r="B3" s="96" t="s">
        <v>187</v>
      </c>
      <c r="C3" s="1" t="s">
        <v>127</v>
      </c>
      <c r="D3" s="2" t="s">
        <v>169</v>
      </c>
      <c r="E3" s="46"/>
      <c r="F3" s="17" t="s">
        <v>204</v>
      </c>
      <c r="G3" s="1" t="s">
        <v>126</v>
      </c>
      <c r="J3" s="9"/>
    </row>
    <row r="4" spans="1:18" ht="15" x14ac:dyDescent="0.25">
      <c r="A4" s="61" t="s">
        <v>115</v>
      </c>
      <c r="B4" s="9">
        <f t="shared" ref="B4:B9" si="0">COUNTIF(PRIME_PRIME_FEW,$A4)</f>
        <v>16</v>
      </c>
      <c r="D4" s="3">
        <f t="shared" ref="D4:D9" ca="1" si="1">E4/F4</f>
        <v>2.2070453213257442</v>
      </c>
      <c r="E4" s="36">
        <f t="shared" ref="E4:E9" ca="1" si="2">SUMIF(PRIME_PRIME_FEW,$A4,PRIME_OVERRUN_DOLLARS)</f>
        <v>696868.82243276434</v>
      </c>
      <c r="F4" s="36">
        <f t="shared" ref="F4:F9" ca="1" si="3">SUMIF(PRIME_PRIME_FEW,$A4,PRIME_BASELINE)</f>
        <v>315747.40024557541</v>
      </c>
      <c r="G4" s="34">
        <f t="shared" ref="G4:G9" ca="1" si="4">F4/B4</f>
        <v>19734.212515348463</v>
      </c>
      <c r="H4" s="1" t="str">
        <f t="shared" ref="H4:H9" si="5">A4&amp;" Average"</f>
        <v>Boeing Average</v>
      </c>
      <c r="J4" s="56" t="s">
        <v>115</v>
      </c>
      <c r="K4" s="37">
        <f ca="1">VLOOKUP($J4,LOOKUP_PRIME_AGGREGATES,4,FALSE)</f>
        <v>2.2070453213257442</v>
      </c>
      <c r="L4" s="59">
        <f t="shared" ref="L4:L15" ca="1" si="6">VLOOKUP($J4,LOOKUP_PRIME_AGGREGATES,7,FALSE)</f>
        <v>19734.212515348463</v>
      </c>
    </row>
    <row r="5" spans="1:18" ht="15" x14ac:dyDescent="0.25">
      <c r="A5" s="61" t="s">
        <v>114</v>
      </c>
      <c r="B5" s="9">
        <f t="shared" si="0"/>
        <v>6</v>
      </c>
      <c r="D5" s="3">
        <f t="shared" ca="1" si="1"/>
        <v>-5.2349185219870781E-2</v>
      </c>
      <c r="E5" s="36">
        <f t="shared" ca="1" si="2"/>
        <v>-2479.4182872733213</v>
      </c>
      <c r="F5" s="36">
        <f t="shared" ca="1" si="3"/>
        <v>47363.073118704051</v>
      </c>
      <c r="G5" s="34">
        <f t="shared" ca="1" si="4"/>
        <v>7893.8455197840085</v>
      </c>
      <c r="H5" s="1" t="str">
        <f t="shared" si="5"/>
        <v>General Dynamics Average</v>
      </c>
      <c r="J5" s="56" t="s">
        <v>115</v>
      </c>
      <c r="K5" s="37">
        <f ca="1">SUMIFS(PRIME_OVERRUN_PERCENT,PRIME_PRIME_FEW,$J5)/COUNTIF(PRIME_PRIME_FEW,$J5)</f>
        <v>5.1396249999999988</v>
      </c>
      <c r="L5" s="59">
        <f t="shared" ca="1" si="6"/>
        <v>19734.212515348463</v>
      </c>
    </row>
    <row r="6" spans="1:18" ht="15" x14ac:dyDescent="0.25">
      <c r="A6" s="60" t="s">
        <v>113</v>
      </c>
      <c r="B6" s="9">
        <f t="shared" si="0"/>
        <v>16</v>
      </c>
      <c r="D6" s="3">
        <f t="shared" ca="1" si="1"/>
        <v>0.38143353628540089</v>
      </c>
      <c r="E6" s="36">
        <f t="shared" ca="1" si="2"/>
        <v>132832.45997682167</v>
      </c>
      <c r="F6" s="36">
        <f t="shared" ca="1" si="3"/>
        <v>348245.36214202241</v>
      </c>
      <c r="G6" s="34">
        <f t="shared" ca="1" si="4"/>
        <v>21765.335133876401</v>
      </c>
      <c r="H6" s="1" t="str">
        <f t="shared" si="5"/>
        <v>Lockheed Martin Average</v>
      </c>
      <c r="J6" s="56" t="s">
        <v>114</v>
      </c>
      <c r="K6" s="37">
        <f ca="1">VLOOKUP($J6,LOOKUP_PRIME_AGGREGATES,4,FALSE)</f>
        <v>-5.2349185219870781E-2</v>
      </c>
      <c r="L6" s="59">
        <f t="shared" ca="1" si="6"/>
        <v>7893.8455197840085</v>
      </c>
    </row>
    <row r="7" spans="1:18" ht="15" x14ac:dyDescent="0.25">
      <c r="A7" s="60" t="s">
        <v>112</v>
      </c>
      <c r="B7" s="9">
        <f t="shared" si="0"/>
        <v>14</v>
      </c>
      <c r="D7" s="3">
        <f t="shared" ca="1" si="1"/>
        <v>-0.14451166110762739</v>
      </c>
      <c r="E7" s="36">
        <f t="shared" ca="1" si="2"/>
        <v>-13795.767805445466</v>
      </c>
      <c r="F7" s="36">
        <f t="shared" ca="1" si="3"/>
        <v>95464.737583846916</v>
      </c>
      <c r="G7" s="34">
        <f t="shared" ca="1" si="4"/>
        <v>6818.9098274176367</v>
      </c>
      <c r="H7" s="1" t="str">
        <f t="shared" si="5"/>
        <v>Northrop Grumman Average</v>
      </c>
      <c r="J7" s="56" t="s">
        <v>114</v>
      </c>
      <c r="K7" s="37">
        <f ca="1">SUMIFS(PRIME_OVERRUN_PERCENT,PRIME_PRIME_FEW,$J7)/COUNTIF(PRIME_PRIME_FEW,$J7)</f>
        <v>-0.10966666666666668</v>
      </c>
      <c r="L7" s="59">
        <f t="shared" ca="1" si="6"/>
        <v>7893.8455197840085</v>
      </c>
    </row>
    <row r="8" spans="1:18" ht="15" x14ac:dyDescent="0.25">
      <c r="A8" s="60" t="s">
        <v>85</v>
      </c>
      <c r="B8" s="9">
        <f t="shared" si="0"/>
        <v>9</v>
      </c>
      <c r="D8" s="3" t="e">
        <f t="shared" ca="1" si="1"/>
        <v>#VALUE!</v>
      </c>
      <c r="E8" s="36" t="e">
        <f t="shared" ca="1" si="2"/>
        <v>#VALUE!</v>
      </c>
      <c r="F8" s="36" t="e">
        <f t="shared" ca="1" si="3"/>
        <v>#VALUE!</v>
      </c>
      <c r="G8" s="34" t="e">
        <f t="shared" ca="1" si="4"/>
        <v>#VALUE!</v>
      </c>
      <c r="H8" s="1" t="str">
        <f t="shared" si="5"/>
        <v>Other Average</v>
      </c>
      <c r="J8" s="53" t="s">
        <v>113</v>
      </c>
      <c r="K8" s="37">
        <f ca="1">VLOOKUP($J8,LOOKUP_PRIME_AGGREGATES,4,FALSE)</f>
        <v>0.38143353628540089</v>
      </c>
      <c r="L8" s="59">
        <f t="shared" ca="1" si="6"/>
        <v>21765.335133876401</v>
      </c>
    </row>
    <row r="9" spans="1:18" ht="15" x14ac:dyDescent="0.25">
      <c r="A9" s="60" t="s">
        <v>111</v>
      </c>
      <c r="B9" s="9">
        <f t="shared" si="0"/>
        <v>13</v>
      </c>
      <c r="D9" s="3">
        <f t="shared" ca="1" si="1"/>
        <v>9.5381786657996598E-2</v>
      </c>
      <c r="E9" s="36">
        <f t="shared" ca="1" si="2"/>
        <v>5785.3917737335578</v>
      </c>
      <c r="F9" s="36">
        <f t="shared" ca="1" si="3"/>
        <v>60655.099641588895</v>
      </c>
      <c r="G9" s="34">
        <f t="shared" ca="1" si="4"/>
        <v>4665.7768955068377</v>
      </c>
      <c r="H9" s="1" t="str">
        <f t="shared" si="5"/>
        <v>Raytheon Average</v>
      </c>
      <c r="J9" s="53" t="s">
        <v>113</v>
      </c>
      <c r="K9" s="37">
        <f ca="1">SUMIFS(PRIME_OVERRUN_PERCENT,PRIME_PRIME_FEW,$J9)/COUNTIF(PRIME_PRIME_FEW,$J9)</f>
        <v>0.15481249999999999</v>
      </c>
      <c r="L9" s="59">
        <f t="shared" ca="1" si="6"/>
        <v>21765.335133876401</v>
      </c>
    </row>
    <row r="10" spans="1:18" ht="15" x14ac:dyDescent="0.25">
      <c r="A10" t="s">
        <v>0</v>
      </c>
      <c r="B10" s="4" t="str">
        <f>IF(VLOOKUP($A10,[1]!LOOKUP_Key_Information2,B$2,FALSE)&lt;&gt;0,VLOOKUP($A10,[1]!LOOKUP_Key_Information2,B$2,FALSE),"")</f>
        <v>Boeing</v>
      </c>
      <c r="C10" s="1" t="str">
        <f t="shared" ref="C10:C41" si="7">VLOOKUP($B10,LOOKUP_Company_Filter,3,FALSE)</f>
        <v>Boeing</v>
      </c>
      <c r="D10" s="3">
        <f ca="1">VLOOKUP($A10,[1]!LOOKUP_SARS_Unified2,D$2,FALSE)</f>
        <v>0.42399999999999999</v>
      </c>
      <c r="E10" s="32">
        <f t="shared" ref="E10:E41" ca="1" si="8">D10*F10</f>
        <v>3071.1528683541505</v>
      </c>
      <c r="F10" s="55">
        <f ca="1">VLOOKUP($A10,[1]!LOOKUP_SARS_Unified2,F$2,FALSE)</f>
        <v>7243.285066872997</v>
      </c>
      <c r="I10" s="58"/>
      <c r="J10" s="53" t="s">
        <v>112</v>
      </c>
      <c r="K10" s="37">
        <f ca="1">VLOOKUP($J10,LOOKUP_PRIME_AGGREGATES,4,FALSE)</f>
        <v>-0.14451166110762739</v>
      </c>
      <c r="L10" s="59">
        <f t="shared" ca="1" si="6"/>
        <v>6818.9098274176367</v>
      </c>
    </row>
    <row r="11" spans="1:18" ht="15" x14ac:dyDescent="0.25">
      <c r="A11" s="92" t="s">
        <v>28</v>
      </c>
      <c r="B11" s="4" t="str">
        <f>IF(VLOOKUP($A11,[1]!LOOKUP_Key_Information2,B$2,FALSE)&lt;&gt;0,VLOOKUP($A11,[1]!LOOKUP_Key_Information2,B$2,FALSE),"")</f>
        <v>Boeing</v>
      </c>
      <c r="C11" s="1" t="str">
        <f t="shared" si="7"/>
        <v>Boeing</v>
      </c>
      <c r="D11" s="3">
        <f ca="1">VLOOKUP($A11,[1]!LOOKUP_SARS_Unified2,D$2,FALSE)</f>
        <v>-9.8000000000000004E-2</v>
      </c>
      <c r="E11" s="32">
        <f t="shared" ca="1" si="8"/>
        <v>-597.10222952840854</v>
      </c>
      <c r="F11" s="55">
        <f ca="1">VLOOKUP($A11,[1]!LOOKUP_SARS_Unified2,F$2,FALSE)</f>
        <v>6092.8798931470255</v>
      </c>
      <c r="I11" s="57"/>
      <c r="J11" s="53" t="s">
        <v>112</v>
      </c>
      <c r="K11" s="37">
        <f ca="1">SUMIFS(PRIME_OVERRUN_PERCENT,PRIME_PRIME_FEW,$J11)/COUNTIF(PRIME_PRIME_FEW,$J11)</f>
        <v>-1.1520714285714284</v>
      </c>
      <c r="L11" s="59">
        <f t="shared" ca="1" si="6"/>
        <v>6818.9098274176367</v>
      </c>
    </row>
    <row r="12" spans="1:18" ht="15" x14ac:dyDescent="0.25">
      <c r="A12" s="92" t="s">
        <v>24</v>
      </c>
      <c r="B12" s="4" t="str">
        <f>IF(VLOOKUP($A12,[1]!LOOKUP_Key_Information2,B$2,FALSE)&lt;&gt;0,VLOOKUP($A12,[1]!LOOKUP_Key_Information2,B$2,FALSE),"")</f>
        <v>Boeing</v>
      </c>
      <c r="C12" s="1" t="str">
        <f t="shared" si="7"/>
        <v>Boeing</v>
      </c>
      <c r="D12" s="3">
        <f ca="1">VLOOKUP($A12,[1]!LOOKUP_SARS_Unified2,D$2,FALSE)</f>
        <v>0.47</v>
      </c>
      <c r="E12" s="32">
        <f t="shared" ca="1" si="8"/>
        <v>26569.717692202274</v>
      </c>
      <c r="F12" s="55">
        <f ca="1">VLOOKUP($A12,[1]!LOOKUP_SARS_Unified2,F$2,FALSE)</f>
        <v>56531.314238728242</v>
      </c>
      <c r="J12" s="53" t="s">
        <v>85</v>
      </c>
      <c r="K12" s="37" t="e">
        <f ca="1">VLOOKUP($J12,LOOKUP_PRIME_AGGREGATES,4,FALSE)</f>
        <v>#VALUE!</v>
      </c>
      <c r="L12" s="59" t="e">
        <f t="shared" ca="1" si="6"/>
        <v>#VALUE!</v>
      </c>
    </row>
    <row r="13" spans="1:18" ht="15" x14ac:dyDescent="0.25">
      <c r="A13" s="92" t="s">
        <v>22</v>
      </c>
      <c r="B13" s="4" t="str">
        <f>IF(VLOOKUP($A13,[1]!LOOKUP_Key_Information2,B$2,FALSE)&lt;&gt;0,VLOOKUP($A13,[1]!LOOKUP_Key_Information2,B$2,FALSE),"")</f>
        <v>Boeing</v>
      </c>
      <c r="C13" s="1" t="str">
        <f t="shared" si="7"/>
        <v>Boeing</v>
      </c>
      <c r="D13" s="3">
        <f ca="1">VLOOKUP($A13,[1]!LOOKUP_SARS_Unified2,D$2,FALSE)</f>
        <v>0.13100000000000001</v>
      </c>
      <c r="E13" s="32">
        <f t="shared" ca="1" si="8"/>
        <v>1589.7322510575052</v>
      </c>
      <c r="F13" s="55">
        <f ca="1">VLOOKUP($A13,[1]!LOOKUP_SARS_Unified2,F$2,FALSE)</f>
        <v>12135.36069509546</v>
      </c>
      <c r="I13" s="57"/>
      <c r="J13" s="53" t="s">
        <v>85</v>
      </c>
      <c r="K13" s="37">
        <f ca="1">SUMIFS(PRIME_OVERRUN_PERCENT,PRIME_PRIME_FEW,$J13)/COUNTIF(PRIME_PRIME_FEW,$J13)</f>
        <v>3.833333333333333E-2</v>
      </c>
      <c r="L13" s="59" t="e">
        <f t="shared" ca="1" si="6"/>
        <v>#VALUE!</v>
      </c>
    </row>
    <row r="14" spans="1:18" ht="15" x14ac:dyDescent="0.25">
      <c r="A14" s="92" t="s">
        <v>15</v>
      </c>
      <c r="B14" s="4" t="str">
        <f>IF(VLOOKUP($A14,[1]!LOOKUP_Key_Information2,B$2,FALSE)&lt;&gt;0,VLOOKUP($A14,[1]!LOOKUP_Key_Information2,B$2,FALSE),"")</f>
        <v>Boeing</v>
      </c>
      <c r="C14" s="1" t="str">
        <f t="shared" si="7"/>
        <v>Boeing</v>
      </c>
      <c r="D14" s="3">
        <f ca="1">VLOOKUP($A14,[1]!LOOKUP_SARS_Unified2,D$2,FALSE)</f>
        <v>2.7999999999999997E-2</v>
      </c>
      <c r="E14" s="32">
        <f t="shared" ca="1" si="8"/>
        <v>248.92267736985008</v>
      </c>
      <c r="F14" s="55">
        <f ca="1">VLOOKUP($A14,[1]!LOOKUP_SARS_Unified2,F$2,FALSE)</f>
        <v>8890.095620351789</v>
      </c>
      <c r="I14" s="57"/>
      <c r="J14" s="53" t="s">
        <v>111</v>
      </c>
      <c r="K14" s="37">
        <f ca="1">VLOOKUP($J14,LOOKUP_PRIME_AGGREGATES,4,FALSE)</f>
        <v>9.5381786657996598E-2</v>
      </c>
      <c r="L14" s="59">
        <f t="shared" ca="1" si="6"/>
        <v>4665.7768955068377</v>
      </c>
    </row>
    <row r="15" spans="1:18" ht="15" x14ac:dyDescent="0.25">
      <c r="A15" s="92" t="s">
        <v>180</v>
      </c>
      <c r="B15" s="4" t="str">
        <f>IF(VLOOKUP($A15,[1]!LOOKUP_Key_Information2,B$2,FALSE)&lt;&gt;0,VLOOKUP($A15,[1]!LOOKUP_Key_Information2,B$2,FALSE),"")</f>
        <v>Boeing</v>
      </c>
      <c r="C15" s="1" t="str">
        <f t="shared" si="7"/>
        <v>Boeing</v>
      </c>
      <c r="D15" s="3">
        <f ca="1">VLOOKUP($A15,[1]!LOOKUP_SARS_Unified2,D$2,FALSE)</f>
        <v>-0.183</v>
      </c>
      <c r="E15" s="32">
        <f t="shared" ca="1" si="8"/>
        <v>-592.16942361039764</v>
      </c>
      <c r="F15" s="55">
        <f ca="1">VLOOKUP($A15,[1]!LOOKUP_SARS_Unified2,F$2,FALSE)</f>
        <v>3235.8984896743041</v>
      </c>
      <c r="I15" s="58"/>
      <c r="J15" s="53" t="s">
        <v>111</v>
      </c>
      <c r="K15" s="37">
        <f ca="1">SUMIFS(PRIME_OVERRUN_PERCENT,PRIME_PRIME_FEW,$J15)/COUNTIF(PRIME_PRIME_FEW,$J15)</f>
        <v>7.3000000000000009E-2</v>
      </c>
      <c r="L15" s="59">
        <f t="shared" ca="1" si="6"/>
        <v>4665.7768955068377</v>
      </c>
    </row>
    <row r="16" spans="1:18" ht="15" x14ac:dyDescent="0.25">
      <c r="A16" s="92" t="s">
        <v>48</v>
      </c>
      <c r="B16" s="4" t="str">
        <f>IF(VLOOKUP($A16,[1]!LOOKUP_Key_Information2,B$2,FALSE)&lt;&gt;0,VLOOKUP($A16,[1]!LOOKUP_Key_Information2,B$2,FALSE),"")</f>
        <v>Boeing</v>
      </c>
      <c r="C16" s="1" t="str">
        <f t="shared" si="7"/>
        <v>Boeing</v>
      </c>
      <c r="D16" s="3">
        <f ca="1">VLOOKUP($A16,[1]!LOOKUP_SARS_Unified2,D$2,FALSE)</f>
        <v>5.0999999999999997E-2</v>
      </c>
      <c r="E16" s="32">
        <f t="shared" ca="1" si="8"/>
        <v>2550.3082561728388</v>
      </c>
      <c r="F16" s="55">
        <f ca="1">VLOOKUP($A16,[1]!LOOKUP_SARS_Unified2,F$2,FALSE)</f>
        <v>50006.04423868312</v>
      </c>
    </row>
    <row r="17" spans="1:9" ht="15" x14ac:dyDescent="0.25">
      <c r="A17" s="92" t="s">
        <v>1</v>
      </c>
      <c r="B17" s="4" t="str">
        <f>IF(VLOOKUP($A17,[1]!LOOKUP_Key_Information2,B$2,FALSE)&lt;&gt;0,VLOOKUP($A17,[1]!LOOKUP_Key_Information2,B$2,FALSE),"")</f>
        <v>Boeing</v>
      </c>
      <c r="C17" s="1" t="str">
        <f t="shared" si="7"/>
        <v>Boeing</v>
      </c>
      <c r="D17" s="3">
        <f ca="1">VLOOKUP($A17,[1]!LOOKUP_SARS_Unified2,D$2,FALSE)</f>
        <v>0.32299999999999995</v>
      </c>
      <c r="E17" s="32">
        <f t="shared" ca="1" si="8"/>
        <v>1054.960321384425</v>
      </c>
      <c r="F17" s="55">
        <f ca="1">VLOOKUP($A17,[1]!LOOKUP_SARS_Unified2,F$2,FALSE)</f>
        <v>3266.1310259579727</v>
      </c>
      <c r="I17" s="58"/>
    </row>
    <row r="18" spans="1:9" ht="15" x14ac:dyDescent="0.25">
      <c r="A18" s="92" t="s">
        <v>218</v>
      </c>
      <c r="B18" s="4" t="str">
        <f>IF(VLOOKUP($A18,[1]!LOOKUP_Key_Information2,B$2,FALSE)&lt;&gt;0,VLOOKUP($A18,[1]!LOOKUP_Key_Information2,B$2,FALSE),"")</f>
        <v>Boeing</v>
      </c>
      <c r="C18" s="1" t="str">
        <f t="shared" si="7"/>
        <v>Boeing</v>
      </c>
      <c r="D18" s="3">
        <f ca="1">VLOOKUP($A18,[1]!LOOKUP_SARS_Unified2,D$2,FALSE)</f>
        <v>0.44500000000000001</v>
      </c>
      <c r="E18" s="32">
        <f t="shared" ca="1" si="8"/>
        <v>41919.118537353184</v>
      </c>
      <c r="F18" s="55">
        <f ca="1">VLOOKUP($A18,[1]!LOOKUP_SARS_Unified2,F$2,FALSE)</f>
        <v>94200.266376074578</v>
      </c>
    </row>
    <row r="19" spans="1:9" ht="15" x14ac:dyDescent="0.25">
      <c r="A19" s="92" t="s">
        <v>34</v>
      </c>
      <c r="B19" s="4" t="str">
        <f>IF(VLOOKUP($A19,[1]!LOOKUP_Key_Information2,B$2,FALSE)&lt;&gt;0,VLOOKUP($A19,[1]!LOOKUP_Key_Information2,B$2,FALSE),"")</f>
        <v>Boeing</v>
      </c>
      <c r="C19" s="1" t="str">
        <f t="shared" si="7"/>
        <v>Boeing</v>
      </c>
      <c r="D19" s="3">
        <f ca="1">VLOOKUP($A19,[1]!LOOKUP_SARS_Unified2,D$2,FALSE)</f>
        <v>0.27200000000000002</v>
      </c>
      <c r="E19" s="32">
        <f t="shared" ca="1" si="8"/>
        <v>873.97904735298243</v>
      </c>
      <c r="F19" s="55">
        <f ca="1">VLOOKUP($A19,[1]!LOOKUP_SARS_Unified2,F$2,FALSE)</f>
        <v>3213.1582623271411</v>
      </c>
      <c r="I19" s="57"/>
    </row>
    <row r="20" spans="1:9" ht="15" x14ac:dyDescent="0.25">
      <c r="A20" s="92" t="s">
        <v>68</v>
      </c>
      <c r="B20" s="4" t="str">
        <f>IF(VLOOKUP($A20,[1]!LOOKUP_Key_Information2,B$2,FALSE)&lt;&gt;0,VLOOKUP($A20,[1]!LOOKUP_Key_Information2,B$2,FALSE),"")</f>
        <v>Boeing</v>
      </c>
      <c r="C20" s="1" t="str">
        <f t="shared" si="7"/>
        <v>Boeing</v>
      </c>
      <c r="D20" s="3">
        <f ca="1">VLOOKUP($A20,[1]!LOOKUP_SARS_Unified2,D$2,FALSE)</f>
        <v>-0.54</v>
      </c>
      <c r="E20" s="32">
        <f t="shared" ca="1" si="8"/>
        <v>-9636.6971569839297</v>
      </c>
      <c r="F20" s="55">
        <f ca="1">VLOOKUP($A20,[1]!LOOKUP_SARS_Unified2,F$2,FALSE)</f>
        <v>17845.735475896166</v>
      </c>
      <c r="I20" s="57"/>
    </row>
    <row r="21" spans="1:9" ht="15" x14ac:dyDescent="0.25">
      <c r="A21" s="92" t="s">
        <v>245</v>
      </c>
      <c r="B21" s="4" t="str">
        <f>IF(VLOOKUP($A21,[1]!LOOKUP_Key_Information2,B$2,FALSE)&lt;&gt;0,VLOOKUP($A21,[1]!LOOKUP_Key_Information2,B$2,FALSE),"")</f>
        <v>Boeing</v>
      </c>
      <c r="C21" s="1" t="str">
        <f t="shared" si="7"/>
        <v>Boeing</v>
      </c>
      <c r="D21" s="3">
        <f ca="1">VLOOKUP($A21,[1]!LOOKUP_SARS_Unified2,D$2,FALSE)</f>
        <v>80.599999999999994</v>
      </c>
      <c r="E21" s="32">
        <f t="shared" ca="1" si="8"/>
        <v>628562.91626695904</v>
      </c>
      <c r="F21" s="55">
        <f ca="1">VLOOKUP($A21,[1]!LOOKUP_SARS_Unified2,F$2,FALSE)</f>
        <v>7798.5473482252983</v>
      </c>
      <c r="I21" s="57"/>
    </row>
    <row r="22" spans="1:9" ht="15" x14ac:dyDescent="0.25">
      <c r="A22" s="92" t="s">
        <v>63</v>
      </c>
      <c r="B22" s="4" t="str">
        <f>IF(VLOOKUP($A22,[1]!LOOKUP_Key_Information2,B$2,FALSE)&lt;&gt;0,VLOOKUP($A22,[1]!LOOKUP_Key_Information2,B$2,FALSE),"")</f>
        <v>Boeing</v>
      </c>
      <c r="C22" s="1" t="str">
        <f t="shared" si="7"/>
        <v>Boeing</v>
      </c>
      <c r="D22" s="3">
        <f ca="1">VLOOKUP($A22,[1]!LOOKUP_SARS_Unified2,D$2,FALSE)</f>
        <v>0.23800000000000002</v>
      </c>
      <c r="E22" s="32">
        <f t="shared" ca="1" si="8"/>
        <v>1779.3070987654319</v>
      </c>
      <c r="F22" s="55">
        <f ca="1">VLOOKUP($A22,[1]!LOOKUP_SARS_Unified2,F$2,FALSE)</f>
        <v>7476.0802469135788</v>
      </c>
    </row>
    <row r="23" spans="1:9" ht="15" x14ac:dyDescent="0.25">
      <c r="A23" s="92" t="s">
        <v>72</v>
      </c>
      <c r="B23" s="4" t="str">
        <f>IF(VLOOKUP($A23,[1]!LOOKUP_Key_Information2,B$2,FALSE)&lt;&gt;0,VLOOKUP($A23,[1]!LOOKUP_Key_Information2,B$2,FALSE),"")</f>
        <v>Boeing</v>
      </c>
      <c r="C23" s="1" t="str">
        <f t="shared" si="7"/>
        <v>Boeing</v>
      </c>
      <c r="D23" s="3">
        <f ca="1">VLOOKUP($A23,[1]!LOOKUP_SARS_Unified2,D$2,FALSE)</f>
        <v>-1.6E-2</v>
      </c>
      <c r="E23" s="32">
        <f t="shared" ca="1" si="8"/>
        <v>-531.73163464502215</v>
      </c>
      <c r="F23" s="55">
        <f ca="1">VLOOKUP($A23,[1]!LOOKUP_SARS_Unified2,F$2,FALSE)</f>
        <v>33233.227165313881</v>
      </c>
    </row>
    <row r="24" spans="1:9" ht="15" x14ac:dyDescent="0.25">
      <c r="A24" t="s">
        <v>59</v>
      </c>
      <c r="B24" s="4" t="str">
        <f>IF(VLOOKUP($A24,[1]!LOOKUP_Key_Information2,B$2,FALSE)&lt;&gt;0,VLOOKUP($A24,[1]!LOOKUP_Key_Information2,B$2,FALSE),"")</f>
        <v>Boeing</v>
      </c>
      <c r="C24" s="1" t="str">
        <f t="shared" si="7"/>
        <v>Boeing</v>
      </c>
      <c r="D24" s="3">
        <f ca="1">VLOOKUP($A24,[1]!LOOKUP_SARS_Unified2,D$2,FALSE)</f>
        <v>-2.5000000000000001E-2</v>
      </c>
      <c r="E24" s="32">
        <f t="shared" ca="1" si="8"/>
        <v>-92.741189766772834</v>
      </c>
      <c r="F24" s="55">
        <f ca="1">VLOOKUP($A24,[1]!LOOKUP_SARS_Unified2,F$2,FALSE)</f>
        <v>3709.6475906709134</v>
      </c>
    </row>
    <row r="25" spans="1:9" ht="15" x14ac:dyDescent="0.25">
      <c r="A25" s="92" t="s">
        <v>32</v>
      </c>
      <c r="B25" s="4" t="str">
        <f>IF(VLOOKUP($A25,[1]!LOOKUP_Key_Information2,B$2,FALSE)&lt;&gt;0,VLOOKUP($A25,[1]!LOOKUP_Key_Information2,B$2,FALSE),"")</f>
        <v>Bath Iron Works (General Dynamics)</v>
      </c>
      <c r="C25" s="1" t="e">
        <f t="shared" si="7"/>
        <v>#N/A</v>
      </c>
      <c r="D25" s="3">
        <f ca="1">VLOOKUP($A25,[1]!LOOKUP_SARS_Unified2,D$2,FALSE)</f>
        <v>8.3000000000000004E-2</v>
      </c>
      <c r="E25" s="32">
        <f t="shared" ca="1" si="8"/>
        <v>2993.5700240082319</v>
      </c>
      <c r="F25" s="55">
        <f ca="1">VLOOKUP($A25,[1]!LOOKUP_SARS_Unified2,F$2,FALSE)</f>
        <v>36067.108722990743</v>
      </c>
    </row>
    <row r="26" spans="1:9" ht="15" x14ac:dyDescent="0.25">
      <c r="A26" s="92" t="s">
        <v>26</v>
      </c>
      <c r="B26" s="4" t="str">
        <f>IF(VLOOKUP($A26,[1]!LOOKUP_Key_Information2,B$2,FALSE)&lt;&gt;0,VLOOKUP($A26,[1]!LOOKUP_Key_Information2,B$2,FALSE),"")</f>
        <v>General Dynamics</v>
      </c>
      <c r="C26" s="1" t="str">
        <f t="shared" si="7"/>
        <v>General Dynamics</v>
      </c>
      <c r="D26" s="3">
        <f ca="1">VLOOKUP($A26,[1]!LOOKUP_SARS_Unified2,D$2,FALSE)</f>
        <v>0.63400000000000001</v>
      </c>
      <c r="E26" s="32">
        <f t="shared" ca="1" si="8"/>
        <v>5778.1830668526682</v>
      </c>
      <c r="F26" s="55">
        <f ca="1">VLOOKUP($A26,[1]!LOOKUP_SARS_Unified2,F$2,FALSE)</f>
        <v>9113.8534177486872</v>
      </c>
    </row>
    <row r="27" spans="1:9" ht="15" x14ac:dyDescent="0.25">
      <c r="A27" s="92" t="s">
        <v>76</v>
      </c>
      <c r="B27" s="4" t="str">
        <f>IF(VLOOKUP($A27,[1]!LOOKUP_Key_Information2,B$2,FALSE)&lt;&gt;0,VLOOKUP($A27,[1]!LOOKUP_Key_Information2,B$2,FALSE),"")</f>
        <v>General Dynamics</v>
      </c>
      <c r="C27" s="1" t="str">
        <f t="shared" si="7"/>
        <v>General Dynamics</v>
      </c>
      <c r="D27" s="3">
        <f ca="1">VLOOKUP($A27,[1]!LOOKUP_SARS_Unified2,D$2,FALSE)</f>
        <v>-0.27600000000000002</v>
      </c>
      <c r="E27" s="32">
        <f t="shared" ca="1" si="8"/>
        <v>-2767.3316435161723</v>
      </c>
      <c r="F27" s="55">
        <f ca="1">VLOOKUP($A27,[1]!LOOKUP_SARS_Unified2,F$2,FALSE)</f>
        <v>10026.563925783232</v>
      </c>
      <c r="H27" s="102">
        <v>-0.25</v>
      </c>
      <c r="I27" s="1">
        <v>-2000</v>
      </c>
    </row>
    <row r="28" spans="1:9" ht="15" x14ac:dyDescent="0.25">
      <c r="A28" s="92" t="s">
        <v>221</v>
      </c>
      <c r="B28" s="4" t="str">
        <f>IF(VLOOKUP($A28,[1]!LOOKUP_Key_Information2,B$2,FALSE)&lt;&gt;0,VLOOKUP($A28,[1]!LOOKUP_Key_Information2,B$2,FALSE),"")</f>
        <v>General Dynamics</v>
      </c>
      <c r="C28" s="1" t="str">
        <f t="shared" si="7"/>
        <v>General Dynamics</v>
      </c>
      <c r="D28" s="3">
        <f ca="1">VLOOKUP($A28,[1]!LOOKUP_SARS_Unified2,D$2,FALSE)</f>
        <v>-0.90400000000000003</v>
      </c>
      <c r="E28" s="32">
        <f t="shared" ca="1" si="8"/>
        <v>-2683.3224361302823</v>
      </c>
      <c r="F28" s="55">
        <f ca="1">VLOOKUP($A28,[1]!LOOKUP_SARS_Unified2,F$2,FALSE)</f>
        <v>2968.2770311175686</v>
      </c>
      <c r="H28" s="102">
        <v>0.5</v>
      </c>
      <c r="I28" s="1">
        <v>-2000</v>
      </c>
    </row>
    <row r="29" spans="1:9" ht="15" x14ac:dyDescent="0.25">
      <c r="A29" s="92" t="s">
        <v>75</v>
      </c>
      <c r="B29" s="4" t="str">
        <f>IF(VLOOKUP($A29,[1]!LOOKUP_Key_Information2,B$2,FALSE)&lt;&gt;0,VLOOKUP($A29,[1]!LOOKUP_Key_Information2,B$2,FALSE),"")</f>
        <v xml:space="preserve">General Dynamics </v>
      </c>
      <c r="C29" s="1" t="e">
        <f t="shared" si="7"/>
        <v>#N/A</v>
      </c>
      <c r="D29" s="3">
        <f ca="1">VLOOKUP($A29,[1]!LOOKUP_SARS_Unified2,D$2,FALSE)</f>
        <v>-3.4000000000000002E-2</v>
      </c>
      <c r="E29" s="32">
        <f t="shared" ca="1" si="8"/>
        <v>-3056.3240676072078</v>
      </c>
      <c r="F29" s="55">
        <f ca="1">VLOOKUP($A29,[1]!LOOKUP_SARS_Unified2,F$2,FALSE)</f>
        <v>89891.884341388461</v>
      </c>
      <c r="H29" s="102">
        <v>0.5</v>
      </c>
      <c r="I29" s="1">
        <v>10000</v>
      </c>
    </row>
    <row r="30" spans="1:9" ht="15" x14ac:dyDescent="0.25">
      <c r="A30" s="92" t="s">
        <v>40</v>
      </c>
      <c r="B30" s="4" t="str">
        <f>IF(VLOOKUP($A30,[1]!LOOKUP_Key_Information2,B$2,FALSE)&lt;&gt;0,VLOOKUP($A30,[1]!LOOKUP_Key_Information2,B$2,FALSE),"")</f>
        <v xml:space="preserve">General Dynamics </v>
      </c>
      <c r="C30" s="1" t="e">
        <f t="shared" si="7"/>
        <v>#N/A</v>
      </c>
      <c r="D30" s="3">
        <f ca="1">VLOOKUP($A30,[1]!LOOKUP_SARS_Unified2,D$2,FALSE)</f>
        <v>0.02</v>
      </c>
      <c r="E30" s="32">
        <f t="shared" ca="1" si="8"/>
        <v>195.41730610317555</v>
      </c>
      <c r="F30" s="55">
        <f ca="1">VLOOKUP($A30,[1]!LOOKUP_SARS_Unified2,F$2,FALSE)</f>
        <v>9770.8653051587771</v>
      </c>
      <c r="H30" s="102">
        <v>-0.25</v>
      </c>
      <c r="I30" s="1">
        <v>10000</v>
      </c>
    </row>
    <row r="31" spans="1:9" ht="15" x14ac:dyDescent="0.25">
      <c r="A31" s="92" t="s">
        <v>52</v>
      </c>
      <c r="B31" s="4" t="str">
        <f>IF(VLOOKUP($A31,[1]!LOOKUP_Key_Information2,B$2,FALSE)&lt;&gt;0,VLOOKUP($A31,[1]!LOOKUP_Key_Information2,B$2,FALSE),"")</f>
        <v>General Dynamics (NASSCO)</v>
      </c>
      <c r="C31" s="1" t="e">
        <f t="shared" si="7"/>
        <v>#N/A</v>
      </c>
      <c r="D31" s="3">
        <f ca="1">VLOOKUP($A31,[1]!LOOKUP_SARS_Unified2,D$2,FALSE)</f>
        <v>0.08</v>
      </c>
      <c r="E31" s="32">
        <f t="shared" ca="1" si="8"/>
        <v>438.53909465020575</v>
      </c>
      <c r="F31" s="55">
        <f ca="1">VLOOKUP($A31,[1]!LOOKUP_SARS_Unified2,F$2,FALSE)</f>
        <v>5481.7386831275717</v>
      </c>
      <c r="H31" s="102">
        <v>-0.25</v>
      </c>
      <c r="I31" s="1">
        <v>-2000</v>
      </c>
    </row>
    <row r="32" spans="1:9" ht="15" x14ac:dyDescent="0.25">
      <c r="A32" t="s">
        <v>43</v>
      </c>
      <c r="B32" s="4" t="str">
        <f>IF(VLOOKUP($A32,[1]!LOOKUP_Key_Information2,B$2,FALSE)&lt;&gt;0,VLOOKUP($A32,[1]!LOOKUP_Key_Information2,B$2,FALSE),"")</f>
        <v>General Dynamics</v>
      </c>
      <c r="C32" s="1" t="str">
        <f t="shared" si="7"/>
        <v>General Dynamics</v>
      </c>
      <c r="D32" s="3">
        <f ca="1">VLOOKUP($A32,[1]!LOOKUP_SARS_Unified2,D$2,FALSE)</f>
        <v>2.1000000000000001E-2</v>
      </c>
      <c r="E32" s="32">
        <f t="shared" ca="1" si="8"/>
        <v>85.586436312909129</v>
      </c>
      <c r="F32" s="55">
        <f ca="1">VLOOKUP($A32,[1]!LOOKUP_SARS_Unified2,F$2,FALSE)</f>
        <v>4075.5445863290056</v>
      </c>
    </row>
    <row r="33" spans="1:13" ht="15" x14ac:dyDescent="0.25">
      <c r="A33" t="s">
        <v>57</v>
      </c>
      <c r="B33" s="4" t="str">
        <f>IF(VLOOKUP($A33,[1]!LOOKUP_Key_Information2,B$2,FALSE)&lt;&gt;0,VLOOKUP($A33,[1]!LOOKUP_Key_Information2,B$2,FALSE),"")</f>
        <v>General Dynamics</v>
      </c>
      <c r="C33" s="1" t="str">
        <f t="shared" si="7"/>
        <v>General Dynamics</v>
      </c>
      <c r="D33" s="3">
        <f ca="1">VLOOKUP($A33,[1]!LOOKUP_SARS_Unified2,D$2,FALSE)</f>
        <v>6.2E-2</v>
      </c>
      <c r="E33" s="32">
        <f t="shared" ca="1" si="8"/>
        <v>298.50200349327031</v>
      </c>
      <c r="F33" s="55">
        <f ca="1">VLOOKUP($A33,[1]!LOOKUP_SARS_Unified2,F$2,FALSE)</f>
        <v>4814.548443439844</v>
      </c>
    </row>
    <row r="34" spans="1:13" ht="15" x14ac:dyDescent="0.25">
      <c r="A34" t="s">
        <v>185</v>
      </c>
      <c r="B34" s="4" t="str">
        <f>IF(VLOOKUP($A34,[1]!LOOKUP_Key_Information2,B$2,FALSE)&lt;&gt;0,VLOOKUP($A34,[1]!LOOKUP_Key_Information2,B$2,FALSE),"")</f>
        <v>General Dynamics</v>
      </c>
      <c r="C34" s="1" t="str">
        <f t="shared" si="7"/>
        <v>General Dynamics</v>
      </c>
      <c r="D34" s="3">
        <f ca="1">VLOOKUP($A34,[1]!LOOKUP_SARS_Unified2,D$2,FALSE)</f>
        <v>-0.19500000000000001</v>
      </c>
      <c r="E34" s="32">
        <f t="shared" ca="1" si="8"/>
        <v>-3191.0357142857142</v>
      </c>
      <c r="F34" s="55">
        <f ca="1">VLOOKUP($A34,[1]!LOOKUP_SARS_Unified2,F$2,FALSE)</f>
        <v>16364.285714285714</v>
      </c>
    </row>
    <row r="35" spans="1:13" ht="15" x14ac:dyDescent="0.25">
      <c r="A35" s="92" t="s">
        <v>212</v>
      </c>
      <c r="B35" s="4" t="str">
        <f>IF(VLOOKUP($A35,[1]!LOOKUP_Key_Information2,B$2,FALSE)&lt;&gt;0,VLOOKUP($A35,[1]!LOOKUP_Key_Information2,B$2,FALSE),"")</f>
        <v>Lockheed Martin</v>
      </c>
      <c r="C35" s="1" t="str">
        <f t="shared" si="7"/>
        <v>Lockheed Martin</v>
      </c>
      <c r="D35" s="3">
        <f ca="1">VLOOKUP($A35,[1]!LOOKUP_SARS_Unified2,D$2,FALSE)</f>
        <v>-0.14899999999999999</v>
      </c>
      <c r="E35" s="32">
        <f t="shared" ca="1" si="8"/>
        <v>-695.83847923477413</v>
      </c>
      <c r="F35" s="55">
        <f ca="1">VLOOKUP($A35,[1]!LOOKUP_SARS_Unified2,F$2,FALSE)</f>
        <v>4670.0569076159336</v>
      </c>
    </row>
    <row r="36" spans="1:13" ht="15" x14ac:dyDescent="0.25">
      <c r="A36" s="92" t="s">
        <v>25</v>
      </c>
      <c r="B36" s="4" t="str">
        <f>IF(VLOOKUP($A36,[1]!LOOKUP_Key_Information2,B$2,FALSE)&lt;&gt;0,VLOOKUP($A36,[1]!LOOKUP_Key_Information2,B$2,FALSE),"")</f>
        <v>Lockheed Martin / TRW Systems (Northrop Grumman)</v>
      </c>
      <c r="C36" s="1" t="e">
        <f t="shared" si="7"/>
        <v>#N/A</v>
      </c>
      <c r="D36" s="3">
        <f ca="1">VLOOKUP($A36,[1]!LOOKUP_SARS_Unified2,D$2,FALSE)</f>
        <v>0.33600000000000002</v>
      </c>
      <c r="E36" s="32">
        <f t="shared" ca="1" si="8"/>
        <v>2409.1906056860321</v>
      </c>
      <c r="F36" s="55">
        <f ca="1">VLOOKUP($A36,[1]!LOOKUP_SARS_Unified2,F$2,FALSE)</f>
        <v>7170.2101359703329</v>
      </c>
    </row>
    <row r="37" spans="1:13" ht="15" x14ac:dyDescent="0.25">
      <c r="A37" s="92" t="s">
        <v>174</v>
      </c>
      <c r="B37" s="4" t="str">
        <f>IF(VLOOKUP($A37,[1]!LOOKUP_Key_Information2,B$2,FALSE)&lt;&gt;0,VLOOKUP($A37,[1]!LOOKUP_Key_Information2,B$2,FALSE),"")</f>
        <v>Lockheed Martin</v>
      </c>
      <c r="C37" s="1" t="str">
        <f t="shared" si="7"/>
        <v>Lockheed Martin</v>
      </c>
      <c r="D37" s="3">
        <f ca="1">VLOOKUP($A37,[1]!LOOKUP_SARS_Unified2,D$2,FALSE)</f>
        <v>-0.191</v>
      </c>
      <c r="E37" s="32">
        <f t="shared" ca="1" si="8"/>
        <v>-1554.4871499003461</v>
      </c>
      <c r="F37" s="55">
        <f ca="1">VLOOKUP($A37,[1]!LOOKUP_SARS_Unified2,F$2,FALSE)</f>
        <v>8138.6761774887236</v>
      </c>
    </row>
    <row r="38" spans="1:13" ht="15" x14ac:dyDescent="0.25">
      <c r="A38" s="92" t="s">
        <v>19</v>
      </c>
      <c r="B38" s="4" t="str">
        <f>IF(VLOOKUP($A38,[1]!LOOKUP_Key_Information2,B$2,FALSE)&lt;&gt;0,VLOOKUP($A38,[1]!LOOKUP_Key_Information2,B$2,FALSE),"")</f>
        <v>Lockheed Martin</v>
      </c>
      <c r="C38" s="1" t="str">
        <f t="shared" si="7"/>
        <v>Lockheed Martin</v>
      </c>
      <c r="D38" s="3">
        <f ca="1">VLOOKUP($A38,[1]!LOOKUP_SARS_Unified2,D$2,FALSE)</f>
        <v>0.318</v>
      </c>
      <c r="E38" s="32">
        <f t="shared" ca="1" si="8"/>
        <v>318.43579553241062</v>
      </c>
      <c r="F38" s="55">
        <f ca="1">VLOOKUP($A38,[1]!LOOKUP_SARS_Unified2,F$2,FALSE)</f>
        <v>1001.3704262025491</v>
      </c>
    </row>
    <row r="39" spans="1:13" ht="15" x14ac:dyDescent="0.25">
      <c r="A39" s="92" t="s">
        <v>27</v>
      </c>
      <c r="B39" s="4" t="str">
        <f>IF(VLOOKUP($A39,[1]!LOOKUP_Key_Information2,B$2,FALSE)&lt;&gt;0,VLOOKUP($A39,[1]!LOOKUP_Key_Information2,B$2,FALSE),"")</f>
        <v>Lockheed Martin</v>
      </c>
      <c r="C39" s="1" t="str">
        <f t="shared" si="7"/>
        <v>Lockheed Martin</v>
      </c>
      <c r="D39" s="3">
        <f ca="1">VLOOKUP($A39,[1]!LOOKUP_SARS_Unified2,D$2,FALSE)</f>
        <v>-1.9E-2</v>
      </c>
      <c r="E39" s="32">
        <f t="shared" ca="1" si="8"/>
        <v>-142.43721808454842</v>
      </c>
      <c r="F39" s="55">
        <f ca="1">VLOOKUP($A39,[1]!LOOKUP_SARS_Unified2,F$2,FALSE)</f>
        <v>7496.695688660443</v>
      </c>
    </row>
    <row r="40" spans="1:13" ht="15" x14ac:dyDescent="0.25">
      <c r="A40" s="92" t="s">
        <v>250</v>
      </c>
      <c r="B40" s="4" t="str">
        <f>IF(VLOOKUP($A40,[1]!LOOKUP_Key_Information2,B$2,FALSE)&lt;&gt;0,VLOOKUP($A40,[1]!LOOKUP_Key_Information2,B$2,FALSE),"")</f>
        <v>Lockheed Martin</v>
      </c>
      <c r="C40" s="1" t="str">
        <f t="shared" si="7"/>
        <v>Lockheed Martin</v>
      </c>
      <c r="D40" s="3">
        <f ca="1">VLOOKUP($A40,[1]!LOOKUP_SARS_Unified2,D$2,FALSE)</f>
        <v>0.19899999999999998</v>
      </c>
      <c r="E40" s="32">
        <f t="shared" ca="1" si="8"/>
        <v>195.4146125787554</v>
      </c>
      <c r="F40" s="55">
        <f ca="1">VLOOKUP($A40,[1]!LOOKUP_SARS_Unified2,F$2,FALSE)</f>
        <v>981.98297778269045</v>
      </c>
    </row>
    <row r="41" spans="1:13" ht="15" x14ac:dyDescent="0.25">
      <c r="A41" s="92" t="s">
        <v>244</v>
      </c>
      <c r="B41" s="4" t="str">
        <f>IF(VLOOKUP($A41,[1]!LOOKUP_Key_Information2,B$2,FALSE)&lt;&gt;0,VLOOKUP($A41,[1]!LOOKUP_Key_Information2,B$2,FALSE),"")</f>
        <v>Lockheed Martin, Boeing, Pratt &amp; Whitney</v>
      </c>
      <c r="C41" s="1" t="e">
        <f t="shared" si="7"/>
        <v>#N/A</v>
      </c>
      <c r="D41" s="3">
        <f ca="1">VLOOKUP($A41,[1]!LOOKUP_SARS_Unified2,D$2,FALSE)</f>
        <v>6.8000000000000005E-2</v>
      </c>
      <c r="E41" s="32">
        <f t="shared" ca="1" si="8"/>
        <v>4997.319766777181</v>
      </c>
      <c r="F41" s="55">
        <f ca="1">VLOOKUP($A41,[1]!LOOKUP_SARS_Unified2,F$2,FALSE)</f>
        <v>73489.996570252653</v>
      </c>
      <c r="L41" s="1" t="s">
        <v>237</v>
      </c>
      <c r="M41" s="1" t="s">
        <v>238</v>
      </c>
    </row>
    <row r="42" spans="1:13" ht="15" x14ac:dyDescent="0.25">
      <c r="A42" s="104" t="s">
        <v>10</v>
      </c>
      <c r="B42" s="4" t="str">
        <f>IF(VLOOKUP($A42,[1]!LOOKUP_Key_Information2,B$2,FALSE)&lt;&gt;0,VLOOKUP($A42,[1]!LOOKUP_Key_Information2,B$2,FALSE),"")</f>
        <v>Lockheed Martin</v>
      </c>
      <c r="C42" s="111" t="str">
        <f t="shared" ref="C42:C73" si="9">VLOOKUP($B42,LOOKUP_Company_Filter,3,FALSE)</f>
        <v>Lockheed Martin</v>
      </c>
      <c r="D42" s="3">
        <f ca="1">VLOOKUP($A42,[1]!LOOKUP_SARS_Unified2,D$2,FALSE)</f>
        <v>0.52800000000000002</v>
      </c>
      <c r="E42" s="107">
        <f t="shared" ref="E42:E73" ca="1" si="10">D42*F42</f>
        <v>115585.66131025959</v>
      </c>
      <c r="F42" s="55">
        <f ca="1">VLOOKUP($A42,[1]!LOOKUP_SARS_Unified2,F$2,FALSE)</f>
        <v>218912.23733003708</v>
      </c>
      <c r="K42" s="1" t="s">
        <v>239</v>
      </c>
      <c r="L42" s="19">
        <v>-0.25</v>
      </c>
      <c r="M42" s="1">
        <v>-2000</v>
      </c>
    </row>
    <row r="43" spans="1:13" ht="15" x14ac:dyDescent="0.25">
      <c r="A43" s="92" t="s">
        <v>53</v>
      </c>
      <c r="B43" s="4" t="str">
        <f>IF(VLOOKUP($A43,[1]!LOOKUP_Key_Information2,B$2,FALSE)&lt;&gt;0,VLOOKUP($A43,[1]!LOOKUP_Key_Information2,B$2,FALSE),"")</f>
        <v>Lockheed Martin</v>
      </c>
      <c r="C43" s="1" t="str">
        <f t="shared" si="9"/>
        <v>Lockheed Martin</v>
      </c>
      <c r="D43" s="3">
        <f ca="1">VLOOKUP($A43,[1]!LOOKUP_SARS_Unified2,D$2,FALSE)</f>
        <v>0.25800000000000001</v>
      </c>
      <c r="E43" s="32">
        <f t="shared" ca="1" si="10"/>
        <v>3055.202324736651</v>
      </c>
      <c r="F43" s="55">
        <f ca="1">VLOOKUP($A43,[1]!LOOKUP_SARS_Unified2,F$2,FALSE)</f>
        <v>11841.869475723453</v>
      </c>
      <c r="K43" s="1" t="s">
        <v>240</v>
      </c>
      <c r="L43" s="19">
        <v>0.5</v>
      </c>
      <c r="M43" s="1">
        <v>-2000</v>
      </c>
    </row>
    <row r="44" spans="1:13" ht="15" x14ac:dyDescent="0.25">
      <c r="A44" s="92" t="s">
        <v>4</v>
      </c>
      <c r="B44" s="4" t="str">
        <f>IF(VLOOKUP($A44,[1]!LOOKUP_Key_Information2,B$2,FALSE)&lt;&gt;0,VLOOKUP($A44,[1]!LOOKUP_Key_Information2,B$2,FALSE),"")</f>
        <v>Lockheed Martin</v>
      </c>
      <c r="C44" s="1" t="str">
        <f t="shared" si="9"/>
        <v>Lockheed Martin</v>
      </c>
      <c r="D44" s="3">
        <f ca="1">VLOOKUP($A44,[1]!LOOKUP_SARS_Unified2,D$2,FALSE)</f>
        <v>-3.2000000000000001E-2</v>
      </c>
      <c r="E44" s="32">
        <f t="shared" ca="1" si="10"/>
        <v>-136.20959621904859</v>
      </c>
      <c r="F44" s="55">
        <f ca="1">VLOOKUP($A44,[1]!LOOKUP_SARS_Unified2,F$2,FALSE)</f>
        <v>4256.5498818452688</v>
      </c>
      <c r="K44" s="1" t="s">
        <v>241</v>
      </c>
      <c r="L44" s="19">
        <v>0.5</v>
      </c>
      <c r="M44" s="1">
        <v>10000</v>
      </c>
    </row>
    <row r="45" spans="1:13" ht="15" x14ac:dyDescent="0.25">
      <c r="A45" s="92" t="s">
        <v>3</v>
      </c>
      <c r="B45" s="4" t="str">
        <f>IF(VLOOKUP($A45,[1]!LOOKUP_Key_Information2,B$2,FALSE)&lt;&gt;0,VLOOKUP($A45,[1]!LOOKUP_Key_Information2,B$2,FALSE),"")</f>
        <v>Lockheed Martin</v>
      </c>
      <c r="C45" s="1" t="str">
        <f t="shared" si="9"/>
        <v>Lockheed Martin</v>
      </c>
      <c r="D45" s="3">
        <f ca="1">VLOOKUP($A45,[1]!LOOKUP_SARS_Unified2,D$2,FALSE)</f>
        <v>-0.13</v>
      </c>
      <c r="E45" s="32">
        <f t="shared" ca="1" si="10"/>
        <v>-584.22084998183789</v>
      </c>
      <c r="F45" s="55">
        <f ca="1">VLOOKUP($A45,[1]!LOOKUP_SARS_Unified2,F$2,FALSE)</f>
        <v>4494.0065383218298</v>
      </c>
      <c r="K45" s="1" t="s">
        <v>242</v>
      </c>
      <c r="L45" s="19">
        <v>-0.25</v>
      </c>
      <c r="M45" s="1">
        <v>10000</v>
      </c>
    </row>
    <row r="46" spans="1:13" ht="15" x14ac:dyDescent="0.25">
      <c r="A46" s="92" t="s">
        <v>61</v>
      </c>
      <c r="B46" s="4" t="str">
        <f>IF(VLOOKUP($A46,[1]!LOOKUP_Key_Information2,B$2,FALSE)&lt;&gt;0,VLOOKUP($A46,[1]!LOOKUP_Key_Information2,B$2,FALSE),"")</f>
        <v>Lockheed Martin</v>
      </c>
      <c r="C46" s="1" t="str">
        <f t="shared" si="9"/>
        <v>Lockheed Martin</v>
      </c>
      <c r="D46" s="3">
        <f ca="1">VLOOKUP($A46,[1]!LOOKUP_SARS_Unified2,D$2,FALSE)</f>
        <v>0.44600000000000001</v>
      </c>
      <c r="E46" s="32">
        <f t="shared" ca="1" si="10"/>
        <v>2502.1852213996372</v>
      </c>
      <c r="F46" s="55">
        <f ca="1">VLOOKUP($A46,[1]!LOOKUP_SARS_Unified2,F$2,FALSE)</f>
        <v>5610.2807654700382</v>
      </c>
      <c r="K46" s="1" t="s">
        <v>239</v>
      </c>
      <c r="L46" s="19">
        <v>-0.25</v>
      </c>
      <c r="M46" s="1">
        <v>-2000</v>
      </c>
    </row>
    <row r="47" spans="1:13" ht="15" x14ac:dyDescent="0.25">
      <c r="A47" s="92" t="s">
        <v>219</v>
      </c>
      <c r="B47" s="4" t="str">
        <f>IF(VLOOKUP($A47,[1]!LOOKUP_Key_Information2,B$2,FALSE)&lt;&gt;0,VLOOKUP($A47,[1]!LOOKUP_Key_Information2,B$2,FALSE),"")</f>
        <v>Lockheed Martin</v>
      </c>
      <c r="C47" s="1" t="str">
        <f t="shared" si="9"/>
        <v>Lockheed Martin</v>
      </c>
      <c r="D47" s="3">
        <f ca="1">VLOOKUP($A47,[1]!LOOKUP_SARS_Unified2,D$2,FALSE)</f>
        <v>-0.70599999999999996</v>
      </c>
      <c r="E47" s="32">
        <f t="shared" ca="1" si="10"/>
        <v>-5643.166096092551</v>
      </c>
      <c r="F47" s="55">
        <f ca="1">VLOOKUP($A47,[1]!LOOKUP_SARS_Unified2,F$2,FALSE)</f>
        <v>7993.1531106126786</v>
      </c>
      <c r="K47" s="1">
        <f>SUM(K48:K67)</f>
        <v>74</v>
      </c>
    </row>
    <row r="48" spans="1:13" ht="15" x14ac:dyDescent="0.25">
      <c r="A48" s="92" t="s">
        <v>65</v>
      </c>
      <c r="B48" s="4" t="str">
        <f>IF(VLOOKUP($A48,[1]!LOOKUP_Key_Information2,B$2,FALSE)&lt;&gt;0,VLOOKUP($A48,[1]!LOOKUP_Key_Information2,B$2,FALSE),"")</f>
        <v>Lockheed Martin</v>
      </c>
      <c r="C48" s="1" t="str">
        <f t="shared" si="9"/>
        <v>Lockheed Martin</v>
      </c>
      <c r="D48" s="3">
        <f ca="1">VLOOKUP($A48,[1]!LOOKUP_SARS_Unified2,D$2,FALSE)</f>
        <v>0.04</v>
      </c>
      <c r="E48" s="32">
        <f t="shared" ca="1" si="10"/>
        <v>272.40703576909453</v>
      </c>
      <c r="F48" s="55">
        <f ca="1">VLOOKUP($A48,[1]!LOOKUP_SARS_Unified2,F$2,FALSE)</f>
        <v>6810.1758942273636</v>
      </c>
      <c r="J48" s="56" t="s">
        <v>125</v>
      </c>
      <c r="K48" s="9">
        <f t="shared" ref="K48:K64" si="11">COUNTIF(PRIME_PRIME_ALL,J48)</f>
        <v>1</v>
      </c>
      <c r="L48" s="9" t="str">
        <f t="shared" ref="L48:L59" si="12">IF(AND(K48&gt;5,J48&lt;&gt;"Unknown",J48&lt;&gt;"Various"),J48,"Other")</f>
        <v>Other</v>
      </c>
    </row>
    <row r="49" spans="1:12" ht="15" x14ac:dyDescent="0.25">
      <c r="A49" s="92" t="s">
        <v>38</v>
      </c>
      <c r="B49" s="4" t="e">
        <f>IF(VLOOKUP($A49,[1]!LOOKUP_Key_Information2,B$2,FALSE)&lt;&gt;0,VLOOKUP($A49,[1]!LOOKUP_Key_Information2,B$2,FALSE),"")</f>
        <v>#N/A</v>
      </c>
      <c r="C49" s="1" t="e">
        <f t="shared" si="9"/>
        <v>#N/A</v>
      </c>
      <c r="D49" s="3" t="e">
        <f>VLOOKUP($A49,[1]!LOOKUP_SARS_Unified2,D$2,FALSE)</f>
        <v>#N/A</v>
      </c>
      <c r="E49" s="32" t="e">
        <f t="shared" si="10"/>
        <v>#N/A</v>
      </c>
      <c r="F49" s="55" t="e">
        <f>VLOOKUP($A49,[1]!LOOKUP_SARS_Unified2,F$2,FALSE)</f>
        <v>#N/A</v>
      </c>
      <c r="J49" s="4" t="s">
        <v>190</v>
      </c>
      <c r="K49" s="9">
        <f t="shared" si="11"/>
        <v>1</v>
      </c>
      <c r="L49" s="9" t="str">
        <f t="shared" si="12"/>
        <v>Other</v>
      </c>
    </row>
    <row r="50" spans="1:12" ht="15" x14ac:dyDescent="0.25">
      <c r="A50" s="92" t="s">
        <v>77</v>
      </c>
      <c r="B50" s="4" t="str">
        <f>IF(VLOOKUP($A50,[1]!LOOKUP_Key_Information2,B$2,FALSE)&lt;&gt;0,VLOOKUP($A50,[1]!LOOKUP_Key_Information2,B$2,FALSE),"")</f>
        <v>MEADS International</v>
      </c>
      <c r="C50" s="1" t="e">
        <f t="shared" si="9"/>
        <v>#N/A</v>
      </c>
      <c r="D50" s="3">
        <f ca="1">VLOOKUP($A50,[1]!LOOKUP_SARS_Unified2,D$2,FALSE)</f>
        <v>-4.0999999999999995E-2</v>
      </c>
      <c r="E50" s="32">
        <f t="shared" ca="1" si="10"/>
        <v>-1101.1774288749853</v>
      </c>
      <c r="F50" s="55">
        <f ca="1">VLOOKUP($A50,[1]!LOOKUP_SARS_Unified2,F$2,FALSE)</f>
        <v>26857.986070121595</v>
      </c>
      <c r="J50" s="135" t="s">
        <v>189</v>
      </c>
      <c r="K50" s="9">
        <f t="shared" si="11"/>
        <v>1</v>
      </c>
      <c r="L50" s="9" t="str">
        <f t="shared" si="12"/>
        <v>Other</v>
      </c>
    </row>
    <row r="51" spans="1:12" ht="15" x14ac:dyDescent="0.25">
      <c r="A51" s="92" t="s">
        <v>50</v>
      </c>
      <c r="B51" s="4" t="str">
        <f>IF(VLOOKUP($A51,[1]!LOOKUP_Key_Information2,B$2,FALSE)&lt;&gt;0,VLOOKUP($A51,[1]!LOOKUP_Key_Information2,B$2,FALSE),"")</f>
        <v>Lockheed Martin</v>
      </c>
      <c r="C51" s="1" t="str">
        <f t="shared" si="9"/>
        <v>Lockheed Martin</v>
      </c>
      <c r="D51" s="3">
        <f ca="1">VLOOKUP($A51,[1]!LOOKUP_SARS_Unified2,D$2,FALSE)</f>
        <v>-1.1000000000000001E-2</v>
      </c>
      <c r="E51" s="32">
        <f t="shared" ca="1" si="10"/>
        <v>-15.55830662097933</v>
      </c>
      <c r="F51" s="55">
        <f ca="1">VLOOKUP($A51,[1]!LOOKUP_SARS_Unified2,F$2,FALSE)</f>
        <v>1414.3915109981208</v>
      </c>
      <c r="J51" s="53" t="s">
        <v>124</v>
      </c>
      <c r="K51" s="9">
        <f t="shared" si="11"/>
        <v>0</v>
      </c>
      <c r="L51" s="9" t="str">
        <f t="shared" si="12"/>
        <v>Other</v>
      </c>
    </row>
    <row r="52" spans="1:12" ht="15" x14ac:dyDescent="0.25">
      <c r="A52" s="92" t="s">
        <v>64</v>
      </c>
      <c r="B52" s="4" t="str">
        <f>IF(VLOOKUP($A52,[1]!LOOKUP_Key_Information2,B$2,FALSE)&lt;&gt;0,VLOOKUP($A52,[1]!LOOKUP_Key_Information2,B$2,FALSE),"")</f>
        <v>Lockheed Martin</v>
      </c>
      <c r="C52" s="1" t="str">
        <f t="shared" si="9"/>
        <v>Lockheed Martin</v>
      </c>
      <c r="D52" s="3">
        <f ca="1">VLOOKUP($A52,[1]!LOOKUP_SARS_Unified2,D$2,FALSE)</f>
        <v>1.7519999999999998</v>
      </c>
      <c r="E52" s="32">
        <f t="shared" ca="1" si="10"/>
        <v>9004.7269171672015</v>
      </c>
      <c r="F52" s="55">
        <f ca="1">VLOOKUP($A52,[1]!LOOKUP_SARS_Unified2,F$2,FALSE)</f>
        <v>5139.6843134515993</v>
      </c>
      <c r="J52" s="56" t="s">
        <v>115</v>
      </c>
      <c r="K52" s="9">
        <f t="shared" si="11"/>
        <v>16</v>
      </c>
      <c r="L52" s="9" t="str">
        <f t="shared" si="12"/>
        <v>Boeing</v>
      </c>
    </row>
    <row r="53" spans="1:12" ht="15" x14ac:dyDescent="0.25">
      <c r="A53" s="92" t="s">
        <v>249</v>
      </c>
      <c r="B53" s="4" t="str">
        <f>IF(VLOOKUP($A53,[1]!LOOKUP_Key_Information2,B$2,FALSE)&lt;&gt;0,VLOOKUP($A53,[1]!LOOKUP_Key_Information2,B$2,FALSE),"")</f>
        <v>Lockheed Martin</v>
      </c>
      <c r="C53" s="1" t="str">
        <f t="shared" si="9"/>
        <v>Lockheed Martin</v>
      </c>
      <c r="D53" s="3">
        <f ca="1">VLOOKUP($A53,[1]!LOOKUP_SARS_Unified2,D$2,FALSE)</f>
        <v>0.20699999999999999</v>
      </c>
      <c r="E53" s="32">
        <f t="shared" ca="1" si="10"/>
        <v>10896.242021803764</v>
      </c>
      <c r="F53" s="55">
        <f ca="1">VLOOKUP($A53,[1]!LOOKUP_SARS_Unified2,F$2,FALSE)</f>
        <v>52638.850346878091</v>
      </c>
      <c r="J53" s="134" t="s">
        <v>224</v>
      </c>
      <c r="K53" s="9">
        <f t="shared" si="11"/>
        <v>1</v>
      </c>
      <c r="L53" s="9" t="str">
        <f t="shared" si="12"/>
        <v>Other</v>
      </c>
    </row>
    <row r="54" spans="1:12" ht="15" x14ac:dyDescent="0.25">
      <c r="A54" s="92" t="s">
        <v>223</v>
      </c>
      <c r="B54" s="4" t="str">
        <f>IF(VLOOKUP($A54,[1]!LOOKUP_Key_Information2,B$2,FALSE)&lt;&gt;0,VLOOKUP($A54,[1]!LOOKUP_Key_Information2,B$2,FALSE),"")</f>
        <v>Lockheed Martin</v>
      </c>
      <c r="C54" s="1" t="str">
        <f t="shared" si="9"/>
        <v>Lockheed Martin</v>
      </c>
      <c r="D54" s="3">
        <f ca="1">VLOOKUP($A54,[1]!LOOKUP_SARS_Unified2,D$2,FALSE)</f>
        <v>-3.3000000000000002E-2</v>
      </c>
      <c r="E54" s="32">
        <f t="shared" ca="1" si="10"/>
        <v>-225.89756629131858</v>
      </c>
      <c r="F54" s="55">
        <f ca="1">VLOOKUP($A54,[1]!LOOKUP_SARS_Unified2,F$2,FALSE)</f>
        <v>6845.3807967066232</v>
      </c>
      <c r="J54" s="53" t="s">
        <v>123</v>
      </c>
      <c r="K54" s="9">
        <f t="shared" si="11"/>
        <v>1</v>
      </c>
      <c r="L54" s="9" t="str">
        <f t="shared" si="12"/>
        <v>Other</v>
      </c>
    </row>
    <row r="55" spans="1:12" ht="15" x14ac:dyDescent="0.25">
      <c r="A55" s="92" t="s">
        <v>214</v>
      </c>
      <c r="B55" s="4" t="str">
        <f>IF(VLOOKUP($A55,[1]!LOOKUP_Key_Information2,B$2,FALSE)&lt;&gt;0,VLOOKUP($A55,[1]!LOOKUP_Key_Information2,B$2,FALSE),"")</f>
        <v>Northrop Grumman</v>
      </c>
      <c r="C55" s="1" t="str">
        <f t="shared" si="9"/>
        <v>Northrop Grumman</v>
      </c>
      <c r="D55" s="3">
        <f ca="1">VLOOKUP($A55,[1]!LOOKUP_SARS_Unified2,D$2,FALSE)</f>
        <v>2.7999999999999997E-2</v>
      </c>
      <c r="E55" s="32">
        <f t="shared" ca="1" si="10"/>
        <v>62.309238406586744</v>
      </c>
      <c r="F55" s="55">
        <f ca="1">VLOOKUP($A55,[1]!LOOKUP_SARS_Unified2,F$2,FALSE)</f>
        <v>2225.3299430923839</v>
      </c>
      <c r="J55" s="134" t="s">
        <v>188</v>
      </c>
      <c r="K55" s="9">
        <f t="shared" si="11"/>
        <v>3</v>
      </c>
      <c r="L55" s="9" t="str">
        <f t="shared" si="12"/>
        <v>Other</v>
      </c>
    </row>
    <row r="56" spans="1:12" ht="15" x14ac:dyDescent="0.25">
      <c r="A56" s="92" t="s">
        <v>175</v>
      </c>
      <c r="B56" s="4" t="str">
        <f>IF(VLOOKUP($A56,[1]!LOOKUP_Key_Information2,B$2,FALSE)&lt;&gt;0,VLOOKUP($A56,[1]!LOOKUP_Key_Information2,B$2,FALSE),"")</f>
        <v xml:space="preserve">Northrop Grumman, Lockheed, L-3 Communications, Raytheon </v>
      </c>
      <c r="C56" s="1" t="e">
        <f t="shared" si="9"/>
        <v>#N/A</v>
      </c>
      <c r="D56" s="3">
        <f ca="1">VLOOKUP($A56,[1]!LOOKUP_SARS_Unified2,D$2,FALSE)</f>
        <v>-1E-3</v>
      </c>
      <c r="E56" s="32">
        <f t="shared" ca="1" si="10"/>
        <v>-0.55440254803246691</v>
      </c>
      <c r="F56" s="55">
        <f ca="1">VLOOKUP($A56,[1]!LOOKUP_SARS_Unified2,F$2,FALSE)</f>
        <v>554.40254803246694</v>
      </c>
      <c r="J56" s="56" t="s">
        <v>114</v>
      </c>
      <c r="K56" s="9">
        <f t="shared" si="11"/>
        <v>6</v>
      </c>
      <c r="L56" s="9" t="str">
        <f t="shared" si="12"/>
        <v>General Dynamics</v>
      </c>
    </row>
    <row r="57" spans="1:12" ht="15" x14ac:dyDescent="0.25">
      <c r="A57" s="92" t="s">
        <v>17</v>
      </c>
      <c r="B57" s="4" t="str">
        <f>IF(VLOOKUP($A57,[1]!LOOKUP_Key_Information2,B$2,FALSE)&lt;&gt;0,VLOOKUP($A57,[1]!LOOKUP_Key_Information2,B$2,FALSE),"")</f>
        <v>Northrop Grumman</v>
      </c>
      <c r="C57" s="1" t="str">
        <f t="shared" si="9"/>
        <v>Northrop Grumman</v>
      </c>
      <c r="D57" s="3">
        <f ca="1">VLOOKUP($A57,[1]!LOOKUP_SARS_Unified2,D$2,FALSE)</f>
        <v>-0.17699999999999999</v>
      </c>
      <c r="E57" s="32">
        <f t="shared" ca="1" si="10"/>
        <v>-125.29981757699325</v>
      </c>
      <c r="F57" s="55">
        <f ca="1">VLOOKUP($A57,[1]!LOOKUP_SARS_Unified2,F$2,FALSE)</f>
        <v>707.90857388131781</v>
      </c>
      <c r="J57" s="53" t="s">
        <v>122</v>
      </c>
      <c r="K57" s="9">
        <f t="shared" si="11"/>
        <v>0</v>
      </c>
      <c r="L57" s="9" t="str">
        <f t="shared" si="12"/>
        <v>Other</v>
      </c>
    </row>
    <row r="58" spans="1:12" ht="15" x14ac:dyDescent="0.25">
      <c r="A58" s="92" t="s">
        <v>30</v>
      </c>
      <c r="B58" s="4" t="str">
        <f>IF(VLOOKUP($A58,[1]!LOOKUP_Key_Information2,B$2,FALSE)&lt;&gt;0,VLOOKUP($A58,[1]!LOOKUP_Key_Information2,B$2,FALSE),"")</f>
        <v>Northrop Grumman</v>
      </c>
      <c r="C58" s="1" t="str">
        <f t="shared" si="9"/>
        <v>Northrop Grumman</v>
      </c>
      <c r="D58" s="3">
        <f ca="1">VLOOKUP($A58,[1]!LOOKUP_SARS_Unified2,D$2,FALSE)</f>
        <v>-7.8E-2</v>
      </c>
      <c r="E58" s="32">
        <f t="shared" ca="1" si="10"/>
        <v>-108.37197104793874</v>
      </c>
      <c r="F58" s="55">
        <f ca="1">VLOOKUP($A58,[1]!LOOKUP_SARS_Unified2,F$2,FALSE)</f>
        <v>1389.3842442043428</v>
      </c>
      <c r="J58" s="56" t="s">
        <v>121</v>
      </c>
      <c r="K58" s="9">
        <f t="shared" si="11"/>
        <v>0</v>
      </c>
      <c r="L58" s="9" t="str">
        <f t="shared" si="12"/>
        <v>Other</v>
      </c>
    </row>
    <row r="59" spans="1:12" ht="15" x14ac:dyDescent="0.25">
      <c r="A59" s="92" t="s">
        <v>176</v>
      </c>
      <c r="B59" s="4" t="str">
        <f>IF(VLOOKUP($A59,[1]!LOOKUP_Key_Information2,B$2,FALSE)&lt;&gt;0,VLOOKUP($A59,[1]!LOOKUP_Key_Information2,B$2,FALSE),"")</f>
        <v>Northrop Grumman</v>
      </c>
      <c r="C59" s="1" t="str">
        <f t="shared" si="9"/>
        <v>Northrop Grumman</v>
      </c>
      <c r="D59" s="3">
        <f ca="1">VLOOKUP($A59,[1]!LOOKUP_SARS_Unified2,D$2,FALSE)</f>
        <v>0.2</v>
      </c>
      <c r="E59" s="32">
        <f t="shared" ca="1" si="10"/>
        <v>2564.6700933599077</v>
      </c>
      <c r="F59" s="55">
        <f ca="1">VLOOKUP($A59,[1]!LOOKUP_SARS_Unified2,F$2,FALSE)</f>
        <v>12823.350466799538</v>
      </c>
      <c r="J59" s="53" t="s">
        <v>113</v>
      </c>
      <c r="K59" s="9">
        <f t="shared" si="11"/>
        <v>16</v>
      </c>
      <c r="L59" s="9" t="str">
        <f t="shared" si="12"/>
        <v>Lockheed Martin</v>
      </c>
    </row>
    <row r="60" spans="1:12" ht="15" x14ac:dyDescent="0.25">
      <c r="A60" s="92" t="s">
        <v>11</v>
      </c>
      <c r="B60" s="4" t="str">
        <f>IF(VLOOKUP($A60,[1]!LOOKUP_Key_Information2,B$2,FALSE)&lt;&gt;0,VLOOKUP($A60,[1]!LOOKUP_Key_Information2,B$2,FALSE),"")</f>
        <v>Northrop Grumman</v>
      </c>
      <c r="C60" s="1" t="str">
        <f t="shared" si="9"/>
        <v>Northrop Grumman</v>
      </c>
      <c r="D60" s="3">
        <f ca="1">VLOOKUP($A60,[1]!LOOKUP_SARS_Unified2,D$2,FALSE)</f>
        <v>-0.129</v>
      </c>
      <c r="E60" s="32">
        <f t="shared" ca="1" si="10"/>
        <v>-4761.3873456790125</v>
      </c>
      <c r="F60" s="55">
        <f ca="1">VLOOKUP($A60,[1]!LOOKUP_SARS_Unified2,F$2,FALSE)</f>
        <v>36909.97942386831</v>
      </c>
      <c r="J60" s="53" t="s">
        <v>112</v>
      </c>
      <c r="K60" s="9">
        <f t="shared" si="11"/>
        <v>14</v>
      </c>
      <c r="L60" s="9" t="str">
        <f t="shared" ref="L60:L67" si="13">IF(AND(K60&gt;5,J60&lt;&gt;"Unknown",J60&lt;&gt;"Various"),J60,"Other")</f>
        <v>Northrop Grumman</v>
      </c>
    </row>
    <row r="61" spans="1:12" ht="15" x14ac:dyDescent="0.25">
      <c r="A61" s="92" t="s">
        <v>51</v>
      </c>
      <c r="B61" s="4" t="str">
        <f>IF(VLOOKUP($A61,[1]!LOOKUP_Key_Information2,B$2,FALSE)&lt;&gt;0,VLOOKUP($A61,[1]!LOOKUP_Key_Information2,B$2,FALSE),"")</f>
        <v>Huntington Ingalls Industries (HII)</v>
      </c>
      <c r="C61" s="1" t="e">
        <f t="shared" si="9"/>
        <v>#N/A</v>
      </c>
      <c r="D61" s="3">
        <f ca="1">VLOOKUP($A61,[1]!LOOKUP_SARS_Unified2,D$2,FALSE)</f>
        <v>0.22399999999999998</v>
      </c>
      <c r="E61" s="32">
        <f t="shared" ca="1" si="10"/>
        <v>6693.0363059569963</v>
      </c>
      <c r="F61" s="55">
        <f ca="1">VLOOKUP($A61,[1]!LOOKUP_SARS_Unified2,F$2,FALSE)</f>
        <v>29879.626365879452</v>
      </c>
      <c r="J61" s="53" t="s">
        <v>111</v>
      </c>
      <c r="K61" s="9">
        <f t="shared" si="11"/>
        <v>13</v>
      </c>
      <c r="L61" s="9" t="str">
        <f t="shared" si="13"/>
        <v>Raytheon</v>
      </c>
    </row>
    <row r="62" spans="1:12" ht="15" x14ac:dyDescent="0.25">
      <c r="A62" s="92" t="s">
        <v>216</v>
      </c>
      <c r="B62" s="4" t="str">
        <f>IF(VLOOKUP($A62,[1]!LOOKUP_Key_Information2,B$2,FALSE)&lt;&gt;0,VLOOKUP($A62,[1]!LOOKUP_Key_Information2,B$2,FALSE),"")</f>
        <v>Northrop Grumman</v>
      </c>
      <c r="C62" s="1" t="str">
        <f t="shared" si="9"/>
        <v>Northrop Grumman</v>
      </c>
      <c r="D62" s="3">
        <f ca="1">VLOOKUP($A62,[1]!LOOKUP_SARS_Unified2,D$2,FALSE)</f>
        <v>-0.10300000000000001</v>
      </c>
      <c r="E62" s="32">
        <f t="shared" ca="1" si="10"/>
        <v>-104.72421933683873</v>
      </c>
      <c r="F62" s="55">
        <f ca="1">VLOOKUP($A62,[1]!LOOKUP_SARS_Unified2,F$2,FALSE)</f>
        <v>1016.739993561541</v>
      </c>
      <c r="J62" s="1" t="s">
        <v>225</v>
      </c>
      <c r="K62" s="9">
        <f t="shared" si="11"/>
        <v>0</v>
      </c>
      <c r="L62" s="9" t="str">
        <f t="shared" si="13"/>
        <v>Other</v>
      </c>
    </row>
    <row r="63" spans="1:12" ht="15" x14ac:dyDescent="0.25">
      <c r="A63" s="92" t="s">
        <v>8</v>
      </c>
      <c r="B63" s="4" t="str">
        <f>IF(VLOOKUP($A63,[1]!LOOKUP_Key_Information2,B$2,FALSE)&lt;&gt;0,VLOOKUP($A63,[1]!LOOKUP_Key_Information2,B$2,FALSE),"")</f>
        <v>Northrop Grumman</v>
      </c>
      <c r="C63" s="1" t="str">
        <f t="shared" si="9"/>
        <v>Northrop Grumman</v>
      </c>
      <c r="D63" s="3">
        <f ca="1">VLOOKUP($A63,[1]!LOOKUP_SARS_Unified2,D$2,FALSE)</f>
        <v>7.0999999999999994E-2</v>
      </c>
      <c r="E63" s="32">
        <f t="shared" ca="1" si="10"/>
        <v>1283.9240165631468</v>
      </c>
      <c r="F63" s="55">
        <f ca="1">VLOOKUP($A63,[1]!LOOKUP_SARS_Unified2,F$2,FALSE)</f>
        <v>18083.436853002069</v>
      </c>
      <c r="J63" s="56" t="s">
        <v>120</v>
      </c>
      <c r="K63" s="9">
        <f t="shared" si="11"/>
        <v>0</v>
      </c>
      <c r="L63" s="9" t="str">
        <f t="shared" si="13"/>
        <v>Other</v>
      </c>
    </row>
    <row r="64" spans="1:12" ht="15" x14ac:dyDescent="0.25">
      <c r="A64" s="92" t="s">
        <v>14</v>
      </c>
      <c r="B64" s="4" t="str">
        <f>IF(VLOOKUP($A64,[1]!LOOKUP_Key_Information2,B$2,FALSE)&lt;&gt;0,VLOOKUP($A64,[1]!LOOKUP_Key_Information2,B$2,FALSE),"")</f>
        <v>Northrop Grumman</v>
      </c>
      <c r="C64" s="1" t="str">
        <f t="shared" si="9"/>
        <v>Northrop Grumman</v>
      </c>
      <c r="D64" s="3">
        <f ca="1">VLOOKUP($A64,[1]!LOOKUP_SARS_Unified2,D$2,FALSE)</f>
        <v>0.20899999999999999</v>
      </c>
      <c r="E64" s="32">
        <f t="shared" ca="1" si="10"/>
        <v>377.49982851263286</v>
      </c>
      <c r="F64" s="55">
        <f ca="1">VLOOKUP($A64,[1]!LOOKUP_SARS_Unified2,F$2,FALSE)</f>
        <v>1806.2192751800617</v>
      </c>
      <c r="J64" s="1" t="s">
        <v>226</v>
      </c>
      <c r="K64" s="9">
        <f t="shared" si="11"/>
        <v>0</v>
      </c>
      <c r="L64" s="9" t="str">
        <f t="shared" si="13"/>
        <v>Other</v>
      </c>
    </row>
    <row r="65" spans="1:12" ht="15" x14ac:dyDescent="0.25">
      <c r="A65" s="92" t="s">
        <v>179</v>
      </c>
      <c r="B65" s="4" t="str">
        <f>IF(VLOOKUP($A65,[1]!LOOKUP_Key_Information2,B$2,FALSE)&lt;&gt;0,VLOOKUP($A65,[1]!LOOKUP_Key_Information2,B$2,FALSE),"")</f>
        <v>Northrop Grumman, Raytheon, DMD</v>
      </c>
      <c r="C65" s="1" t="e">
        <f t="shared" si="9"/>
        <v>#N/A</v>
      </c>
      <c r="D65" s="3">
        <f ca="1">VLOOKUP($A65,[1]!LOOKUP_SARS_Unified2,D$2,FALSE)</f>
        <v>-0.122</v>
      </c>
      <c r="E65" s="32">
        <f t="shared" ca="1" si="10"/>
        <v>-613.35942028985517</v>
      </c>
      <c r="F65" s="55">
        <f ca="1">VLOOKUP($A65,[1]!LOOKUP_SARS_Unified2,F$2,FALSE)</f>
        <v>5027.5362318840589</v>
      </c>
      <c r="J65" s="56" t="s">
        <v>119</v>
      </c>
      <c r="K65" s="9">
        <f>COUNTIF(PRIME_PRIME_ALL,J65)</f>
        <v>1</v>
      </c>
      <c r="L65" s="9" t="str">
        <f t="shared" si="13"/>
        <v>Other</v>
      </c>
    </row>
    <row r="66" spans="1:12" ht="15" x14ac:dyDescent="0.25">
      <c r="A66" s="92" t="s">
        <v>45</v>
      </c>
      <c r="B66" s="4" t="str">
        <f>IF(VLOOKUP($A66,[1]!LOOKUP_Key_Information2,B$2,FALSE)&lt;&gt;0,VLOOKUP($A66,[1]!LOOKUP_Key_Information2,B$2,FALSE),"")</f>
        <v>Northrop Grumman</v>
      </c>
      <c r="C66" s="1" t="str">
        <f t="shared" si="9"/>
        <v>Northrop Grumman</v>
      </c>
      <c r="D66" s="3">
        <f ca="1">VLOOKUP($A66,[1]!LOOKUP_SARS_Unified2,D$2,FALSE)</f>
        <v>0.13800000000000001</v>
      </c>
      <c r="E66" s="32">
        <f t="shared" ca="1" si="10"/>
        <v>55.530053498374073</v>
      </c>
      <c r="F66" s="55">
        <f ca="1">VLOOKUP($A66,[1]!LOOKUP_SARS_Unified2,F$2,FALSE)</f>
        <v>402.39169201720341</v>
      </c>
      <c r="J66" s="53" t="s">
        <v>118</v>
      </c>
      <c r="K66" s="9">
        <f>COUNTIF(PRIME_PRIME_ALL,J66)</f>
        <v>0</v>
      </c>
      <c r="L66" s="9" t="str">
        <f t="shared" si="13"/>
        <v>Other</v>
      </c>
    </row>
    <row r="67" spans="1:12" ht="15" x14ac:dyDescent="0.25">
      <c r="A67" s="92" t="s">
        <v>62</v>
      </c>
      <c r="B67" s="4" t="str">
        <f>IF(VLOOKUP($A67,[1]!LOOKUP_Key_Information2,B$2,FALSE)&lt;&gt;0,VLOOKUP($A67,[1]!LOOKUP_Key_Information2,B$2,FALSE),"")</f>
        <v>Northrop Grumman</v>
      </c>
      <c r="C67" s="1" t="str">
        <f t="shared" si="9"/>
        <v>Northrop Grumman</v>
      </c>
      <c r="D67" s="3">
        <f ca="1">VLOOKUP($A67,[1]!LOOKUP_SARS_Unified2,D$2,FALSE)</f>
        <v>-9.0000000000000011E-3</v>
      </c>
      <c r="E67" s="32">
        <f t="shared" ca="1" si="10"/>
        <v>-28.624516414280983</v>
      </c>
      <c r="F67" s="55">
        <f ca="1">VLOOKUP($A67,[1]!LOOKUP_SARS_Unified2,F$2,FALSE)</f>
        <v>3180.5018238089979</v>
      </c>
      <c r="J67" s="53" t="s">
        <v>117</v>
      </c>
      <c r="K67" s="9">
        <f>COUNTIF(PRIME_PRIME_ALL,J67)</f>
        <v>0</v>
      </c>
      <c r="L67" s="9" t="str">
        <f t="shared" si="13"/>
        <v>Other</v>
      </c>
    </row>
    <row r="68" spans="1:12" ht="15" x14ac:dyDescent="0.25">
      <c r="A68" s="92" t="s">
        <v>37</v>
      </c>
      <c r="B68" s="4" t="str">
        <f>IF(VLOOKUP($A68,[1]!LOOKUP_Key_Information2,B$2,FALSE)&lt;&gt;0,VLOOKUP($A68,[1]!LOOKUP_Key_Information2,B$2,FALSE),"")</f>
        <v>Huntington Ingalls Industries (HII)</v>
      </c>
      <c r="C68" s="1" t="e">
        <f t="shared" si="9"/>
        <v>#N/A</v>
      </c>
      <c r="D68" s="3">
        <f ca="1">VLOOKUP($A68,[1]!LOOKUP_SARS_Unified2,D$2,FALSE)</f>
        <v>0.85499999999999998</v>
      </c>
      <c r="E68" s="32">
        <f t="shared" ca="1" si="10"/>
        <v>10566.637659312046</v>
      </c>
      <c r="F68" s="55">
        <f ca="1">VLOOKUP($A68,[1]!LOOKUP_SARS_Unified2,F$2,FALSE)</f>
        <v>12358.640537207071</v>
      </c>
    </row>
    <row r="69" spans="1:12" ht="15" x14ac:dyDescent="0.25">
      <c r="A69" s="92" t="s">
        <v>66</v>
      </c>
      <c r="B69" s="4" t="str">
        <f>IF(VLOOKUP($A69,[1]!LOOKUP_Key_Information2,B$2,FALSE)&lt;&gt;0,VLOOKUP($A69,[1]!LOOKUP_Key_Information2,B$2,FALSE),"")</f>
        <v>Northrop Grumman</v>
      </c>
      <c r="C69" s="1" t="str">
        <f t="shared" si="9"/>
        <v>Northrop Grumman</v>
      </c>
      <c r="D69" s="3">
        <f ca="1">VLOOKUP($A69,[1]!LOOKUP_SARS_Unified2,D$2,FALSE)</f>
        <v>-20</v>
      </c>
      <c r="E69" s="32">
        <f t="shared" ca="1" si="10"/>
        <v>-37276.234567901229</v>
      </c>
      <c r="F69" s="55">
        <f ca="1">VLOOKUP($A69,[1]!LOOKUP_SARS_Unified2,F$2,FALSE)</f>
        <v>1863.8117283950614</v>
      </c>
      <c r="J69"/>
    </row>
    <row r="70" spans="1:12" ht="15" x14ac:dyDescent="0.25">
      <c r="A70" s="92" t="s">
        <v>69</v>
      </c>
      <c r="B70" s="4" t="str">
        <f>IF(VLOOKUP($A70,[1]!LOOKUP_Key_Information2,B$2,FALSE)&lt;&gt;0,VLOOKUP($A70,[1]!LOOKUP_Key_Information2,B$2,FALSE),"")</f>
        <v>Northrop Grumman</v>
      </c>
      <c r="C70" s="1" t="str">
        <f t="shared" si="9"/>
        <v>Northrop Grumman</v>
      </c>
      <c r="D70" s="3">
        <f ca="1">VLOOKUP($A70,[1]!LOOKUP_SARS_Unified2,D$2,FALSE)</f>
        <v>2.7370000000000001</v>
      </c>
      <c r="E70" s="32">
        <f t="shared" ca="1" si="10"/>
        <v>18736.101359703338</v>
      </c>
      <c r="F70" s="55">
        <f ca="1">VLOOKUP($A70,[1]!LOOKUP_SARS_Unified2,F$2,FALSE)</f>
        <v>6845.4882571075395</v>
      </c>
      <c r="J70"/>
    </row>
    <row r="71" spans="1:12" ht="15" x14ac:dyDescent="0.25">
      <c r="A71" s="92" t="s">
        <v>248</v>
      </c>
      <c r="B71" s="4" t="str">
        <f>IF(VLOOKUP($A71,[1]!LOOKUP_Key_Information2,B$2,FALSE)&lt;&gt;0,VLOOKUP($A71,[1]!LOOKUP_Key_Information2,B$2,FALSE),"")</f>
        <v>Northrop Grumman</v>
      </c>
      <c r="C71" s="1" t="str">
        <f t="shared" si="9"/>
        <v>Northrop Grumman</v>
      </c>
      <c r="D71" s="3">
        <f ca="1">VLOOKUP($A71,[1]!LOOKUP_SARS_Unified2,D$2,FALSE)</f>
        <v>0.99199999999999999</v>
      </c>
      <c r="E71" s="32">
        <f t="shared" ca="1" si="10"/>
        <v>5549.7654320987658</v>
      </c>
      <c r="F71" s="55">
        <f ca="1">VLOOKUP($A71,[1]!LOOKUP_SARS_Unified2,F$2,FALSE)</f>
        <v>5594.5216049382716</v>
      </c>
      <c r="J71"/>
    </row>
    <row r="72" spans="1:12" ht="15" x14ac:dyDescent="0.25">
      <c r="A72" s="92" t="s">
        <v>79</v>
      </c>
      <c r="B72" s="4" t="str">
        <f>IF(VLOOKUP($A72,[1]!LOOKUP_Key_Information2,B$2,FALSE)&lt;&gt;0,VLOOKUP($A72,[1]!LOOKUP_Key_Information2,B$2,FALSE),"")</f>
        <v>Boeing</v>
      </c>
      <c r="C72" s="1" t="str">
        <f t="shared" si="9"/>
        <v>Boeing</v>
      </c>
      <c r="D72" s="3">
        <f ca="1">VLOOKUP($A72,[1]!LOOKUP_SARS_Unified2,D$2,FALSE)</f>
        <v>0.114</v>
      </c>
      <c r="E72" s="32">
        <f t="shared" ca="1" si="10"/>
        <v>99.14905032728835</v>
      </c>
      <c r="F72" s="55">
        <f ca="1">VLOOKUP($A72,[1]!LOOKUP_SARS_Unified2,F$2,FALSE)</f>
        <v>869.72851164288022</v>
      </c>
      <c r="J72"/>
    </row>
    <row r="73" spans="1:12" ht="15" x14ac:dyDescent="0.25">
      <c r="A73" t="s">
        <v>56</v>
      </c>
      <c r="B73" s="4" t="str">
        <f>IF(VLOOKUP($A73,[1]!LOOKUP_Key_Information2,B$2,FALSE)&lt;&gt;0,VLOOKUP($A73,[1]!LOOKUP_Key_Information2,B$2,FALSE),"")</f>
        <v>Northrop Grumman</v>
      </c>
      <c r="C73" s="1" t="str">
        <f t="shared" si="9"/>
        <v>Northrop Grumman</v>
      </c>
      <c r="D73" s="3">
        <f ca="1">VLOOKUP($A73,[1]!LOOKUP_SARS_Unified2,D$2,FALSE)</f>
        <v>-8.0000000000000002E-3</v>
      </c>
      <c r="E73" s="32">
        <f t="shared" ca="1" si="10"/>
        <v>-20.925389631922187</v>
      </c>
      <c r="F73" s="55">
        <f ca="1">VLOOKUP($A73,[1]!LOOKUP_SARS_Unified2,F$2,FALSE)</f>
        <v>2615.6737039902732</v>
      </c>
      <c r="J73"/>
    </row>
    <row r="74" spans="1:12" ht="15" x14ac:dyDescent="0.25">
      <c r="A74" s="92" t="s">
        <v>181</v>
      </c>
      <c r="B74" s="4" t="str">
        <f>IF(VLOOKUP($A74,[1]!LOOKUP_Key_Information2,B$2,FALSE)&lt;&gt;0,VLOOKUP($A74,[1]!LOOKUP_Key_Information2,B$2,FALSE),"")</f>
        <v>Austal</v>
      </c>
      <c r="C74" s="1" t="str">
        <f t="shared" ref="C74:C105" si="14">VLOOKUP($B74,LOOKUP_Company_Filter,3,FALSE)</f>
        <v>Other</v>
      </c>
      <c r="D74" s="3">
        <f ca="1">VLOOKUP($A74,[1]!LOOKUP_SARS_Unified2,D$2,FALSE)</f>
        <v>-7.4999999999999997E-2</v>
      </c>
      <c r="E74" s="32">
        <f t="shared" ref="E74:E105" ca="1" si="15">D74*F74</f>
        <v>-272.2123151159131</v>
      </c>
      <c r="F74" s="55">
        <f ca="1">VLOOKUP($A74,[1]!LOOKUP_SARS_Unified2,F$2,FALSE)</f>
        <v>3629.4975348788416</v>
      </c>
      <c r="J74"/>
    </row>
    <row r="75" spans="1:12" ht="15" x14ac:dyDescent="0.25">
      <c r="A75" s="92" t="s">
        <v>13</v>
      </c>
      <c r="B75" s="4" t="str">
        <f>IF(VLOOKUP($A75,[1]!LOOKUP_Key_Information2,B$2,FALSE)&lt;&gt;0,VLOOKUP($A75,[1]!LOOKUP_Key_Information2,B$2,FALSE),"")</f>
        <v xml:space="preserve">BAE Systems (North America) </v>
      </c>
      <c r="C75" s="1" t="e">
        <f t="shared" si="14"/>
        <v>#N/A</v>
      </c>
      <c r="D75" s="3">
        <f ca="1">VLOOKUP($A75,[1]!LOOKUP_SARS_Unified2,D$2,FALSE)</f>
        <v>1.8000000000000002E-2</v>
      </c>
      <c r="E75" s="32">
        <f t="shared" ca="1" si="15"/>
        <v>60.930621140573919</v>
      </c>
      <c r="F75" s="55">
        <f ca="1">VLOOKUP($A75,[1]!LOOKUP_SARS_Unified2,F$2,FALSE)</f>
        <v>3385.0345078096616</v>
      </c>
      <c r="J75"/>
    </row>
    <row r="76" spans="1:12" ht="15" x14ac:dyDescent="0.25">
      <c r="A76" s="92" t="s">
        <v>7</v>
      </c>
      <c r="B76" s="4" t="str">
        <f>IF(VLOOKUP($A76,[1]!LOOKUP_Key_Information2,B$2,FALSE)&lt;&gt;0,VLOOKUP($A76,[1]!LOOKUP_Key_Information2,B$2,FALSE),"")</f>
        <v>Oshkosh (2011)</v>
      </c>
      <c r="C76" s="1" t="e">
        <f t="shared" si="14"/>
        <v>#N/A</v>
      </c>
      <c r="D76" s="3">
        <f ca="1">VLOOKUP($A76,[1]!LOOKUP_SARS_Unified2,D$2,FALSE)</f>
        <v>0.252</v>
      </c>
      <c r="E76" s="32">
        <f t="shared" ca="1" si="15"/>
        <v>4004.0268603535706</v>
      </c>
      <c r="F76" s="55">
        <f ca="1">VLOOKUP($A76,[1]!LOOKUP_SARS_Unified2,F$2,FALSE)</f>
        <v>15888.995477593533</v>
      </c>
      <c r="J76"/>
    </row>
    <row r="77" spans="1:12" ht="15" x14ac:dyDescent="0.25">
      <c r="A77" s="92" t="s">
        <v>2</v>
      </c>
      <c r="B77" s="4" t="str">
        <f>IF(VLOOKUP($A77,[1]!LOOKUP_Key_Information2,B$2,FALSE)&lt;&gt;0,VLOOKUP($A77,[1]!LOOKUP_Key_Information2,B$2,FALSE),"")</f>
        <v>BAE</v>
      </c>
      <c r="C77" s="1" t="str">
        <f t="shared" si="14"/>
        <v>Other</v>
      </c>
      <c r="D77" s="3" t="str">
        <f ca="1">VLOOKUP($A77,[1]!LOOKUP_SARS_Unified2,D$2,FALSE)</f>
        <v/>
      </c>
      <c r="E77" s="32" t="e">
        <f t="shared" ca="1" si="15"/>
        <v>#VALUE!</v>
      </c>
      <c r="F77" s="55" t="e">
        <f ca="1">VLOOKUP($A77,[1]!LOOKUP_SARS_Unified2,F$2,FALSE)</f>
        <v>#VALUE!</v>
      </c>
      <c r="J77"/>
    </row>
    <row r="78" spans="1:12" ht="15" x14ac:dyDescent="0.25">
      <c r="A78" s="92" t="s">
        <v>183</v>
      </c>
      <c r="B78" s="4" t="str">
        <f>IF(VLOOKUP($A78,[1]!LOOKUP_Key_Information2,B$2,FALSE)&lt;&gt;0,VLOOKUP($A78,[1]!LOOKUP_Key_Information2,B$2,FALSE),"")</f>
        <v>BAE/Rockwell Collins JV</v>
      </c>
      <c r="C78" s="1" t="str">
        <f t="shared" si="14"/>
        <v>Other</v>
      </c>
      <c r="D78" s="3">
        <f ca="1">VLOOKUP($A78,[1]!LOOKUP_SARS_Unified2,D$2,FALSE)</f>
        <v>0.14699999999999999</v>
      </c>
      <c r="E78" s="32">
        <f t="shared" ca="1" si="15"/>
        <v>324.7918634217217</v>
      </c>
      <c r="F78" s="55">
        <f ca="1">VLOOKUP($A78,[1]!LOOKUP_SARS_Unified2,F$2,FALSE)</f>
        <v>2209.468458651168</v>
      </c>
      <c r="J78"/>
    </row>
    <row r="79" spans="1:12" ht="15" x14ac:dyDescent="0.25">
      <c r="A79" s="92" t="s">
        <v>47</v>
      </c>
      <c r="B79" s="4" t="str">
        <f>IF(VLOOKUP($A79,[1]!LOOKUP_Key_Information2,B$2,FALSE)&lt;&gt;0,VLOOKUP($A79,[1]!LOOKUP_Key_Information2,B$2,FALSE),"")</f>
        <v>Bechtel National &amp; Bechtel/Parsons JV</v>
      </c>
      <c r="C79" s="1" t="e">
        <f t="shared" si="14"/>
        <v>#N/A</v>
      </c>
      <c r="D79" s="3">
        <f ca="1">VLOOKUP($A79,[1]!LOOKUP_SARS_Unified2,D$2,FALSE)</f>
        <v>2.8439999999999999</v>
      </c>
      <c r="E79" s="32">
        <f t="shared" ca="1" si="15"/>
        <v>7486.4414478353447</v>
      </c>
      <c r="F79" s="55">
        <f ca="1">VLOOKUP($A79,[1]!LOOKUP_SARS_Unified2,F$2,FALSE)</f>
        <v>2632.36337828247</v>
      </c>
      <c r="J79"/>
    </row>
    <row r="80" spans="1:12" ht="15" x14ac:dyDescent="0.25">
      <c r="A80" s="92" t="s">
        <v>215</v>
      </c>
      <c r="B80" s="4" t="str">
        <f>IF(VLOOKUP($A80,[1]!LOOKUP_Key_Information2,B$2,FALSE)&lt;&gt;0,VLOOKUP($A80,[1]!LOOKUP_Key_Information2,B$2,FALSE),"")</f>
        <v>Boeing/Sikorsky JV</v>
      </c>
      <c r="C80" s="1" t="str">
        <f t="shared" si="14"/>
        <v>Other</v>
      </c>
      <c r="D80" s="3">
        <f ca="1">VLOOKUP($A80,[1]!LOOKUP_SARS_Unified2,D$2,FALSE)</f>
        <v>0.151</v>
      </c>
      <c r="E80" s="32">
        <f t="shared" ca="1" si="15"/>
        <v>7366.7066615226322</v>
      </c>
      <c r="F80" s="55">
        <f ca="1">VLOOKUP($A80,[1]!LOOKUP_SARS_Unified2,F$2,FALSE)</f>
        <v>48786.136831275711</v>
      </c>
      <c r="J80"/>
    </row>
    <row r="81" spans="1:10" ht="15" x14ac:dyDescent="0.25">
      <c r="A81" s="92" t="s">
        <v>58</v>
      </c>
      <c r="B81" s="4" t="str">
        <f>IF(VLOOKUP($A81,[1]!LOOKUP_Key_Information2,B$2,FALSE)&lt;&gt;0,VLOOKUP($A81,[1]!LOOKUP_Key_Information2,B$2,FALSE),"")</f>
        <v>EADS</v>
      </c>
      <c r="C81" s="1" t="str">
        <f t="shared" si="14"/>
        <v>Other</v>
      </c>
      <c r="D81" s="3">
        <f ca="1">VLOOKUP($A81,[1]!LOOKUP_SARS_Unified2,D$2,FALSE)</f>
        <v>2.6000000000000002E-2</v>
      </c>
      <c r="E81" s="32">
        <f t="shared" ca="1" si="15"/>
        <v>47.082789875096722</v>
      </c>
      <c r="F81" s="55">
        <f ca="1">VLOOKUP($A81,[1]!LOOKUP_SARS_Unified2,F$2,FALSE)</f>
        <v>1810.8765336575661</v>
      </c>
      <c r="J81"/>
    </row>
    <row r="82" spans="1:10" ht="15" x14ac:dyDescent="0.25">
      <c r="A82" s="92" t="s">
        <v>178</v>
      </c>
      <c r="B82" s="4" t="str">
        <f>IF(VLOOKUP($A82,[1]!LOOKUP_Key_Information2,B$2,FALSE)&lt;&gt;0,VLOOKUP($A82,[1]!LOOKUP_Key_Information2,B$2,FALSE),"")</f>
        <v>General Atomics Aeronautical Systems</v>
      </c>
      <c r="C82" s="1" t="str">
        <f t="shared" si="14"/>
        <v>Other</v>
      </c>
      <c r="D82" s="3" t="str">
        <f ca="1">VLOOKUP($A82,[1]!LOOKUP_SARS_Unified2,D$2,FALSE)</f>
        <v/>
      </c>
      <c r="E82" s="32" t="e">
        <f t="shared" ca="1" si="15"/>
        <v>#VALUE!</v>
      </c>
      <c r="F82" s="55" t="e">
        <f ca="1">VLOOKUP($A82,[1]!LOOKUP_SARS_Unified2,F$2,FALSE)</f>
        <v>#VALUE!</v>
      </c>
      <c r="I82"/>
      <c r="J82"/>
    </row>
    <row r="83" spans="1:10" ht="15" x14ac:dyDescent="0.25">
      <c r="A83" s="92" t="s">
        <v>246</v>
      </c>
      <c r="B83" s="4" t="str">
        <f>IF(VLOOKUP($A83,[1]!LOOKUP_Key_Information2,B$2,FALSE)&lt;&gt;0,VLOOKUP($A83,[1]!LOOKUP_Key_Information2,B$2,FALSE),"")</f>
        <v>General Atomics Aeronautical Systems</v>
      </c>
      <c r="C83" s="1" t="str">
        <f t="shared" si="14"/>
        <v>Other</v>
      </c>
      <c r="D83" s="3" t="str">
        <f ca="1">VLOOKUP($A83,[1]!LOOKUP_SARS_Unified2,D$2,FALSE)</f>
        <v/>
      </c>
      <c r="E83" s="32" t="e">
        <f t="shared" ca="1" si="15"/>
        <v>#VALUE!</v>
      </c>
      <c r="F83" s="55" t="e">
        <f ca="1">VLOOKUP($A83,[1]!LOOKUP_SARS_Unified2,F$2,FALSE)</f>
        <v>#VALUE!</v>
      </c>
      <c r="I83"/>
      <c r="J83"/>
    </row>
    <row r="84" spans="1:10" ht="15" x14ac:dyDescent="0.25">
      <c r="A84" s="92" t="s">
        <v>247</v>
      </c>
      <c r="B84" s="4" t="str">
        <f>IF(VLOOKUP($A84,[1]!LOOKUP_Key_Information2,B$2,FALSE)&lt;&gt;0,VLOOKUP($A84,[1]!LOOKUP_Key_Information2,B$2,FALSE),"")</f>
        <v>General Atomics Aeronautical Systems</v>
      </c>
      <c r="C84" s="1" t="str">
        <f t="shared" si="14"/>
        <v>Other</v>
      </c>
      <c r="D84" s="3">
        <f ca="1">VLOOKUP($A84,[1]!LOOKUP_SARS_Unified2,D$2,FALSE)</f>
        <v>5.7000000000000002E-2</v>
      </c>
      <c r="E84" s="32">
        <f t="shared" ca="1" si="15"/>
        <v>642.84495961397249</v>
      </c>
      <c r="F84" s="55">
        <f ca="1">VLOOKUP($A84,[1]!LOOKUP_SARS_Unified2,F$2,FALSE)</f>
        <v>11277.981747613552</v>
      </c>
      <c r="I84"/>
      <c r="J84"/>
    </row>
    <row r="85" spans="1:10" ht="15" x14ac:dyDescent="0.25">
      <c r="A85" s="92" t="s">
        <v>70</v>
      </c>
      <c r="B85" s="4" t="str">
        <f>IF(VLOOKUP($A85,[1]!LOOKUP_Key_Information2,B$2,FALSE)&lt;&gt;0,VLOOKUP($A85,[1]!LOOKUP_Key_Information2,B$2,FALSE),"")</f>
        <v>Multiple</v>
      </c>
      <c r="C85" s="1" t="e">
        <f t="shared" si="14"/>
        <v>#N/A</v>
      </c>
      <c r="D85" s="3">
        <f ca="1">VLOOKUP($A85,[1]!LOOKUP_SARS_Unified2,D$2,FALSE)</f>
        <v>1.109</v>
      </c>
      <c r="E85" s="32">
        <f t="shared" ca="1" si="15"/>
        <v>1114.3462299134733</v>
      </c>
      <c r="F85" s="55">
        <f ca="1">VLOOKUP($A85,[1]!LOOKUP_SARS_Unified2,F$2,FALSE)</f>
        <v>1004.8207663782447</v>
      </c>
      <c r="I85"/>
      <c r="J85"/>
    </row>
    <row r="86" spans="1:10" ht="15" x14ac:dyDescent="0.25">
      <c r="A86" s="92" t="s">
        <v>5</v>
      </c>
      <c r="B86" s="4" t="str">
        <f>IF(VLOOKUP($A86,[1]!LOOKUP_Key_Information2,B$2,FALSE)&lt;&gt;0,VLOOKUP($A86,[1]!LOOKUP_Key_Information2,B$2,FALSE),"")</f>
        <v xml:space="preserve">L-3 Communications </v>
      </c>
      <c r="C86" s="1" t="e">
        <f t="shared" si="14"/>
        <v>#N/A</v>
      </c>
      <c r="D86" s="3">
        <f ca="1">VLOOKUP($A86,[1]!LOOKUP_SARS_Unified2,D$2,FALSE)</f>
        <v>-0.12</v>
      </c>
      <c r="E86" s="32">
        <f t="shared" ca="1" si="15"/>
        <v>-468.10172765318168</v>
      </c>
      <c r="F86" s="55">
        <f ca="1">VLOOKUP($A86,[1]!LOOKUP_SARS_Unified2,F$2,FALSE)</f>
        <v>3900.8477304431808</v>
      </c>
      <c r="I86"/>
      <c r="J86"/>
    </row>
    <row r="87" spans="1:10" ht="15" x14ac:dyDescent="0.25">
      <c r="A87" t="s">
        <v>222</v>
      </c>
      <c r="B87" s="4" t="str">
        <f>IF(VLOOKUP($A87,[1]!LOOKUP_Key_Information2,B$2,FALSE)&lt;&gt;0,VLOOKUP($A87,[1]!LOOKUP_Key_Information2,B$2,FALSE),"")</f>
        <v>Lockheed/Boeing</v>
      </c>
      <c r="C87" s="1" t="e">
        <f t="shared" si="14"/>
        <v>#N/A</v>
      </c>
      <c r="D87" s="3">
        <f ca="1">VLOOKUP($A87,[1]!LOOKUP_SARS_Unified2,D$2,FALSE)</f>
        <v>2.7000000000000003E-2</v>
      </c>
      <c r="E87" s="32">
        <f t="shared" ca="1" si="15"/>
        <v>518.88726823238574</v>
      </c>
      <c r="F87" s="55">
        <f ca="1">VLOOKUP($A87,[1]!LOOKUP_SARS_Unified2,F$2,FALSE)</f>
        <v>19218.046971569838</v>
      </c>
      <c r="I87"/>
      <c r="J87"/>
    </row>
    <row r="88" spans="1:10" ht="15" x14ac:dyDescent="0.25">
      <c r="A88" s="92" t="s">
        <v>213</v>
      </c>
      <c r="B88" s="4" t="str">
        <f>IF(VLOOKUP($A88,[1]!LOOKUP_Key_Information2,B$2,FALSE)&lt;&gt;0,VLOOKUP($A88,[1]!LOOKUP_Key_Information2,B$2,FALSE),"")</f>
        <v>Bell Helicopter (Textron)</v>
      </c>
      <c r="C88" s="1" t="e">
        <f t="shared" si="14"/>
        <v>#N/A</v>
      </c>
      <c r="D88" s="3">
        <f ca="1">VLOOKUP($A88,[1]!LOOKUP_SARS_Unified2,D$2,FALSE)</f>
        <v>-0.60099999999999998</v>
      </c>
      <c r="E88" s="32">
        <f t="shared" ca="1" si="15"/>
        <v>-2163.7236766891506</v>
      </c>
      <c r="F88" s="55">
        <f ca="1">VLOOKUP($A88,[1]!LOOKUP_SARS_Unified2,F$2,FALSE)</f>
        <v>3600.2057848405166</v>
      </c>
      <c r="I88"/>
      <c r="J88"/>
    </row>
    <row r="89" spans="1:10" ht="15" x14ac:dyDescent="0.25">
      <c r="A89" s="92" t="s">
        <v>39</v>
      </c>
      <c r="B89" s="4" t="str">
        <f>IF(VLOOKUP($A89,[1]!LOOKUP_Key_Information2,B$2,FALSE)&lt;&gt;0,VLOOKUP($A89,[1]!LOOKUP_Key_Information2,B$2,FALSE),"")</f>
        <v>Bell Helicopter (Textron)</v>
      </c>
      <c r="C89" s="1" t="e">
        <f t="shared" si="14"/>
        <v>#N/A</v>
      </c>
      <c r="D89" s="3">
        <f ca="1">VLOOKUP($A89,[1]!LOOKUP_SARS_Unified2,D$2,FALSE)</f>
        <v>6.5000000000000002E-2</v>
      </c>
      <c r="E89" s="32">
        <f t="shared" ca="1" si="15"/>
        <v>763.89489142977027</v>
      </c>
      <c r="F89" s="55">
        <f ca="1">VLOOKUP($A89,[1]!LOOKUP_SARS_Unified2,F$2,FALSE)</f>
        <v>11752.229098919543</v>
      </c>
      <c r="I89"/>
      <c r="J89"/>
    </row>
    <row r="90" spans="1:10" ht="15" x14ac:dyDescent="0.25">
      <c r="A90" t="s">
        <v>60</v>
      </c>
      <c r="B90" s="4" t="str">
        <f>IF(VLOOKUP($A90,[1]!LOOKUP_Key_Information2,B$2,FALSE)&lt;&gt;0,VLOOKUP($A90,[1]!LOOKUP_Key_Information2,B$2,FALSE),"")</f>
        <v>Bell Helicopter (Textron)</v>
      </c>
      <c r="C90" s="1" t="e">
        <f t="shared" si="14"/>
        <v>#N/A</v>
      </c>
      <c r="D90" s="3">
        <f ca="1">VLOOKUP($A90,[1]!LOOKUP_SARS_Unified2,D$2,FALSE)</f>
        <v>-6.9999999999999993E-3</v>
      </c>
      <c r="E90" s="32">
        <f t="shared" ca="1" si="15"/>
        <v>-402.1410769406653</v>
      </c>
      <c r="F90" s="55">
        <f ca="1">VLOOKUP($A90,[1]!LOOKUP_SARS_Unified2,F$2,FALSE)</f>
        <v>57448.725277237907</v>
      </c>
      <c r="I90"/>
      <c r="J90"/>
    </row>
    <row r="91" spans="1:10" ht="15" x14ac:dyDescent="0.25">
      <c r="A91" s="92" t="s">
        <v>220</v>
      </c>
      <c r="B91" s="4" t="str">
        <f>IF(VLOOKUP($A91,[1]!LOOKUP_Key_Information2,B$2,FALSE)&lt;&gt;0,VLOOKUP($A91,[1]!LOOKUP_Key_Information2,B$2,FALSE),"")</f>
        <v>TRW Systems (Northrop Grumman)</v>
      </c>
      <c r="C91" s="1" t="e">
        <f t="shared" si="14"/>
        <v>#N/A</v>
      </c>
      <c r="D91" s="3">
        <f ca="1">VLOOKUP($A91,[1]!LOOKUP_SARS_Unified2,D$2,FALSE)</f>
        <v>-0.27399999999999997</v>
      </c>
      <c r="E91" s="32">
        <f t="shared" ca="1" si="15"/>
        <v>-441.20919713531839</v>
      </c>
      <c r="F91" s="55">
        <f ca="1">VLOOKUP($A91,[1]!LOOKUP_SARS_Unified2,F$2,FALSE)</f>
        <v>1610.2525442894835</v>
      </c>
      <c r="I91"/>
      <c r="J91"/>
    </row>
    <row r="92" spans="1:10" ht="15" x14ac:dyDescent="0.25">
      <c r="A92" s="92" t="s">
        <v>55</v>
      </c>
      <c r="B92" s="4" t="str">
        <f>IF(VLOOKUP($A92,[1]!LOOKUP_Key_Information2,B$2,FALSE)&lt;&gt;0,VLOOKUP($A92,[1]!LOOKUP_Key_Information2,B$2,FALSE),"")</f>
        <v>NA (agency withing DOD)</v>
      </c>
      <c r="C92" s="1" t="e">
        <f t="shared" si="14"/>
        <v>#N/A</v>
      </c>
      <c r="D92" s="3">
        <f ca="1">VLOOKUP($A92,[1]!LOOKUP_SARS_Unified2,D$2,FALSE)</f>
        <v>0.80200000000000005</v>
      </c>
      <c r="E92" s="32">
        <f t="shared" ca="1" si="15"/>
        <v>13172.59258202568</v>
      </c>
      <c r="F92" s="55">
        <f ca="1">VLOOKUP($A92,[1]!LOOKUP_SARS_Unified2,F$2,FALSE)</f>
        <v>16424.679029957206</v>
      </c>
      <c r="I92"/>
      <c r="J92"/>
    </row>
    <row r="93" spans="1:10" ht="15" x14ac:dyDescent="0.25">
      <c r="A93" s="92" t="s">
        <v>46</v>
      </c>
      <c r="B93" s="4" t="str">
        <f>IF(VLOOKUP($A93,[1]!LOOKUP_Key_Information2,B$2,FALSE)&lt;&gt;0,VLOOKUP($A93,[1]!LOOKUP_Key_Information2,B$2,FALSE),"")</f>
        <v>Unknown</v>
      </c>
      <c r="C93" s="1" t="str">
        <f t="shared" si="14"/>
        <v>Other</v>
      </c>
      <c r="D93" s="3">
        <f ca="1">VLOOKUP($A93,[1]!LOOKUP_SARS_Unified2,D$2,FALSE)</f>
        <v>3.9E-2</v>
      </c>
      <c r="E93" s="32">
        <f t="shared" ca="1" si="15"/>
        <v>61.226477649479818</v>
      </c>
      <c r="F93" s="55">
        <f ca="1">VLOOKUP($A93,[1]!LOOKUP_SARS_Unified2,F$2,FALSE)</f>
        <v>1569.9096833199953</v>
      </c>
      <c r="I93"/>
      <c r="J93"/>
    </row>
    <row r="94" spans="1:10" ht="15" x14ac:dyDescent="0.25">
      <c r="A94" s="92" t="s">
        <v>23</v>
      </c>
      <c r="B94" s="4" t="str">
        <f>IF(VLOOKUP($A94,[1]!LOOKUP_Key_Information2,B$2,FALSE)&lt;&gt;0,VLOOKUP($A94,[1]!LOOKUP_Key_Information2,B$2,FALSE),"")</f>
        <v>Sikorsky Aircraft Corporation (UTC)</v>
      </c>
      <c r="C94" s="1" t="e">
        <f t="shared" si="14"/>
        <v>#N/A</v>
      </c>
      <c r="D94" s="3">
        <f ca="1">VLOOKUP($A94,[1]!LOOKUP_SARS_Unified2,D$2,FALSE)</f>
        <v>0.17699999999999999</v>
      </c>
      <c r="E94" s="32">
        <f t="shared" ca="1" si="15"/>
        <v>2930.9376588924506</v>
      </c>
      <c r="F94" s="55">
        <f ca="1">VLOOKUP($A94,[1]!LOOKUP_SARS_Unified2,F$2,FALSE)</f>
        <v>16558.969824251133</v>
      </c>
      <c r="I94"/>
      <c r="J94"/>
    </row>
    <row r="95" spans="1:10" ht="15" x14ac:dyDescent="0.25">
      <c r="A95" s="92" t="s">
        <v>41</v>
      </c>
      <c r="B95" s="4" t="str">
        <f>IF(VLOOKUP($A95,[1]!LOOKUP_Key_Information2,B$2,FALSE)&lt;&gt;0,VLOOKUP($A95,[1]!LOOKUP_Key_Information2,B$2,FALSE),"")</f>
        <v>Sikorsky Aircraft Corporation (UTC)</v>
      </c>
      <c r="C95" s="1" t="e">
        <f t="shared" si="14"/>
        <v>#N/A</v>
      </c>
      <c r="D95" s="3">
        <f ca="1">VLOOKUP($A95,[1]!LOOKUP_SARS_Unified2,D$2,FALSE)</f>
        <v>0.13500000000000001</v>
      </c>
      <c r="E95" s="32">
        <f t="shared" ca="1" si="15"/>
        <v>1585.7687631258982</v>
      </c>
      <c r="F95" s="55">
        <f ca="1">VLOOKUP($A95,[1]!LOOKUP_SARS_Unified2,F$2,FALSE)</f>
        <v>11746.435282414061</v>
      </c>
      <c r="I95"/>
      <c r="J95"/>
    </row>
    <row r="96" spans="1:10" ht="15" x14ac:dyDescent="0.25">
      <c r="A96" s="92" t="s">
        <v>44</v>
      </c>
      <c r="B96" s="4" t="str">
        <f>IF(VLOOKUP($A96,[1]!LOOKUP_Key_Information2,B$2,FALSE)&lt;&gt;0,VLOOKUP($A96,[1]!LOOKUP_Key_Information2,B$2,FALSE),"")</f>
        <v>Sikorsky Aircraft Corporation (UTC)</v>
      </c>
      <c r="C96" s="1" t="e">
        <f t="shared" si="14"/>
        <v>#N/A</v>
      </c>
      <c r="D96" s="3">
        <f ca="1">VLOOKUP($A96,[1]!LOOKUP_SARS_Unified2,D$2,FALSE)</f>
        <v>0.13500000000000001</v>
      </c>
      <c r="E96" s="32">
        <f t="shared" ca="1" si="15"/>
        <v>945.46644518272444</v>
      </c>
      <c r="F96" s="55">
        <f ca="1">VLOOKUP($A96,[1]!LOOKUP_SARS_Unified2,F$2,FALSE)</f>
        <v>7003.4551495016622</v>
      </c>
      <c r="I96"/>
      <c r="J96"/>
    </row>
    <row r="97" spans="1:10" ht="15" x14ac:dyDescent="0.25">
      <c r="A97" t="s">
        <v>49</v>
      </c>
      <c r="B97" s="4" t="str">
        <f>IF(VLOOKUP($A97,[1]!LOOKUP_Key_Information2,B$2,FALSE)&lt;&gt;0,VLOOKUP($A97,[1]!LOOKUP_Key_Information2,B$2,FALSE),"")</f>
        <v>Sikorsky Aircraft Corporation (UTC)</v>
      </c>
      <c r="C97" s="1" t="e">
        <f t="shared" si="14"/>
        <v>#N/A</v>
      </c>
      <c r="D97" s="3">
        <f ca="1">VLOOKUP($A97,[1]!LOOKUP_SARS_Unified2,D$2,FALSE)</f>
        <v>0.127</v>
      </c>
      <c r="E97" s="32">
        <f t="shared" ca="1" si="15"/>
        <v>2439.4831370755687</v>
      </c>
      <c r="F97" s="55">
        <f ca="1">VLOOKUP($A97,[1]!LOOKUP_SARS_Unified2,F$2,FALSE)</f>
        <v>19208.528638390304</v>
      </c>
      <c r="I97"/>
      <c r="J97"/>
    </row>
    <row r="98" spans="1:10" ht="15" x14ac:dyDescent="0.25">
      <c r="A98" s="92" t="s">
        <v>6</v>
      </c>
      <c r="B98" s="4" t="str">
        <f>IF(VLOOKUP($A98,[1]!LOOKUP_Key_Information2,B$2,FALSE)&lt;&gt;0,VLOOKUP($A98,[1]!LOOKUP_Key_Information2,B$2,FALSE),"")</f>
        <v>Oshkosh, BAE, Force Protection Industries, General Dynamics, NAVISTAR Defense</v>
      </c>
      <c r="C98" s="1" t="e">
        <f t="shared" si="14"/>
        <v>#N/A</v>
      </c>
      <c r="D98" s="3">
        <f ca="1">VLOOKUP($A98,[1]!LOOKUP_SARS_Unified2,D$2,FALSE)</f>
        <v>0.26100000000000001</v>
      </c>
      <c r="E98" s="32">
        <f t="shared" ca="1" si="15"/>
        <v>6026.9836357914619</v>
      </c>
      <c r="F98" s="55">
        <f ca="1">VLOOKUP($A98,[1]!LOOKUP_SARS_Unified2,F$2,FALSE)</f>
        <v>23091.8913248715</v>
      </c>
      <c r="I98"/>
      <c r="J98"/>
    </row>
    <row r="99" spans="1:10" ht="15" x14ac:dyDescent="0.25">
      <c r="A99" s="92" t="s">
        <v>18</v>
      </c>
      <c r="B99" s="4" t="str">
        <f>IF(VLOOKUP($A99,[1]!LOOKUP_Key_Information2,B$2,FALSE)&lt;&gt;0,VLOOKUP($A99,[1]!LOOKUP_Key_Information2,B$2,FALSE),"")</f>
        <v>Alliant Tech Systems (ATK) Missile Systems  (Raytheon makes AGM-88 HARM)</v>
      </c>
      <c r="C99" s="1" t="e">
        <f t="shared" si="14"/>
        <v>#N/A</v>
      </c>
      <c r="D99" s="3">
        <f ca="1">VLOOKUP($A99,[1]!LOOKUP_SARS_Unified2,D$2,FALSE)</f>
        <v>7.8E-2</v>
      </c>
      <c r="E99" s="32">
        <f t="shared" ca="1" si="15"/>
        <v>144.35524881946967</v>
      </c>
      <c r="F99" s="55">
        <f ca="1">VLOOKUP($A99,[1]!LOOKUP_SARS_Unified2,F$2,FALSE)</f>
        <v>1850.7083181983289</v>
      </c>
      <c r="I99"/>
      <c r="J99"/>
    </row>
    <row r="100" spans="1:10" ht="15" x14ac:dyDescent="0.25">
      <c r="A100" s="92" t="s">
        <v>12</v>
      </c>
      <c r="B100" s="4" t="str">
        <f>IF(VLOOKUP($A100,[1]!LOOKUP_Key_Information2,B$2,FALSE)&lt;&gt;0,VLOOKUP($A100,[1]!LOOKUP_Key_Information2,B$2,FALSE),"")</f>
        <v>Raytheon</v>
      </c>
      <c r="C100" s="1" t="str">
        <f t="shared" si="14"/>
        <v>Raytheon</v>
      </c>
      <c r="D100" s="3">
        <f ca="1">VLOOKUP($A100,[1]!LOOKUP_SARS_Unified2,D$2,FALSE)</f>
        <v>0.187</v>
      </c>
      <c r="E100" s="32">
        <f t="shared" ca="1" si="15"/>
        <v>620.06190283945637</v>
      </c>
      <c r="F100" s="55">
        <f ca="1">VLOOKUP($A100,[1]!LOOKUP_SARS_Unified2,F$2,FALSE)</f>
        <v>3315.8390526174135</v>
      </c>
      <c r="I100"/>
      <c r="J100"/>
    </row>
    <row r="101" spans="1:10" ht="15" x14ac:dyDescent="0.25">
      <c r="A101" s="92" t="s">
        <v>9</v>
      </c>
      <c r="B101" s="4" t="str">
        <f>IF(VLOOKUP($A101,[1]!LOOKUP_Key_Information2,B$2,FALSE)&lt;&gt;0,VLOOKUP($A101,[1]!LOOKUP_Key_Information2,B$2,FALSE),"")</f>
        <v>Raytheon</v>
      </c>
      <c r="C101" s="1" t="str">
        <f t="shared" si="14"/>
        <v>Raytheon</v>
      </c>
      <c r="D101" s="3">
        <f ca="1">VLOOKUP($A101,[1]!LOOKUP_SARS_Unified2,D$2,FALSE)</f>
        <v>0.28300000000000003</v>
      </c>
      <c r="E101" s="32">
        <f t="shared" ca="1" si="15"/>
        <v>5173.8097081596197</v>
      </c>
      <c r="F101" s="55">
        <f ca="1">VLOOKUP($A101,[1]!LOOKUP_SARS_Unified2,F$2,FALSE)</f>
        <v>18282.013103037523</v>
      </c>
      <c r="I101"/>
      <c r="J101"/>
    </row>
    <row r="102" spans="1:10" ht="15" x14ac:dyDescent="0.25">
      <c r="A102" s="92" t="s">
        <v>16</v>
      </c>
      <c r="B102" s="4" t="str">
        <f>IF(VLOOKUP($A102,[1]!LOOKUP_Key_Information2,B$2,FALSE)&lt;&gt;0,VLOOKUP($A102,[1]!LOOKUP_Key_Information2,B$2,FALSE),"")</f>
        <v>Raytheon</v>
      </c>
      <c r="C102" s="1" t="str">
        <f t="shared" si="14"/>
        <v>Raytheon</v>
      </c>
      <c r="D102" s="3">
        <f ca="1">VLOOKUP($A102,[1]!LOOKUP_SARS_Unified2,D$2,FALSE)</f>
        <v>0.11699999999999999</v>
      </c>
      <c r="E102" s="32">
        <f t="shared" ca="1" si="15"/>
        <v>596.32398022249686</v>
      </c>
      <c r="F102" s="55">
        <f ca="1">VLOOKUP($A102,[1]!LOOKUP_SARS_Unified2,F$2,FALSE)</f>
        <v>5096.7861557478363</v>
      </c>
      <c r="I102"/>
      <c r="J102"/>
    </row>
    <row r="103" spans="1:10" ht="15" x14ac:dyDescent="0.25">
      <c r="A103" s="92" t="s">
        <v>20</v>
      </c>
      <c r="B103" s="4" t="str">
        <f>IF(VLOOKUP($A103,[1]!LOOKUP_Key_Information2,B$2,FALSE)&lt;&gt;0,VLOOKUP($A103,[1]!LOOKUP_Key_Information2,B$2,FALSE),"")</f>
        <v>Raytheon</v>
      </c>
      <c r="C103" s="1" t="str">
        <f t="shared" si="14"/>
        <v>Raytheon</v>
      </c>
      <c r="D103" s="3">
        <f ca="1">VLOOKUP($A103,[1]!LOOKUP_SARS_Unified2,D$2,FALSE)</f>
        <v>0.11699999999999999</v>
      </c>
      <c r="E103" s="32">
        <f t="shared" ca="1" si="15"/>
        <v>193.37086814384307</v>
      </c>
      <c r="F103" s="55">
        <f ca="1">VLOOKUP($A103,[1]!LOOKUP_SARS_Unified2,F$2,FALSE)</f>
        <v>1652.7424627678895</v>
      </c>
      <c r="I103"/>
      <c r="J103"/>
    </row>
    <row r="104" spans="1:10" ht="15" x14ac:dyDescent="0.25">
      <c r="A104" s="92" t="s">
        <v>217</v>
      </c>
      <c r="B104" s="4" t="str">
        <f>IF(VLOOKUP($A104,[1]!LOOKUP_Key_Information2,B$2,FALSE)&lt;&gt;0,VLOOKUP($A104,[1]!LOOKUP_Key_Information2,B$2,FALSE),"")</f>
        <v>Raytheon</v>
      </c>
      <c r="C104" s="1" t="str">
        <f t="shared" si="14"/>
        <v>Raytheon</v>
      </c>
      <c r="D104" s="3">
        <f ca="1">VLOOKUP($A104,[1]!LOOKUP_SARS_Unified2,D$2,FALSE)</f>
        <v>3.6000000000000004E-2</v>
      </c>
      <c r="E104" s="32">
        <f t="shared" ca="1" si="15"/>
        <v>51.145764262032699</v>
      </c>
      <c r="F104" s="55">
        <f ca="1">VLOOKUP($A104,[1]!LOOKUP_SARS_Unified2,F$2,FALSE)</f>
        <v>1420.7156739453526</v>
      </c>
      <c r="I104"/>
      <c r="J104"/>
    </row>
    <row r="105" spans="1:10" ht="15" x14ac:dyDescent="0.25">
      <c r="A105" s="92" t="s">
        <v>29</v>
      </c>
      <c r="B105" s="4" t="str">
        <f>IF(VLOOKUP($A105,[1]!LOOKUP_Key_Information2,B$2,FALSE)&lt;&gt;0,VLOOKUP($A105,[1]!LOOKUP_Key_Information2,B$2,FALSE),"")</f>
        <v>Raytheon</v>
      </c>
      <c r="C105" s="1" t="str">
        <f t="shared" si="14"/>
        <v>Raytheon</v>
      </c>
      <c r="D105" s="3">
        <f ca="1">VLOOKUP($A105,[1]!LOOKUP_SARS_Unified2,D$2,FALSE)</f>
        <v>-1.6E-2</v>
      </c>
      <c r="E105" s="32">
        <f t="shared" ca="1" si="15"/>
        <v>-28.408198304539113</v>
      </c>
      <c r="F105" s="55">
        <f ca="1">VLOOKUP($A105,[1]!LOOKUP_SARS_Unified2,F$2,FALSE)</f>
        <v>1775.5123940336946</v>
      </c>
      <c r="I105"/>
      <c r="J105"/>
    </row>
    <row r="106" spans="1:10" ht="15" x14ac:dyDescent="0.25">
      <c r="A106" s="92" t="s">
        <v>54</v>
      </c>
      <c r="B106" s="4" t="str">
        <f>IF(VLOOKUP($A106,[1]!LOOKUP_Key_Information2,B$2,FALSE)&lt;&gt;0,VLOOKUP($A106,[1]!LOOKUP_Key_Information2,B$2,FALSE),"")</f>
        <v>Raytheon</v>
      </c>
      <c r="C106" s="1" t="str">
        <f t="shared" ref="C106:C113" si="16">VLOOKUP($B106,LOOKUP_Company_Filter,3,FALSE)</f>
        <v>Raytheon</v>
      </c>
      <c r="D106" s="3">
        <f ca="1">VLOOKUP($A106,[1]!LOOKUP_SARS_Unified2,D$2,FALSE)</f>
        <v>0.20100000000000001</v>
      </c>
      <c r="E106" s="32">
        <f t="shared" ref="E106:E113" ca="1" si="17">D106*F106</f>
        <v>122.09850625756965</v>
      </c>
      <c r="F106" s="55">
        <f ca="1">VLOOKUP($A106,[1]!LOOKUP_SARS_Unified2,F$2,FALSE)</f>
        <v>607.45525501278428</v>
      </c>
      <c r="I106"/>
      <c r="J106"/>
    </row>
    <row r="107" spans="1:10" ht="15" x14ac:dyDescent="0.25">
      <c r="A107" s="92" t="s">
        <v>78</v>
      </c>
      <c r="B107" s="4" t="str">
        <f>IF(VLOOKUP($A107,[1]!LOOKUP_Key_Information2,B$2,FALSE)&lt;&gt;0,VLOOKUP($A107,[1]!LOOKUP_Key_Information2,B$2,FALSE),"")</f>
        <v>Raytheon</v>
      </c>
      <c r="C107" s="1" t="str">
        <f t="shared" si="16"/>
        <v>Raytheon</v>
      </c>
      <c r="D107" s="3">
        <f ca="1">VLOOKUP($A107,[1]!LOOKUP_SARS_Unified2,D$2,FALSE)</f>
        <v>-0.222</v>
      </c>
      <c r="E107" s="32">
        <f t="shared" ca="1" si="17"/>
        <v>-1484.7376243283411</v>
      </c>
      <c r="F107" s="55">
        <f ca="1">VLOOKUP($A107,[1]!LOOKUP_SARS_Unified2,F$2,FALSE)</f>
        <v>6688.0073167943292</v>
      </c>
      <c r="I107"/>
      <c r="J107"/>
    </row>
    <row r="108" spans="1:10" ht="15" x14ac:dyDescent="0.25">
      <c r="A108" s="92" t="s">
        <v>182</v>
      </c>
      <c r="B108" s="4" t="str">
        <f>IF(VLOOKUP($A108,[1]!LOOKUP_Key_Information2,B$2,FALSE)&lt;&gt;0,VLOOKUP($A108,[1]!LOOKUP_Key_Information2,B$2,FALSE),"")</f>
        <v>Raytheon</v>
      </c>
      <c r="C108" s="1" t="str">
        <f t="shared" si="16"/>
        <v>Raytheon</v>
      </c>
      <c r="D108" s="3">
        <f ca="1">VLOOKUP($A108,[1]!LOOKUP_SARS_Unified2,D$2,FALSE)</f>
        <v>-2.6000000000000002E-2</v>
      </c>
      <c r="E108" s="32">
        <f t="shared" ca="1" si="17"/>
        <v>-26.270009440889545</v>
      </c>
      <c r="F108" s="55">
        <f ca="1">VLOOKUP($A108,[1]!LOOKUP_SARS_Unified2,F$2,FALSE)</f>
        <v>1010.3849784957516</v>
      </c>
      <c r="I108"/>
      <c r="J108"/>
    </row>
    <row r="109" spans="1:10" ht="15" x14ac:dyDescent="0.25">
      <c r="A109" s="92" t="s">
        <v>21</v>
      </c>
      <c r="B109" s="4" t="str">
        <f>IF(VLOOKUP($A109,[1]!LOOKUP_Key_Information2,B$2,FALSE)&lt;&gt;0,VLOOKUP($A109,[1]!LOOKUP_Key_Information2,B$2,FALSE),"")</f>
        <v>Hawker Beechcraft (Raytheon)</v>
      </c>
      <c r="C109" s="1" t="e">
        <f t="shared" si="16"/>
        <v>#N/A</v>
      </c>
      <c r="D109" s="3">
        <f ca="1">VLOOKUP($A109,[1]!LOOKUP_SARS_Unified2,D$2,FALSE)</f>
        <v>8.3000000000000004E-2</v>
      </c>
      <c r="E109" s="32">
        <f t="shared" ca="1" si="17"/>
        <v>464.65636588380715</v>
      </c>
      <c r="F109" s="55">
        <f ca="1">VLOOKUP($A109,[1]!LOOKUP_SARS_Unified2,F$2,FALSE)</f>
        <v>5598.2694684796043</v>
      </c>
      <c r="I109"/>
      <c r="J109"/>
    </row>
    <row r="110" spans="1:10" ht="15" x14ac:dyDescent="0.25">
      <c r="A110" s="92" t="s">
        <v>33</v>
      </c>
      <c r="B110" s="4" t="str">
        <f>IF(VLOOKUP($A110,[1]!LOOKUP_Key_Information2,B$2,FALSE)&lt;&gt;0,VLOOKUP($A110,[1]!LOOKUP_Key_Information2,B$2,FALSE),"")</f>
        <v>Raytheon</v>
      </c>
      <c r="C110" s="1" t="str">
        <f t="shared" si="16"/>
        <v>Raytheon</v>
      </c>
      <c r="D110" s="3">
        <f ca="1">VLOOKUP($A110,[1]!LOOKUP_SARS_Unified2,D$2,FALSE)</f>
        <v>-6.6000000000000003E-2</v>
      </c>
      <c r="E110" s="32">
        <f t="shared" ca="1" si="17"/>
        <v>-580.1658474710639</v>
      </c>
      <c r="F110" s="55">
        <f ca="1">VLOOKUP($A110,[1]!LOOKUP_SARS_Unified2,F$2,FALSE)</f>
        <v>8790.3916283494527</v>
      </c>
      <c r="I110"/>
      <c r="J110"/>
    </row>
    <row r="111" spans="1:10" ht="15" x14ac:dyDescent="0.25">
      <c r="A111" s="92" t="s">
        <v>71</v>
      </c>
      <c r="B111" s="4" t="str">
        <f>IF(VLOOKUP($A111,[1]!LOOKUP_Key_Information2,B$2,FALSE)&lt;&gt;0,VLOOKUP($A111,[1]!LOOKUP_Key_Information2,B$2,FALSE),"")</f>
        <v>Raytheon</v>
      </c>
      <c r="C111" s="1" t="str">
        <f t="shared" si="16"/>
        <v>Raytheon</v>
      </c>
      <c r="D111" s="3">
        <f ca="1">VLOOKUP($A111,[1]!LOOKUP_SARS_Unified2,D$2,FALSE)</f>
        <v>4.9000000000000002E-2</v>
      </c>
      <c r="E111" s="32">
        <f t="shared" ca="1" si="17"/>
        <v>91.937082818294201</v>
      </c>
      <c r="F111" s="55">
        <f ca="1">VLOOKUP($A111,[1]!LOOKUP_SARS_Unified2,F$2,FALSE)</f>
        <v>1876.2669962917182</v>
      </c>
      <c r="I111"/>
      <c r="J111"/>
    </row>
    <row r="112" spans="1:10" ht="15" x14ac:dyDescent="0.25">
      <c r="A112" s="92" t="s">
        <v>67</v>
      </c>
      <c r="B112" s="4" t="str">
        <f>IF(VLOOKUP($A112,[1]!LOOKUP_Key_Information2,B$2,FALSE)&lt;&gt;0,VLOOKUP($A112,[1]!LOOKUP_Key_Information2,B$2,FALSE),"")</f>
        <v>Raytheon</v>
      </c>
      <c r="C112" s="1" t="str">
        <f t="shared" si="16"/>
        <v>Raytheon</v>
      </c>
      <c r="D112" s="3">
        <f ca="1">VLOOKUP($A112,[1]!LOOKUP_SARS_Unified2,D$2,FALSE)</f>
        <v>-3.1E-2</v>
      </c>
      <c r="E112" s="32">
        <f t="shared" ca="1" si="17"/>
        <v>-193.26419549049703</v>
      </c>
      <c r="F112" s="55">
        <f ca="1">VLOOKUP($A112,[1]!LOOKUP_SARS_Unified2,F$2,FALSE)</f>
        <v>6234.3288867902265</v>
      </c>
      <c r="I112"/>
      <c r="J112"/>
    </row>
    <row r="113" spans="1:10" ht="15" x14ac:dyDescent="0.25">
      <c r="A113" s="92" t="s">
        <v>42</v>
      </c>
      <c r="B113" s="4" t="str">
        <f>IF(VLOOKUP($A113,[1]!LOOKUP_Key_Information2,B$2,FALSE)&lt;&gt;0,VLOOKUP($A113,[1]!LOOKUP_Key_Information2,B$2,FALSE),"")</f>
        <v>Raytheon</v>
      </c>
      <c r="C113" s="1" t="str">
        <f t="shared" si="16"/>
        <v>Raytheon</v>
      </c>
      <c r="D113" s="3">
        <f ca="1">VLOOKUP($A113,[1]!LOOKUP_SARS_Unified2,D$2,FALSE)</f>
        <v>0.32</v>
      </c>
      <c r="E113" s="32">
        <f t="shared" ca="1" si="17"/>
        <v>1249.4898360655739</v>
      </c>
      <c r="F113" s="55">
        <f ca="1">VLOOKUP($A113,[1]!LOOKUP_SARS_Unified2,F$2,FALSE)</f>
        <v>3904.6557377049185</v>
      </c>
      <c r="I113"/>
      <c r="J113"/>
    </row>
    <row r="114" spans="1:10" ht="15" x14ac:dyDescent="0.25">
      <c r="I114"/>
      <c r="J114"/>
    </row>
    <row r="115" spans="1:10" ht="15" x14ac:dyDescent="0.25">
      <c r="I115"/>
      <c r="J115"/>
    </row>
    <row r="116" spans="1:10" ht="15" x14ac:dyDescent="0.25">
      <c r="I116"/>
      <c r="J116"/>
    </row>
    <row r="117" spans="1:10" ht="15" x14ac:dyDescent="0.25">
      <c r="I117"/>
      <c r="J117"/>
    </row>
    <row r="118" spans="1:10" ht="15" x14ac:dyDescent="0.25">
      <c r="I118"/>
      <c r="J118"/>
    </row>
    <row r="119" spans="1:10" ht="15" x14ac:dyDescent="0.25">
      <c r="I119"/>
      <c r="J119"/>
    </row>
    <row r="120" spans="1:10" ht="15" x14ac:dyDescent="0.25">
      <c r="I120"/>
      <c r="J120"/>
    </row>
    <row r="121" spans="1:10" ht="15" x14ac:dyDescent="0.25">
      <c r="I121"/>
      <c r="J121"/>
    </row>
    <row r="122" spans="1:10" ht="15" x14ac:dyDescent="0.25">
      <c r="I122"/>
      <c r="J122"/>
    </row>
    <row r="123" spans="1:10" ht="15" x14ac:dyDescent="0.25">
      <c r="I123"/>
      <c r="J123"/>
    </row>
    <row r="124" spans="1:10" ht="15" x14ac:dyDescent="0.25">
      <c r="I124"/>
      <c r="J124"/>
    </row>
    <row r="125" spans="1:10" ht="15" x14ac:dyDescent="0.25">
      <c r="I125"/>
      <c r="J125"/>
    </row>
    <row r="126" spans="1:10" ht="15" x14ac:dyDescent="0.25">
      <c r="I126"/>
      <c r="J126"/>
    </row>
    <row r="127" spans="1:10" ht="15" x14ac:dyDescent="0.25">
      <c r="I127"/>
      <c r="J127"/>
    </row>
    <row r="128" spans="1:10" ht="15" x14ac:dyDescent="0.25">
      <c r="I128"/>
      <c r="J128"/>
    </row>
    <row r="129" spans="9:10" ht="15" x14ac:dyDescent="0.25">
      <c r="I129"/>
      <c r="J129"/>
    </row>
    <row r="130" spans="9:10" ht="15" x14ac:dyDescent="0.25">
      <c r="I130"/>
      <c r="J130"/>
    </row>
    <row r="131" spans="9:10" ht="15" x14ac:dyDescent="0.25">
      <c r="I131"/>
      <c r="J131"/>
    </row>
    <row r="132" spans="9:10" ht="15" x14ac:dyDescent="0.25">
      <c r="I132"/>
      <c r="J132"/>
    </row>
    <row r="133" spans="9:10" ht="15" x14ac:dyDescent="0.25">
      <c r="I133"/>
      <c r="J133"/>
    </row>
    <row r="134" spans="9:10" ht="15" x14ac:dyDescent="0.25">
      <c r="I134"/>
      <c r="J134"/>
    </row>
    <row r="135" spans="9:10" ht="15" x14ac:dyDescent="0.25">
      <c r="I135"/>
      <c r="J135"/>
    </row>
    <row r="136" spans="9:10" ht="15" x14ac:dyDescent="0.25">
      <c r="I136"/>
      <c r="J136"/>
    </row>
    <row r="137" spans="9:10" ht="15" x14ac:dyDescent="0.25">
      <c r="I137"/>
      <c r="J137"/>
    </row>
    <row r="138" spans="9:10" ht="15" x14ac:dyDescent="0.25">
      <c r="I138"/>
      <c r="J138"/>
    </row>
    <row r="139" spans="9:10" ht="15" x14ac:dyDescent="0.25">
      <c r="I139"/>
      <c r="J139"/>
    </row>
    <row r="140" spans="9:10" ht="15" x14ac:dyDescent="0.25">
      <c r="I140"/>
      <c r="J140"/>
    </row>
    <row r="141" spans="9:10" ht="15" x14ac:dyDescent="0.25">
      <c r="I141"/>
      <c r="J141"/>
    </row>
    <row r="142" spans="9:10" ht="15" x14ac:dyDescent="0.25">
      <c r="I142"/>
      <c r="J142"/>
    </row>
    <row r="143" spans="9:10" ht="15" x14ac:dyDescent="0.25">
      <c r="I143"/>
      <c r="J143"/>
    </row>
    <row r="144" spans="9:10" ht="15" x14ac:dyDescent="0.25">
      <c r="I144"/>
      <c r="J144"/>
    </row>
    <row r="145" spans="9:10" ht="15" x14ac:dyDescent="0.25">
      <c r="I145"/>
      <c r="J145"/>
    </row>
    <row r="146" spans="9:10" ht="15" x14ac:dyDescent="0.25">
      <c r="I146"/>
      <c r="J146"/>
    </row>
    <row r="147" spans="9:10" ht="15" x14ac:dyDescent="0.25">
      <c r="I147"/>
      <c r="J147"/>
    </row>
    <row r="148" spans="9:10" ht="15" x14ac:dyDescent="0.25">
      <c r="I148"/>
      <c r="J148"/>
    </row>
    <row r="149" spans="9:10" ht="15" x14ac:dyDescent="0.25">
      <c r="I149"/>
      <c r="J149"/>
    </row>
    <row r="150" spans="9:10" ht="15" x14ac:dyDescent="0.25">
      <c r="I150"/>
      <c r="J150"/>
    </row>
    <row r="151" spans="9:10" ht="15" x14ac:dyDescent="0.25">
      <c r="I151"/>
      <c r="J151"/>
    </row>
    <row r="152" spans="9:10" ht="15" x14ac:dyDescent="0.25">
      <c r="J152"/>
    </row>
    <row r="153" spans="9:10" ht="15" x14ac:dyDescent="0.25">
      <c r="J153"/>
    </row>
    <row r="154" spans="9:10" ht="15" x14ac:dyDescent="0.25">
      <c r="J154"/>
    </row>
    <row r="155" spans="9:10" ht="15" x14ac:dyDescent="0.25">
      <c r="J155"/>
    </row>
    <row r="156" spans="9:10" ht="15" x14ac:dyDescent="0.25">
      <c r="J156"/>
    </row>
    <row r="157" spans="9:10" ht="15" x14ac:dyDescent="0.25">
      <c r="J157"/>
    </row>
    <row r="158" spans="9:10" ht="15" x14ac:dyDescent="0.25">
      <c r="J158"/>
    </row>
    <row r="159" spans="9:10" ht="15" x14ac:dyDescent="0.25">
      <c r="J159"/>
    </row>
    <row r="160" spans="9:10" ht="15" x14ac:dyDescent="0.25">
      <c r="J160"/>
    </row>
    <row r="161" spans="10:10" ht="15" x14ac:dyDescent="0.25">
      <c r="J161"/>
    </row>
    <row r="162" spans="10:10" ht="15" x14ac:dyDescent="0.25">
      <c r="J162"/>
    </row>
    <row r="163" spans="10:10" ht="15" x14ac:dyDescent="0.25">
      <c r="J163"/>
    </row>
    <row r="164" spans="10:10" ht="15" x14ac:dyDescent="0.25">
      <c r="J164"/>
    </row>
    <row r="165" spans="10:10" ht="15" x14ac:dyDescent="0.25">
      <c r="J165"/>
    </row>
    <row r="166" spans="10:10" ht="15" x14ac:dyDescent="0.25">
      <c r="J166"/>
    </row>
    <row r="167" spans="10:10" ht="15" x14ac:dyDescent="0.25">
      <c r="J167"/>
    </row>
    <row r="168" spans="10:10" ht="15" x14ac:dyDescent="0.25">
      <c r="J168"/>
    </row>
    <row r="193" spans="2:10" ht="15" x14ac:dyDescent="0.2">
      <c r="G193" s="12"/>
      <c r="H193" s="12"/>
      <c r="I193" s="12"/>
      <c r="J193" s="12"/>
    </row>
    <row r="194" spans="2:10" ht="15" x14ac:dyDescent="0.2">
      <c r="G194" s="12"/>
      <c r="H194" s="12"/>
      <c r="I194" s="12"/>
      <c r="J194" s="12"/>
    </row>
    <row r="195" spans="2:10" ht="15" x14ac:dyDescent="0.2">
      <c r="G195" s="12"/>
      <c r="H195" s="12"/>
      <c r="I195" s="12"/>
      <c r="J195" s="12"/>
    </row>
    <row r="196" spans="2:10" ht="15" x14ac:dyDescent="0.2">
      <c r="G196" s="12"/>
      <c r="H196" s="12"/>
      <c r="I196" s="12"/>
      <c r="J196" s="12"/>
    </row>
    <row r="197" spans="2:10" ht="15" x14ac:dyDescent="0.2">
      <c r="G197" s="12"/>
      <c r="H197" s="12"/>
      <c r="I197" s="12"/>
      <c r="J197" s="12"/>
    </row>
    <row r="198" spans="2:10" ht="15" x14ac:dyDescent="0.2">
      <c r="G198" s="12"/>
      <c r="H198" s="12"/>
      <c r="I198" s="12"/>
      <c r="J198" s="12"/>
    </row>
    <row r="199" spans="2:10" ht="15" x14ac:dyDescent="0.2">
      <c r="G199" s="12"/>
      <c r="H199" s="12"/>
      <c r="I199" s="12"/>
      <c r="J199" s="12"/>
    </row>
    <row r="200" spans="2:10" ht="15" x14ac:dyDescent="0.2">
      <c r="G200" s="12"/>
      <c r="H200" s="12"/>
      <c r="I200" s="12"/>
      <c r="J200" s="12"/>
    </row>
    <row r="201" spans="2:10" ht="15" x14ac:dyDescent="0.2">
      <c r="G201" s="12"/>
      <c r="H201" s="12"/>
      <c r="I201" s="12"/>
      <c r="J201" s="12"/>
    </row>
    <row r="202" spans="2:10" x14ac:dyDescent="0.2">
      <c r="B202" s="4"/>
      <c r="D202" s="32"/>
      <c r="E202" s="17"/>
    </row>
    <row r="203" spans="2:10" x14ac:dyDescent="0.2">
      <c r="B203" s="4"/>
      <c r="E203" s="17"/>
    </row>
    <row r="304" spans="3:3" x14ac:dyDescent="0.2">
      <c r="C304" s="4"/>
    </row>
    <row r="307" spans="3:3" x14ac:dyDescent="0.2">
      <c r="C307" s="4"/>
    </row>
    <row r="309" spans="3:3" x14ac:dyDescent="0.2">
      <c r="C309" s="4"/>
    </row>
  </sheetData>
  <sortState ref="J49:J68">
    <sortCondition ref="J48"/>
  </sortState>
  <hyperlinks>
    <hyperlink ref="R2" display="http://answers.google.com/answers/threadview/id/343380.html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113"/>
  <sheetViews>
    <sheetView topLeftCell="A40" zoomScaleNormal="100" workbookViewId="0">
      <selection activeCell="A59" sqref="A59"/>
    </sheetView>
  </sheetViews>
  <sheetFormatPr defaultRowHeight="15" x14ac:dyDescent="0.25"/>
  <cols>
    <col min="2" max="2" width="10" customWidth="1"/>
    <col min="5" max="6" width="11.5703125" bestFit="1" customWidth="1"/>
    <col min="8" max="8" width="12.28515625" bestFit="1" customWidth="1"/>
    <col min="9" max="9" width="11.85546875" bestFit="1" customWidth="1"/>
    <col min="10" max="10" width="31" bestFit="1" customWidth="1"/>
  </cols>
  <sheetData>
    <row r="1" spans="1:22" s="1" customFormat="1" ht="57" x14ac:dyDescent="0.85">
      <c r="A1" s="11" t="s">
        <v>109</v>
      </c>
      <c r="E1" s="34"/>
      <c r="F1" s="34"/>
      <c r="G1" s="46"/>
      <c r="H1" s="46"/>
      <c r="I1" s="46"/>
    </row>
    <row r="2" spans="1:22" s="18" customFormat="1" ht="12.75" customHeight="1" x14ac:dyDescent="0.2">
      <c r="A2" s="20"/>
      <c r="B2" s="95">
        <f>HLOOKUP(B3,[1]!LOOKUP_Key_Information2,2,FALSE)</f>
        <v>8</v>
      </c>
      <c r="D2" s="1">
        <f>HLOOKUP(D3,[1]!LOOKUP_SARS_Unified2,2,FALSE)</f>
        <v>38</v>
      </c>
      <c r="E2" s="34"/>
      <c r="F2" s="1">
        <f>HLOOKUP(F3,[1]!LOOKUP_SARS_Unified2,2,FALSE)</f>
        <v>31</v>
      </c>
    </row>
    <row r="3" spans="1:22" s="1" customFormat="1" ht="102" x14ac:dyDescent="0.2">
      <c r="A3" s="137" t="s">
        <v>80</v>
      </c>
      <c r="B3" s="138" t="s">
        <v>187</v>
      </c>
      <c r="C3" s="136"/>
      <c r="D3" s="136" t="s">
        <v>169</v>
      </c>
      <c r="E3" s="139"/>
      <c r="F3" s="137" t="s">
        <v>204</v>
      </c>
      <c r="H3" s="40"/>
      <c r="I3" s="40"/>
      <c r="J3" s="34"/>
      <c r="N3" s="46"/>
      <c r="O3" s="2"/>
      <c r="P3" s="2"/>
      <c r="Q3" s="2"/>
      <c r="R3" s="2"/>
      <c r="S3" s="2"/>
      <c r="T3" s="2"/>
      <c r="U3" s="2"/>
      <c r="V3" s="2"/>
    </row>
    <row r="4" spans="1:22" s="1" customFormat="1" ht="12.75" x14ac:dyDescent="0.2">
      <c r="A4" s="48" t="s">
        <v>115</v>
      </c>
      <c r="B4" s="9">
        <f>COUNTIF(PRIME_PRIME_FEW,$A4)</f>
        <v>16</v>
      </c>
      <c r="C4" s="3"/>
      <c r="E4" s="32">
        <f t="shared" ref="E4:E9" ca="1" si="0">SUMIF(PRIME_PRIME_FEW,$A4,PRIME_OVERRUN_DOLLARS)</f>
        <v>696868.82243276434</v>
      </c>
      <c r="F4" s="32">
        <f t="shared" ref="F4:F9" ca="1" si="1">SUMIF(PRIME_PRIME_FEW,$A4,PRIME_BASELINE)</f>
        <v>315747.40024557541</v>
      </c>
      <c r="G4" s="48"/>
      <c r="H4" s="13"/>
      <c r="I4" s="13"/>
      <c r="K4" s="34"/>
      <c r="L4" s="23"/>
      <c r="M4" s="23"/>
      <c r="N4" s="23"/>
      <c r="O4" s="23"/>
      <c r="P4" s="23"/>
      <c r="Q4" s="23"/>
      <c r="R4" s="22"/>
      <c r="S4" s="22"/>
      <c r="T4" s="22"/>
      <c r="U4" s="22"/>
      <c r="V4" s="22"/>
    </row>
    <row r="5" spans="1:22" s="1" customFormat="1" ht="38.25" x14ac:dyDescent="0.25">
      <c r="A5" s="48" t="s">
        <v>114</v>
      </c>
      <c r="B5" s="9">
        <f t="shared" ref="B5:B9" si="2">COUNTIF(PRIME_PRIME_FEW,$A5)</f>
        <v>6</v>
      </c>
      <c r="C5" s="3"/>
      <c r="E5" s="32">
        <f t="shared" ca="1" si="0"/>
        <v>-2479.4182872733213</v>
      </c>
      <c r="F5" s="32">
        <f t="shared" ca="1" si="1"/>
        <v>47363.073118704051</v>
      </c>
      <c r="K5" s="51"/>
      <c r="L5" s="97"/>
      <c r="M5" s="23"/>
      <c r="N5" s="23"/>
      <c r="O5" s="23"/>
      <c r="P5" s="23"/>
      <c r="Q5" s="23"/>
      <c r="R5" s="22"/>
      <c r="S5" s="22"/>
      <c r="T5" s="22"/>
      <c r="U5" s="22"/>
      <c r="V5" s="22"/>
    </row>
    <row r="6" spans="1:22" s="1" customFormat="1" x14ac:dyDescent="0.25">
      <c r="A6" s="47" t="s">
        <v>113</v>
      </c>
      <c r="B6" s="9">
        <f t="shared" si="2"/>
        <v>16</v>
      </c>
      <c r="C6" s="3"/>
      <c r="E6" s="32">
        <f t="shared" ca="1" si="0"/>
        <v>132832.45997682167</v>
      </c>
      <c r="F6" s="32">
        <f t="shared" ca="1" si="1"/>
        <v>348245.36214202241</v>
      </c>
      <c r="G6" s="48"/>
      <c r="H6" s="13"/>
      <c r="I6" s="13"/>
      <c r="L6" s="97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s="1" customFormat="1" x14ac:dyDescent="0.25">
      <c r="A7" s="47" t="s">
        <v>112</v>
      </c>
      <c r="B7" s="9">
        <f t="shared" si="2"/>
        <v>14</v>
      </c>
      <c r="C7" s="3"/>
      <c r="E7" s="32">
        <f t="shared" ca="1" si="0"/>
        <v>-13795.767805445466</v>
      </c>
      <c r="F7" s="32">
        <f t="shared" ca="1" si="1"/>
        <v>95464.737583846916</v>
      </c>
      <c r="K7" s="51"/>
      <c r="L7" s="97"/>
      <c r="M7" s="43"/>
      <c r="N7" s="22"/>
      <c r="O7" s="22"/>
      <c r="P7" s="22"/>
      <c r="Q7" s="22"/>
      <c r="R7" s="22"/>
      <c r="S7" s="22"/>
      <c r="T7" s="22"/>
      <c r="U7" s="22"/>
      <c r="V7" s="22"/>
    </row>
    <row r="8" spans="1:22" s="1" customFormat="1" x14ac:dyDescent="0.25">
      <c r="A8" s="47" t="s">
        <v>111</v>
      </c>
      <c r="B8" s="9">
        <f t="shared" si="2"/>
        <v>13</v>
      </c>
      <c r="C8" s="3"/>
      <c r="E8" s="32">
        <f t="shared" ca="1" si="0"/>
        <v>5785.3917737335578</v>
      </c>
      <c r="F8" s="32">
        <f t="shared" ca="1" si="1"/>
        <v>60655.099641588895</v>
      </c>
      <c r="G8" s="47"/>
      <c r="H8" s="13"/>
      <c r="I8" s="13"/>
      <c r="L8" s="97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22" s="1" customFormat="1" x14ac:dyDescent="0.25">
      <c r="A9" s="54" t="s">
        <v>85</v>
      </c>
      <c r="B9" s="9">
        <f t="shared" si="2"/>
        <v>9</v>
      </c>
      <c r="C9" s="3"/>
      <c r="E9" s="32" t="e">
        <f t="shared" ca="1" si="0"/>
        <v>#VALUE!</v>
      </c>
      <c r="F9" s="32" t="e">
        <f t="shared" ca="1" si="1"/>
        <v>#VALUE!</v>
      </c>
      <c r="K9" s="51"/>
      <c r="L9" s="97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22" s="1" customFormat="1" x14ac:dyDescent="0.25">
      <c r="A10" t="s">
        <v>0</v>
      </c>
      <c r="B10" s="4" t="str">
        <f>IF(VLOOKUP($A10,[1]!LOOKUP_Key_Information2,$B$2,FALSE)&lt;&gt;0,VLOOKUP($A10,[1]!LOOKUP_Key_Information2,$B$2,FALSE),"")</f>
        <v>Boeing</v>
      </c>
      <c r="C10" s="1" t="str">
        <f t="shared" ref="C10:C41" si="3">VLOOKUP($B10,LOOKUP_Company_Filter,3,FALSE)</f>
        <v>Boeing</v>
      </c>
      <c r="D10" s="3">
        <f ca="1">VLOOKUP($A10,[1]!LOOKUP_SARS_Unified2,D$2,FALSE)</f>
        <v>0.42399999999999999</v>
      </c>
      <c r="E10" s="32">
        <f ca="1">D10*F10</f>
        <v>3071.1528683541505</v>
      </c>
      <c r="F10" s="49">
        <f ca="1">VLOOKUP($A10,[1]!LOOKUP_SARS_Unified2,F$2,FALSE)</f>
        <v>7243.285066872997</v>
      </c>
      <c r="G10" s="47"/>
      <c r="H10" s="13"/>
      <c r="I10" s="13"/>
      <c r="L10" s="97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22" s="1" customFormat="1" x14ac:dyDescent="0.25">
      <c r="A11" s="104" t="s">
        <v>28</v>
      </c>
      <c r="B11" s="4" t="str">
        <f>IF(VLOOKUP($A11,[1]!LOOKUP_Key_Information2,$B$2,FALSE)&lt;&gt;0,VLOOKUP($A11,[1]!LOOKUP_Key_Information2,$B$2,FALSE),"")</f>
        <v>Boeing</v>
      </c>
      <c r="C11" s="111" t="str">
        <f t="shared" si="3"/>
        <v>Boeing</v>
      </c>
      <c r="D11" s="3">
        <f ca="1">VLOOKUP($A11,[1]!LOOKUP_SARS_Unified2,D$2,FALSE)</f>
        <v>-9.8000000000000004E-2</v>
      </c>
      <c r="E11" s="107">
        <f t="shared" ref="E11:E41" ca="1" si="4">D11*F11</f>
        <v>-597.10222952840854</v>
      </c>
      <c r="F11" s="49">
        <f ca="1">VLOOKUP($A11,[1]!LOOKUP_SARS_Unified2,F$2,FALSE)</f>
        <v>6092.8798931470255</v>
      </c>
      <c r="K11" s="51"/>
      <c r="L11" s="97"/>
      <c r="M11" s="22"/>
      <c r="N11" s="22"/>
      <c r="O11" s="22"/>
      <c r="P11" s="22"/>
      <c r="Q11" s="22"/>
      <c r="R11" s="22"/>
      <c r="S11" s="22"/>
      <c r="T11" s="22"/>
      <c r="U11" s="22"/>
      <c r="V11" s="22"/>
    </row>
    <row r="12" spans="1:22" s="1" customFormat="1" x14ac:dyDescent="0.25">
      <c r="A12" s="92" t="s">
        <v>24</v>
      </c>
      <c r="B12" s="4" t="str">
        <f>IF(VLOOKUP($A12,[1]!LOOKUP_Key_Information2,$B$2,FALSE)&lt;&gt;0,VLOOKUP($A12,[1]!LOOKUP_Key_Information2,$B$2,FALSE),"")</f>
        <v>Boeing</v>
      </c>
      <c r="C12" s="1" t="str">
        <f t="shared" si="3"/>
        <v>Boeing</v>
      </c>
      <c r="D12" s="3">
        <f ca="1">VLOOKUP($A12,[1]!LOOKUP_SARS_Unified2,D$2,FALSE)</f>
        <v>0.47</v>
      </c>
      <c r="E12" s="32">
        <f t="shared" ca="1" si="4"/>
        <v>26569.717692202274</v>
      </c>
      <c r="F12" s="49">
        <f ca="1">VLOOKUP($A12,[1]!LOOKUP_SARS_Unified2,F$2,FALSE)</f>
        <v>56531.314238728242</v>
      </c>
      <c r="G12" s="47"/>
      <c r="H12" s="13"/>
      <c r="I12" s="13"/>
      <c r="L12" s="97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22" s="1" customFormat="1" x14ac:dyDescent="0.25">
      <c r="A13" s="92" t="s">
        <v>22</v>
      </c>
      <c r="B13" s="4" t="str">
        <f>IF(VLOOKUP($A13,[1]!LOOKUP_Key_Information2,$B$2,FALSE)&lt;&gt;0,VLOOKUP($A13,[1]!LOOKUP_Key_Information2,$B$2,FALSE),"")</f>
        <v>Boeing</v>
      </c>
      <c r="C13" s="1" t="str">
        <f t="shared" si="3"/>
        <v>Boeing</v>
      </c>
      <c r="D13" s="3">
        <f ca="1">VLOOKUP($A13,[1]!LOOKUP_SARS_Unified2,D$2,FALSE)</f>
        <v>0.13100000000000001</v>
      </c>
      <c r="E13" s="32">
        <f t="shared" ca="1" si="4"/>
        <v>1589.7322510575052</v>
      </c>
      <c r="F13" s="49">
        <f ca="1">VLOOKUP($A13,[1]!LOOKUP_SARS_Unified2,F$2,FALSE)</f>
        <v>12135.36069509546</v>
      </c>
      <c r="K13" s="51"/>
      <c r="L13" s="97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22" s="1" customFormat="1" x14ac:dyDescent="0.25">
      <c r="A14" s="92" t="s">
        <v>15</v>
      </c>
      <c r="B14" s="4" t="str">
        <f>IF(VLOOKUP($A14,[1]!LOOKUP_Key_Information2,$B$2,FALSE)&lt;&gt;0,VLOOKUP($A14,[1]!LOOKUP_Key_Information2,$B$2,FALSE),"")</f>
        <v>Boeing</v>
      </c>
      <c r="C14" s="1" t="str">
        <f t="shared" si="3"/>
        <v>Boeing</v>
      </c>
      <c r="D14" s="3">
        <f ca="1">VLOOKUP($A14,[1]!LOOKUP_SARS_Unified2,D$2,FALSE)</f>
        <v>2.7999999999999997E-2</v>
      </c>
      <c r="E14" s="32">
        <f t="shared" ca="1" si="4"/>
        <v>248.92267736985008</v>
      </c>
      <c r="F14" s="49">
        <f ca="1">VLOOKUP($A14,[1]!LOOKUP_SARS_Unified2,F$2,FALSE)</f>
        <v>8890.095620351789</v>
      </c>
      <c r="G14" s="52"/>
      <c r="H14" s="13"/>
      <c r="I14" s="13"/>
      <c r="K14" s="40"/>
      <c r="L14" s="97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s="1" customFormat="1" ht="15" customHeight="1" x14ac:dyDescent="0.25">
      <c r="A15" s="92" t="s">
        <v>180</v>
      </c>
      <c r="B15" s="4" t="str">
        <f>IF(VLOOKUP($A15,[1]!LOOKUP_Key_Information2,$B$2,FALSE)&lt;&gt;0,VLOOKUP($A15,[1]!LOOKUP_Key_Information2,$B$2,FALSE),"")</f>
        <v>Boeing</v>
      </c>
      <c r="C15" s="1" t="str">
        <f t="shared" si="3"/>
        <v>Boeing</v>
      </c>
      <c r="D15" s="3">
        <f ca="1">VLOOKUP($A15,[1]!LOOKUP_SARS_Unified2,D$2,FALSE)</f>
        <v>-0.183</v>
      </c>
      <c r="E15" s="32">
        <f t="shared" ca="1" si="4"/>
        <v>-592.16942361039764</v>
      </c>
      <c r="F15" s="49">
        <f ca="1">VLOOKUP($A15,[1]!LOOKUP_SARS_Unified2,F$2,FALSE)</f>
        <v>3235.8984896743041</v>
      </c>
      <c r="K15" s="51"/>
      <c r="L15" s="97"/>
      <c r="M15" s="22"/>
      <c r="N15" s="22"/>
      <c r="O15" s="22"/>
      <c r="P15" s="22"/>
      <c r="Q15" s="22"/>
      <c r="R15" s="22"/>
      <c r="S15" s="22"/>
      <c r="T15" s="22"/>
      <c r="U15" s="22"/>
      <c r="V15" s="22"/>
    </row>
    <row r="16" spans="1:22" s="1" customFormat="1" ht="15" customHeight="1" x14ac:dyDescent="0.25">
      <c r="A16" s="92" t="s">
        <v>48</v>
      </c>
      <c r="B16" s="4" t="str">
        <f>IF(VLOOKUP($A16,[1]!LOOKUP_Key_Information2,$B$2,FALSE)&lt;&gt;0,VLOOKUP($A16,[1]!LOOKUP_Key_Information2,$B$2,FALSE),"")</f>
        <v>Boeing</v>
      </c>
      <c r="C16" s="1" t="str">
        <f t="shared" si="3"/>
        <v>Boeing</v>
      </c>
      <c r="D16" s="3">
        <f ca="1">VLOOKUP($A16,[1]!LOOKUP_SARS_Unified2,D$2,FALSE)</f>
        <v>5.0999999999999997E-2</v>
      </c>
      <c r="E16" s="32">
        <f t="shared" ca="1" si="4"/>
        <v>2550.3082561728388</v>
      </c>
      <c r="F16" s="49">
        <f ca="1">VLOOKUP($A16,[1]!LOOKUP_SARS_Unified2,F$2,FALSE)</f>
        <v>50006.04423868312</v>
      </c>
      <c r="G16" s="53"/>
      <c r="H16" s="13"/>
      <c r="I16" s="13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s="1" customFormat="1" ht="15" customHeight="1" x14ac:dyDescent="0.25">
      <c r="A17" s="92" t="s">
        <v>1</v>
      </c>
      <c r="B17" s="4" t="str">
        <f>IF(VLOOKUP($A17,[1]!LOOKUP_Key_Information2,$B$2,FALSE)&lt;&gt;0,VLOOKUP($A17,[1]!LOOKUP_Key_Information2,$B$2,FALSE),"")</f>
        <v>Boeing</v>
      </c>
      <c r="C17" s="1" t="str">
        <f t="shared" si="3"/>
        <v>Boeing</v>
      </c>
      <c r="D17" s="3">
        <f ca="1">VLOOKUP($A17,[1]!LOOKUP_SARS_Unified2,D$2,FALSE)</f>
        <v>0.32299999999999995</v>
      </c>
      <c r="E17" s="32">
        <f t="shared" ca="1" si="4"/>
        <v>1054.960321384425</v>
      </c>
      <c r="F17" s="49">
        <f ca="1">VLOOKUP($A17,[1]!LOOKUP_SARS_Unified2,F$2,FALSE)</f>
        <v>3266.1310259579727</v>
      </c>
      <c r="G17" s="1">
        <f>SUM(B19:B24)</f>
        <v>0</v>
      </c>
      <c r="H17" s="40">
        <f ca="1">SUM(H19:H28)</f>
        <v>901482.5012361994</v>
      </c>
      <c r="I17" s="40">
        <f ca="1">SUM(I19:I28)</f>
        <v>-74100.572708631575</v>
      </c>
      <c r="J17" s="34">
        <f ca="1">SUM(F19:F24)</f>
        <v>73276.396089346978</v>
      </c>
      <c r="K17" s="51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</row>
    <row r="18" spans="1:22" s="1" customFormat="1" ht="15" customHeight="1" x14ac:dyDescent="0.25">
      <c r="A18" s="104" t="s">
        <v>218</v>
      </c>
      <c r="B18" s="4" t="str">
        <f>IF(VLOOKUP($A18,[1]!LOOKUP_Key_Information2,$B$2,FALSE)&lt;&gt;0,VLOOKUP($A18,[1]!LOOKUP_Key_Information2,$B$2,FALSE),"")</f>
        <v>Boeing</v>
      </c>
      <c r="C18" s="111" t="str">
        <f t="shared" si="3"/>
        <v>Boeing</v>
      </c>
      <c r="D18" s="3">
        <f ca="1">VLOOKUP($A18,[1]!LOOKUP_SARS_Unified2,D$2,FALSE)</f>
        <v>0.44500000000000001</v>
      </c>
      <c r="E18" s="107">
        <f t="shared" ca="1" si="4"/>
        <v>41919.118537353184</v>
      </c>
      <c r="F18" s="49">
        <f ca="1">VLOOKUP($A18,[1]!LOOKUP_SARS_Unified2,F$2,FALSE)</f>
        <v>94200.266376074578</v>
      </c>
      <c r="H18" s="18" t="s">
        <v>95</v>
      </c>
      <c r="I18" s="18" t="s">
        <v>94</v>
      </c>
      <c r="J18" s="1" t="s">
        <v>106</v>
      </c>
      <c r="K18" s="22" t="s">
        <v>105</v>
      </c>
      <c r="L18" s="1" t="s">
        <v>192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2" s="1" customFormat="1" ht="15" customHeight="1" x14ac:dyDescent="0.25">
      <c r="A19" s="92" t="s">
        <v>34</v>
      </c>
      <c r="B19" s="4" t="str">
        <f>IF(VLOOKUP($A19,[1]!LOOKUP_Key_Information2,$B$2,FALSE)&lt;&gt;0,VLOOKUP($A19,[1]!LOOKUP_Key_Information2,$B$2,FALSE),"")</f>
        <v>Boeing</v>
      </c>
      <c r="C19" s="1" t="str">
        <f t="shared" si="3"/>
        <v>Boeing</v>
      </c>
      <c r="D19" s="3">
        <f ca="1">VLOOKUP($A19,[1]!LOOKUP_SARS_Unified2,D$2,FALSE)</f>
        <v>0.27200000000000002</v>
      </c>
      <c r="E19" s="32">
        <f t="shared" ca="1" si="4"/>
        <v>873.97904735298243</v>
      </c>
      <c r="F19" s="49">
        <f ca="1">VLOOKUP($A19,[1]!LOOKUP_SARS_Unified2,F$2,FALSE)</f>
        <v>3213.1582623271411</v>
      </c>
      <c r="G19" s="48" t="s">
        <v>115</v>
      </c>
      <c r="H19" s="13">
        <f t="shared" ref="H19:H24" ca="1" si="5">SUMIFS(PRIME_OVERRUN_DOLLARS,PRIME_PRIME_FEW,$G19,PRIME_OVERRUN_DOLLARS,"&gt;=0")</f>
        <v>708319.26406729885</v>
      </c>
      <c r="I19" s="13">
        <f t="shared" ref="I19:I24" ca="1" si="6">SUMIFS(PRIME_OVERRUN_DOLLARS,PRIME_PRIME_FEW,$G19,PRIME_OVERRUN_DOLLARS,"&lt;0")</f>
        <v>-11450.441634534533</v>
      </c>
      <c r="J19" s="51">
        <f t="shared" ref="J19:J24" ca="1" si="7">VLOOKUP($G19,LOOKUP_PRIME_AGGREGATES,5,FALSE)/VLOOKUP($G19,LOOKUP_PRIME_AGGREGATES,6,FALSE)</f>
        <v>2.2070453213257442</v>
      </c>
      <c r="K19" s="97">
        <f t="shared" ref="K19:K24" ca="1" si="8">SUMIF(PRIME_PRIME_FEW,$G19,PRIME_OVERRUN_PERCENT)/VLOOKUP($G19,LOOKUP_PRIME_AGGREGATES,2,FALSE)</f>
        <v>5.1396249999999988</v>
      </c>
      <c r="L19" s="51" t="b">
        <f t="shared" ref="L19:L24" ca="1" si="9">VLOOKUP($G19,LOOKUP_PRIME_AGGREGATES,5,FALSE)/VLOOKUP($G19,LOOKUP_PRIME_AGGREGATES,6,FALSE)=J19</f>
        <v>1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2" s="1" customFormat="1" ht="15" customHeight="1" x14ac:dyDescent="0.25">
      <c r="A20" s="92" t="s">
        <v>68</v>
      </c>
      <c r="B20" s="4" t="str">
        <f>IF(VLOOKUP($A20,[1]!LOOKUP_Key_Information2,$B$2,FALSE)&lt;&gt;0,VLOOKUP($A20,[1]!LOOKUP_Key_Information2,$B$2,FALSE),"")</f>
        <v>Boeing</v>
      </c>
      <c r="C20" s="1" t="str">
        <f t="shared" si="3"/>
        <v>Boeing</v>
      </c>
      <c r="D20" s="3">
        <f ca="1">VLOOKUP($A20,[1]!LOOKUP_SARS_Unified2,D$2,FALSE)</f>
        <v>-0.54</v>
      </c>
      <c r="E20" s="32">
        <f t="shared" ca="1" si="4"/>
        <v>-9636.6971569839297</v>
      </c>
      <c r="F20" s="49">
        <f ca="1">VLOOKUP($A20,[1]!LOOKUP_SARS_Unified2,F$2,FALSE)</f>
        <v>17845.735475896166</v>
      </c>
      <c r="G20" s="48" t="s">
        <v>114</v>
      </c>
      <c r="H20" s="13">
        <f t="shared" ca="1" si="5"/>
        <v>6162.271506658848</v>
      </c>
      <c r="I20" s="13">
        <f t="shared" ca="1" si="6"/>
        <v>-8641.689793932168</v>
      </c>
      <c r="J20" s="51">
        <f t="shared" ca="1" si="7"/>
        <v>-5.2349185219870781E-2</v>
      </c>
      <c r="K20" s="97">
        <f t="shared" ca="1" si="8"/>
        <v>-0.10966666666666668</v>
      </c>
      <c r="L20" s="51" t="b">
        <f t="shared" ca="1" si="9"/>
        <v>1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2" s="1" customFormat="1" ht="15" customHeight="1" x14ac:dyDescent="0.25">
      <c r="A21" s="92" t="s">
        <v>245</v>
      </c>
      <c r="B21" s="4" t="str">
        <f>IF(VLOOKUP($A21,[1]!LOOKUP_Key_Information2,$B$2,FALSE)&lt;&gt;0,VLOOKUP($A21,[1]!LOOKUP_Key_Information2,$B$2,FALSE),"")</f>
        <v>Boeing</v>
      </c>
      <c r="C21" s="111" t="str">
        <f t="shared" si="3"/>
        <v>Boeing</v>
      </c>
      <c r="D21" s="3">
        <f ca="1">VLOOKUP($A21,[1]!LOOKUP_SARS_Unified2,D$2,FALSE)</f>
        <v>80.599999999999994</v>
      </c>
      <c r="E21" s="107">
        <f ca="1">D21*F21</f>
        <v>628562.91626695904</v>
      </c>
      <c r="F21" s="49">
        <f ca="1">VLOOKUP($A21,[1]!LOOKUP_SARS_Unified2,F$2,FALSE)</f>
        <v>7798.5473482252983</v>
      </c>
      <c r="G21" s="47" t="s">
        <v>113</v>
      </c>
      <c r="H21" s="13">
        <f t="shared" ca="1" si="5"/>
        <v>141830.2752392471</v>
      </c>
      <c r="I21" s="13">
        <f t="shared" ca="1" si="6"/>
        <v>-8997.8152624254053</v>
      </c>
      <c r="J21" s="51">
        <f t="shared" ca="1" si="7"/>
        <v>0.38143353628540089</v>
      </c>
      <c r="K21" s="97">
        <f t="shared" ca="1" si="8"/>
        <v>0.15481249999999999</v>
      </c>
      <c r="L21" s="51" t="b">
        <f t="shared" ca="1" si="9"/>
        <v>1</v>
      </c>
    </row>
    <row r="22" spans="1:22" s="1" customFormat="1" ht="15" customHeight="1" x14ac:dyDescent="0.25">
      <c r="A22" s="92" t="s">
        <v>63</v>
      </c>
      <c r="B22" s="4" t="str">
        <f>IF(VLOOKUP($A22,[1]!LOOKUP_Key_Information2,$B$2,FALSE)&lt;&gt;0,VLOOKUP($A22,[1]!LOOKUP_Key_Information2,$B$2,FALSE),"")</f>
        <v>Boeing</v>
      </c>
      <c r="C22" s="1" t="str">
        <f t="shared" si="3"/>
        <v>Boeing</v>
      </c>
      <c r="D22" s="3">
        <f ca="1">VLOOKUP($A22,[1]!LOOKUP_SARS_Unified2,D$2,FALSE)</f>
        <v>0.23800000000000002</v>
      </c>
      <c r="E22" s="32">
        <f t="shared" ca="1" si="4"/>
        <v>1779.3070987654319</v>
      </c>
      <c r="F22" s="49">
        <f ca="1">VLOOKUP($A22,[1]!LOOKUP_SARS_Unified2,F$2,FALSE)</f>
        <v>7476.0802469135788</v>
      </c>
      <c r="G22" s="47" t="s">
        <v>112</v>
      </c>
      <c r="H22" s="13">
        <f t="shared" ca="1" si="5"/>
        <v>28629.80002214275</v>
      </c>
      <c r="I22" s="13">
        <f t="shared" ca="1" si="6"/>
        <v>-42425.567827588216</v>
      </c>
      <c r="J22" s="51">
        <f t="shared" ca="1" si="7"/>
        <v>-0.14451166110762739</v>
      </c>
      <c r="K22" s="97">
        <f t="shared" ca="1" si="8"/>
        <v>-1.1520714285714284</v>
      </c>
      <c r="L22" s="51" t="b">
        <f t="shared" ca="1" si="9"/>
        <v>1</v>
      </c>
    </row>
    <row r="23" spans="1:22" s="1" customFormat="1" ht="15" customHeight="1" x14ac:dyDescent="0.25">
      <c r="A23" s="92" t="s">
        <v>72</v>
      </c>
      <c r="B23" s="4" t="str">
        <f>IF(VLOOKUP($A23,[1]!LOOKUP_Key_Information2,$B$2,FALSE)&lt;&gt;0,VLOOKUP($A23,[1]!LOOKUP_Key_Information2,$B$2,FALSE),"")</f>
        <v>Boeing</v>
      </c>
      <c r="C23" s="1" t="str">
        <f t="shared" si="3"/>
        <v>Boeing</v>
      </c>
      <c r="D23" s="3">
        <f ca="1">VLOOKUP($A23,[1]!LOOKUP_SARS_Unified2,D$2,FALSE)</f>
        <v>-1.6E-2</v>
      </c>
      <c r="E23" s="32">
        <f t="shared" ca="1" si="4"/>
        <v>-531.73163464502215</v>
      </c>
      <c r="F23" s="49">
        <f ca="1">VLOOKUP($A23,[1]!LOOKUP_SARS_Unified2,F$2,FALSE)</f>
        <v>33233.227165313881</v>
      </c>
      <c r="G23" s="47" t="s">
        <v>111</v>
      </c>
      <c r="H23" s="13">
        <f t="shared" ca="1" si="5"/>
        <v>8098.2376487688871</v>
      </c>
      <c r="I23" s="13">
        <f t="shared" ca="1" si="6"/>
        <v>-2312.8458750353307</v>
      </c>
      <c r="J23" s="51">
        <f t="shared" ca="1" si="7"/>
        <v>9.5381786657996598E-2</v>
      </c>
      <c r="K23" s="97">
        <f t="shared" ca="1" si="8"/>
        <v>7.3000000000000009E-2</v>
      </c>
      <c r="L23" s="51" t="b">
        <f t="shared" ca="1" si="9"/>
        <v>1</v>
      </c>
    </row>
    <row r="24" spans="1:22" s="1" customFormat="1" ht="15" customHeight="1" x14ac:dyDescent="0.25">
      <c r="A24" t="s">
        <v>59</v>
      </c>
      <c r="B24" s="4" t="str">
        <f>IF(VLOOKUP($A24,[1]!LOOKUP_Key_Information2,$B$2,FALSE)&lt;&gt;0,VLOOKUP($A24,[1]!LOOKUP_Key_Information2,$B$2,FALSE),"")</f>
        <v>Boeing</v>
      </c>
      <c r="C24" s="1" t="str">
        <f t="shared" si="3"/>
        <v>Boeing</v>
      </c>
      <c r="D24" s="3">
        <f ca="1">VLOOKUP($A24,[1]!LOOKUP_SARS_Unified2,D$2,FALSE)</f>
        <v>-2.5000000000000001E-2</v>
      </c>
      <c r="E24" s="32">
        <f t="shared" ca="1" si="4"/>
        <v>-92.741189766772834</v>
      </c>
      <c r="F24" s="49">
        <f ca="1">VLOOKUP($A24,[1]!LOOKUP_SARS_Unified2,F$2,FALSE)</f>
        <v>3709.6475906709134</v>
      </c>
      <c r="G24" s="52" t="s">
        <v>85</v>
      </c>
      <c r="H24" s="13">
        <f t="shared" ca="1" si="5"/>
        <v>8442.6527520829022</v>
      </c>
      <c r="I24" s="13">
        <f t="shared" ca="1" si="6"/>
        <v>-272.2123151159131</v>
      </c>
      <c r="J24" s="51" t="e">
        <f t="shared" ca="1" si="7"/>
        <v>#VALUE!</v>
      </c>
      <c r="K24" s="97">
        <f t="shared" ca="1" si="8"/>
        <v>3.833333333333333E-2</v>
      </c>
      <c r="L24" s="51" t="e">
        <f t="shared" ca="1" si="9"/>
        <v>#VALUE!</v>
      </c>
      <c r="O24" s="42"/>
      <c r="P24" s="50" t="e">
        <f>H4/SUM($H$4:$H$14)</f>
        <v>#DIV/0!</v>
      </c>
      <c r="R24" s="37" t="e">
        <f t="shared" ref="R24:R29" ca="1" si="10">F4/SUM($F$4:$F$9)</f>
        <v>#VALUE!</v>
      </c>
      <c r="S24" s="40"/>
    </row>
    <row r="25" spans="1:22" s="1" customFormat="1" ht="15" customHeight="1" x14ac:dyDescent="0.25">
      <c r="A25" s="92" t="s">
        <v>32</v>
      </c>
      <c r="B25" s="4" t="str">
        <f>IF(VLOOKUP($A25,[1]!LOOKUP_Key_Information2,$B$2,FALSE)&lt;&gt;0,VLOOKUP($A25,[1]!LOOKUP_Key_Information2,$B$2,FALSE),"")</f>
        <v>Bath Iron Works (General Dynamics)</v>
      </c>
      <c r="C25" s="1" t="e">
        <f t="shared" si="3"/>
        <v>#N/A</v>
      </c>
      <c r="D25" s="3">
        <f ca="1">VLOOKUP($A25,[1]!LOOKUP_SARS_Unified2,D$2,FALSE)</f>
        <v>8.3000000000000004E-2</v>
      </c>
      <c r="E25" s="32">
        <f t="shared" ca="1" si="4"/>
        <v>2993.5700240082319</v>
      </c>
      <c r="F25" s="49">
        <f ca="1">VLOOKUP($A25,[1]!LOOKUP_SARS_Unified2,F$2,FALSE)</f>
        <v>36067.108722990743</v>
      </c>
      <c r="O25" s="42"/>
      <c r="P25" s="50" t="e">
        <f>H6/SUM($H$4:$H$14)</f>
        <v>#DIV/0!</v>
      </c>
      <c r="R25" s="37" t="e">
        <f t="shared" ca="1" si="10"/>
        <v>#VALUE!</v>
      </c>
      <c r="S25" s="40"/>
    </row>
    <row r="26" spans="1:22" s="1" customFormat="1" ht="15" customHeight="1" x14ac:dyDescent="0.25">
      <c r="A26" s="92" t="s">
        <v>26</v>
      </c>
      <c r="B26" s="4" t="str">
        <f>IF(VLOOKUP($A26,[1]!LOOKUP_Key_Information2,$B$2,FALSE)&lt;&gt;0,VLOOKUP($A26,[1]!LOOKUP_Key_Information2,$B$2,FALSE),"")</f>
        <v>General Dynamics</v>
      </c>
      <c r="C26" s="1" t="str">
        <f t="shared" si="3"/>
        <v>General Dynamics</v>
      </c>
      <c r="D26" s="3">
        <f ca="1">VLOOKUP($A26,[1]!LOOKUP_SARS_Unified2,D$2,FALSE)</f>
        <v>0.63400000000000001</v>
      </c>
      <c r="E26" s="32">
        <f t="shared" ca="1" si="4"/>
        <v>5778.1830668526682</v>
      </c>
      <c r="F26" s="49">
        <f ca="1">VLOOKUP($A26,[1]!LOOKUP_SARS_Unified2,F$2,FALSE)</f>
        <v>9113.8534177486872</v>
      </c>
      <c r="O26" s="42"/>
      <c r="P26" s="50" t="e">
        <f>H8/SUM($H$4:$H$14)</f>
        <v>#DIV/0!</v>
      </c>
      <c r="R26" s="37" t="e">
        <f t="shared" ca="1" si="10"/>
        <v>#VALUE!</v>
      </c>
      <c r="S26" s="40"/>
    </row>
    <row r="27" spans="1:22" s="1" customFormat="1" ht="15" customHeight="1" x14ac:dyDescent="0.25">
      <c r="A27" s="92" t="s">
        <v>76</v>
      </c>
      <c r="B27" s="4" t="str">
        <f>IF(VLOOKUP($A27,[1]!LOOKUP_Key_Information2,$B$2,FALSE)&lt;&gt;0,VLOOKUP($A27,[1]!LOOKUP_Key_Information2,$B$2,FALSE),"")</f>
        <v>General Dynamics</v>
      </c>
      <c r="C27" s="1" t="str">
        <f t="shared" si="3"/>
        <v>General Dynamics</v>
      </c>
      <c r="D27" s="3">
        <f ca="1">VLOOKUP($A27,[1]!LOOKUP_SARS_Unified2,D$2,FALSE)</f>
        <v>-0.27600000000000002</v>
      </c>
      <c r="E27" s="32">
        <f t="shared" ca="1" si="4"/>
        <v>-2767.3316435161723</v>
      </c>
      <c r="F27" s="49">
        <f ca="1">VLOOKUP($A27,[1]!LOOKUP_SARS_Unified2,F$2,FALSE)</f>
        <v>10026.563925783232</v>
      </c>
      <c r="O27" s="42"/>
      <c r="P27" s="50" t="e">
        <f>H10/SUM($H$4:$H$14)</f>
        <v>#DIV/0!</v>
      </c>
      <c r="R27" s="37" t="e">
        <f t="shared" ca="1" si="10"/>
        <v>#VALUE!</v>
      </c>
      <c r="S27" s="40"/>
    </row>
    <row r="28" spans="1:22" s="1" customFormat="1" ht="15" customHeight="1" x14ac:dyDescent="0.25">
      <c r="A28" s="92" t="s">
        <v>221</v>
      </c>
      <c r="B28" s="4" t="str">
        <f>IF(VLOOKUP($A28,[1]!LOOKUP_Key_Information2,$B$2,FALSE)&lt;&gt;0,VLOOKUP($A28,[1]!LOOKUP_Key_Information2,$B$2,FALSE),"")</f>
        <v>General Dynamics</v>
      </c>
      <c r="C28" s="1" t="str">
        <f t="shared" si="3"/>
        <v>General Dynamics</v>
      </c>
      <c r="D28" s="3">
        <f ca="1">VLOOKUP($A28,[1]!LOOKUP_SARS_Unified2,D$2,FALSE)</f>
        <v>-0.90400000000000003</v>
      </c>
      <c r="E28" s="32">
        <f t="shared" ca="1" si="4"/>
        <v>-2683.3224361302823</v>
      </c>
      <c r="F28" s="49">
        <f ca="1">VLOOKUP($A28,[1]!LOOKUP_SARS_Unified2,F$2,FALSE)</f>
        <v>2968.2770311175686</v>
      </c>
      <c r="O28" s="42"/>
      <c r="P28" s="50" t="e">
        <f>H12/SUM($H$4:$H$14)</f>
        <v>#DIV/0!</v>
      </c>
      <c r="R28" s="37" t="e">
        <f t="shared" ca="1" si="10"/>
        <v>#VALUE!</v>
      </c>
      <c r="S28" s="40"/>
    </row>
    <row r="29" spans="1:22" s="1" customFormat="1" ht="15" customHeight="1" x14ac:dyDescent="0.25">
      <c r="A29" s="92" t="s">
        <v>75</v>
      </c>
      <c r="B29" s="4" t="str">
        <f>IF(VLOOKUP($A29,[1]!LOOKUP_Key_Information2,$B$2,FALSE)&lt;&gt;0,VLOOKUP($A29,[1]!LOOKUP_Key_Information2,$B$2,FALSE),"")</f>
        <v xml:space="preserve">General Dynamics </v>
      </c>
      <c r="C29" s="1" t="e">
        <f t="shared" si="3"/>
        <v>#N/A</v>
      </c>
      <c r="D29" s="3">
        <f ca="1">VLOOKUP($A29,[1]!LOOKUP_SARS_Unified2,D$2,FALSE)</f>
        <v>-3.4000000000000002E-2</v>
      </c>
      <c r="E29" s="32">
        <f t="shared" ca="1" si="4"/>
        <v>-3056.3240676072078</v>
      </c>
      <c r="F29" s="49">
        <f ca="1">VLOOKUP($A29,[1]!LOOKUP_SARS_Unified2,F$2,FALSE)</f>
        <v>89891.884341388461</v>
      </c>
      <c r="O29" s="42"/>
      <c r="P29" s="50" t="e">
        <f>H14/SUM($H$4:$H$14)</f>
        <v>#DIV/0!</v>
      </c>
      <c r="R29" s="37" t="e">
        <f t="shared" ca="1" si="10"/>
        <v>#VALUE!</v>
      </c>
      <c r="S29" s="40"/>
    </row>
    <row r="30" spans="1:22" s="1" customFormat="1" x14ac:dyDescent="0.25">
      <c r="A30" s="92" t="s">
        <v>40</v>
      </c>
      <c r="B30" s="4" t="str">
        <f>IF(VLOOKUP($A30,[1]!LOOKUP_Key_Information2,$B$2,FALSE)&lt;&gt;0,VLOOKUP($A30,[1]!LOOKUP_Key_Information2,$B$2,FALSE),"")</f>
        <v xml:space="preserve">General Dynamics </v>
      </c>
      <c r="C30" s="1" t="e">
        <f t="shared" si="3"/>
        <v>#N/A</v>
      </c>
      <c r="D30" s="3">
        <f ca="1">VLOOKUP($A30,[1]!LOOKUP_SARS_Unified2,D$2,FALSE)</f>
        <v>0.02</v>
      </c>
      <c r="E30" s="32">
        <f t="shared" ca="1" si="4"/>
        <v>195.41730610317555</v>
      </c>
      <c r="F30" s="49">
        <f ca="1">VLOOKUP($A30,[1]!LOOKUP_SARS_Unified2,F$2,FALSE)</f>
        <v>9770.8653051587771</v>
      </c>
    </row>
    <row r="31" spans="1:22" s="1" customFormat="1" x14ac:dyDescent="0.25">
      <c r="A31" s="92" t="s">
        <v>52</v>
      </c>
      <c r="B31" s="4" t="str">
        <f>IF(VLOOKUP($A31,[1]!LOOKUP_Key_Information2,$B$2,FALSE)&lt;&gt;0,VLOOKUP($A31,[1]!LOOKUP_Key_Information2,$B$2,FALSE),"")</f>
        <v>General Dynamics (NASSCO)</v>
      </c>
      <c r="C31" s="1" t="e">
        <f t="shared" si="3"/>
        <v>#N/A</v>
      </c>
      <c r="D31" s="3">
        <f ca="1">VLOOKUP($A31,[1]!LOOKUP_SARS_Unified2,D$2,FALSE)</f>
        <v>0.08</v>
      </c>
      <c r="E31" s="32">
        <f t="shared" ca="1" si="4"/>
        <v>438.53909465020575</v>
      </c>
      <c r="F31" s="49">
        <f ca="1">VLOOKUP($A31,[1]!LOOKUP_SARS_Unified2,F$2,FALSE)</f>
        <v>5481.7386831275717</v>
      </c>
      <c r="G31" s="12"/>
      <c r="H31" s="12"/>
      <c r="I31" s="12"/>
      <c r="J31" s="12"/>
    </row>
    <row r="32" spans="1:22" s="1" customFormat="1" x14ac:dyDescent="0.25">
      <c r="A32" t="s">
        <v>43</v>
      </c>
      <c r="B32" s="4" t="str">
        <f>IF(VLOOKUP($A32,[1]!LOOKUP_Key_Information2,$B$2,FALSE)&lt;&gt;0,VLOOKUP($A32,[1]!LOOKUP_Key_Information2,$B$2,FALSE),"")</f>
        <v>General Dynamics</v>
      </c>
      <c r="C32" s="1" t="str">
        <f t="shared" si="3"/>
        <v>General Dynamics</v>
      </c>
      <c r="D32" s="3">
        <f ca="1">VLOOKUP($A32,[1]!LOOKUP_SARS_Unified2,D$2,FALSE)</f>
        <v>2.1000000000000001E-2</v>
      </c>
      <c r="E32" s="32">
        <f t="shared" ca="1" si="4"/>
        <v>85.586436312909129</v>
      </c>
      <c r="F32" s="49">
        <f ca="1">VLOOKUP($A32,[1]!LOOKUP_SARS_Unified2,F$2,FALSE)</f>
        <v>4075.5445863290056</v>
      </c>
      <c r="G32" s="12"/>
      <c r="H32" s="12"/>
      <c r="I32" s="12"/>
      <c r="J32" s="12"/>
    </row>
    <row r="33" spans="1:16" s="1" customFormat="1" x14ac:dyDescent="0.25">
      <c r="A33" t="s">
        <v>57</v>
      </c>
      <c r="B33" s="4" t="str">
        <f>IF(VLOOKUP($A33,[1]!LOOKUP_Key_Information2,$B$2,FALSE)&lt;&gt;0,VLOOKUP($A33,[1]!LOOKUP_Key_Information2,$B$2,FALSE),"")</f>
        <v>General Dynamics</v>
      </c>
      <c r="C33" s="1" t="str">
        <f t="shared" si="3"/>
        <v>General Dynamics</v>
      </c>
      <c r="D33" s="3">
        <f ca="1">VLOOKUP($A33,[1]!LOOKUP_SARS_Unified2,D$2,FALSE)</f>
        <v>6.2E-2</v>
      </c>
      <c r="E33" s="32">
        <f t="shared" ca="1" si="4"/>
        <v>298.50200349327031</v>
      </c>
      <c r="F33" s="49">
        <f ca="1">VLOOKUP($A33,[1]!LOOKUP_SARS_Unified2,F$2,FALSE)</f>
        <v>4814.548443439844</v>
      </c>
      <c r="G33" s="12"/>
      <c r="H33" s="12"/>
      <c r="I33" s="12"/>
      <c r="J33" s="12"/>
    </row>
    <row r="34" spans="1:16" s="1" customFormat="1" x14ac:dyDescent="0.25">
      <c r="A34" t="s">
        <v>185</v>
      </c>
      <c r="B34" s="4" t="str">
        <f>IF(VLOOKUP($A34,[1]!LOOKUP_Key_Information2,$B$2,FALSE)&lt;&gt;0,VLOOKUP($A34,[1]!LOOKUP_Key_Information2,$B$2,FALSE),"")</f>
        <v>General Dynamics</v>
      </c>
      <c r="C34" s="1" t="str">
        <f t="shared" si="3"/>
        <v>General Dynamics</v>
      </c>
      <c r="D34" s="3">
        <f ca="1">VLOOKUP($A34,[1]!LOOKUP_SARS_Unified2,D$2,FALSE)</f>
        <v>-0.19500000000000001</v>
      </c>
      <c r="E34" s="32">
        <f t="shared" ca="1" si="4"/>
        <v>-3191.0357142857142</v>
      </c>
      <c r="F34" s="49">
        <f ca="1">VLOOKUP($A34,[1]!LOOKUP_SARS_Unified2,F$2,FALSE)</f>
        <v>16364.285714285714</v>
      </c>
      <c r="G34" s="12"/>
      <c r="H34" s="12"/>
      <c r="I34" s="12"/>
      <c r="J34" s="12"/>
    </row>
    <row r="35" spans="1:16" s="1" customFormat="1" x14ac:dyDescent="0.25">
      <c r="A35" s="92" t="s">
        <v>212</v>
      </c>
      <c r="B35" s="4" t="str">
        <f>IF(VLOOKUP($A35,[1]!LOOKUP_Key_Information2,$B$2,FALSE)&lt;&gt;0,VLOOKUP($A35,[1]!LOOKUP_Key_Information2,$B$2,FALSE),"")</f>
        <v>Lockheed Martin</v>
      </c>
      <c r="C35" s="1" t="str">
        <f t="shared" si="3"/>
        <v>Lockheed Martin</v>
      </c>
      <c r="D35" s="3">
        <f ca="1">VLOOKUP($A35,[1]!LOOKUP_SARS_Unified2,D$2,FALSE)</f>
        <v>-0.14899999999999999</v>
      </c>
      <c r="E35" s="32">
        <f t="shared" ca="1" si="4"/>
        <v>-695.83847923477413</v>
      </c>
      <c r="F35" s="49">
        <f ca="1">VLOOKUP($A35,[1]!LOOKUP_SARS_Unified2,F$2,FALSE)</f>
        <v>4670.0569076159336</v>
      </c>
      <c r="G35" s="12"/>
      <c r="H35" s="12"/>
      <c r="I35" s="12"/>
      <c r="J35" s="12"/>
    </row>
    <row r="36" spans="1:16" s="1" customFormat="1" x14ac:dyDescent="0.25">
      <c r="A36" s="92" t="s">
        <v>25</v>
      </c>
      <c r="B36" s="4" t="str">
        <f>IF(VLOOKUP($A36,[1]!LOOKUP_Key_Information2,$B$2,FALSE)&lt;&gt;0,VLOOKUP($A36,[1]!LOOKUP_Key_Information2,$B$2,FALSE),"")</f>
        <v>Lockheed Martin / TRW Systems (Northrop Grumman)</v>
      </c>
      <c r="C36" s="1" t="e">
        <f t="shared" si="3"/>
        <v>#N/A</v>
      </c>
      <c r="D36" s="3">
        <f ca="1">VLOOKUP($A36,[1]!LOOKUP_SARS_Unified2,D$2,FALSE)</f>
        <v>0.33600000000000002</v>
      </c>
      <c r="E36" s="32">
        <f t="shared" ca="1" si="4"/>
        <v>2409.1906056860321</v>
      </c>
      <c r="F36" s="49">
        <f ca="1">VLOOKUP($A36,[1]!LOOKUP_SARS_Unified2,F$2,FALSE)</f>
        <v>7170.2101359703329</v>
      </c>
      <c r="G36" s="12"/>
      <c r="H36" s="12"/>
      <c r="I36" s="12"/>
      <c r="J36" s="12"/>
      <c r="O36" s="1">
        <v>275</v>
      </c>
      <c r="P36" s="1">
        <v>100</v>
      </c>
    </row>
    <row r="37" spans="1:16" s="1" customFormat="1" x14ac:dyDescent="0.25">
      <c r="A37" s="92" t="s">
        <v>174</v>
      </c>
      <c r="B37" s="4" t="str">
        <f>IF(VLOOKUP($A37,[1]!LOOKUP_Key_Information2,$B$2,FALSE)&lt;&gt;0,VLOOKUP($A37,[1]!LOOKUP_Key_Information2,$B$2,FALSE),"")</f>
        <v>Lockheed Martin</v>
      </c>
      <c r="C37" s="1" t="str">
        <f t="shared" si="3"/>
        <v>Lockheed Martin</v>
      </c>
      <c r="D37" s="3">
        <f ca="1">VLOOKUP($A37,[1]!LOOKUP_SARS_Unified2,D$2,FALSE)</f>
        <v>-0.191</v>
      </c>
      <c r="E37" s="32">
        <f t="shared" ca="1" si="4"/>
        <v>-1554.4871499003461</v>
      </c>
      <c r="F37" s="49">
        <f ca="1">VLOOKUP($A37,[1]!LOOKUP_SARS_Unified2,F$2,FALSE)</f>
        <v>8138.6761774887236</v>
      </c>
      <c r="G37" s="12"/>
      <c r="H37" s="12"/>
      <c r="I37" s="12"/>
      <c r="J37" s="12"/>
      <c r="N37" s="1">
        <f>50/O36</f>
        <v>0.18181818181818182</v>
      </c>
      <c r="O37" s="1">
        <v>25</v>
      </c>
      <c r="P37" s="1">
        <f>O37/O36*P36</f>
        <v>9.0909090909090917</v>
      </c>
    </row>
    <row r="38" spans="1:16" s="1" customFormat="1" x14ac:dyDescent="0.25">
      <c r="A38" s="92" t="s">
        <v>19</v>
      </c>
      <c r="B38" s="4" t="str">
        <f>IF(VLOOKUP($A38,[1]!LOOKUP_Key_Information2,$B$2,FALSE)&lt;&gt;0,VLOOKUP($A38,[1]!LOOKUP_Key_Information2,$B$2,FALSE),"")</f>
        <v>Lockheed Martin</v>
      </c>
      <c r="C38" s="1" t="str">
        <f t="shared" si="3"/>
        <v>Lockheed Martin</v>
      </c>
      <c r="D38" s="3">
        <f ca="1">VLOOKUP($A38,[1]!LOOKUP_SARS_Unified2,D$2,FALSE)</f>
        <v>0.318</v>
      </c>
      <c r="E38" s="32">
        <f t="shared" ca="1" si="4"/>
        <v>318.43579553241062</v>
      </c>
      <c r="F38" s="49">
        <f ca="1">VLOOKUP($A38,[1]!LOOKUP_SARS_Unified2,F$2,FALSE)</f>
        <v>1001.3704262025491</v>
      </c>
      <c r="G38" s="12"/>
      <c r="H38" s="12"/>
      <c r="I38" s="12"/>
      <c r="J38" s="12"/>
      <c r="N38" s="1">
        <v>0.18160000000000001</v>
      </c>
    </row>
    <row r="39" spans="1:16" s="1" customFormat="1" x14ac:dyDescent="0.25">
      <c r="A39" s="92" t="s">
        <v>27</v>
      </c>
      <c r="B39" s="4" t="str">
        <f>IF(VLOOKUP($A39,[1]!LOOKUP_Key_Information2,$B$2,FALSE)&lt;&gt;0,VLOOKUP($A39,[1]!LOOKUP_Key_Information2,$B$2,FALSE),"")</f>
        <v>Lockheed Martin</v>
      </c>
      <c r="C39" s="1" t="str">
        <f t="shared" si="3"/>
        <v>Lockheed Martin</v>
      </c>
      <c r="D39" s="3">
        <f ca="1">VLOOKUP($A39,[1]!LOOKUP_SARS_Unified2,D$2,FALSE)</f>
        <v>-1.9E-2</v>
      </c>
      <c r="E39" s="32">
        <f t="shared" ca="1" si="4"/>
        <v>-142.43721808454842</v>
      </c>
      <c r="F39" s="49">
        <f ca="1">VLOOKUP($A39,[1]!LOOKUP_SARS_Unified2,F$2,FALSE)</f>
        <v>7496.695688660443</v>
      </c>
      <c r="G39" s="12"/>
      <c r="H39" s="12"/>
      <c r="I39" s="12"/>
      <c r="J39" s="12"/>
    </row>
    <row r="40" spans="1:16" s="1" customFormat="1" x14ac:dyDescent="0.25">
      <c r="A40" s="92" t="s">
        <v>250</v>
      </c>
      <c r="B40" s="4" t="str">
        <f>IF(VLOOKUP($A40,[1]!LOOKUP_Key_Information2,$B$2,FALSE)&lt;&gt;0,VLOOKUP($A40,[1]!LOOKUP_Key_Information2,$B$2,FALSE),"")</f>
        <v>Lockheed Martin</v>
      </c>
      <c r="C40" s="1" t="str">
        <f t="shared" si="3"/>
        <v>Lockheed Martin</v>
      </c>
      <c r="D40" s="3">
        <f ca="1">VLOOKUP($A40,[1]!LOOKUP_SARS_Unified2,D$2,FALSE)</f>
        <v>0.19899999999999998</v>
      </c>
      <c r="E40" s="32">
        <f t="shared" ca="1" si="4"/>
        <v>195.4146125787554</v>
      </c>
      <c r="F40" s="49">
        <f ca="1">VLOOKUP($A40,[1]!LOOKUP_SARS_Unified2,F$2,FALSE)</f>
        <v>981.98297778269045</v>
      </c>
      <c r="G40" s="12"/>
      <c r="H40" s="12"/>
      <c r="I40" s="12"/>
      <c r="J40" s="12"/>
    </row>
    <row r="41" spans="1:16" s="1" customFormat="1" x14ac:dyDescent="0.25">
      <c r="A41" s="92" t="s">
        <v>244</v>
      </c>
      <c r="B41" s="4" t="str">
        <f>IF(VLOOKUP($A41,[1]!LOOKUP_Key_Information2,$B$2,FALSE)&lt;&gt;0,VLOOKUP($A41,[1]!LOOKUP_Key_Information2,$B$2,FALSE),"")</f>
        <v>Lockheed Martin, Boeing, Pratt &amp; Whitney</v>
      </c>
      <c r="C41" s="1" t="e">
        <f t="shared" si="3"/>
        <v>#N/A</v>
      </c>
      <c r="D41" s="3">
        <f ca="1">VLOOKUP($A41,[1]!LOOKUP_SARS_Unified2,D$2,FALSE)</f>
        <v>6.8000000000000005E-2</v>
      </c>
      <c r="E41" s="32">
        <f t="shared" ca="1" si="4"/>
        <v>4997.319766777181</v>
      </c>
      <c r="F41" s="49">
        <f ca="1">VLOOKUP($A41,[1]!LOOKUP_SARS_Unified2,F$2,FALSE)</f>
        <v>73489.996570252653</v>
      </c>
      <c r="G41" s="12"/>
      <c r="H41" s="12"/>
      <c r="I41" s="12"/>
      <c r="J41" s="12"/>
    </row>
    <row r="42" spans="1:16" s="1" customFormat="1" x14ac:dyDescent="0.25">
      <c r="A42" s="104" t="s">
        <v>10</v>
      </c>
      <c r="B42" s="4" t="str">
        <f>IF(VLOOKUP($A42,[1]!LOOKUP_Key_Information2,$B$2,FALSE)&lt;&gt;0,VLOOKUP($A42,[1]!LOOKUP_Key_Information2,$B$2,FALSE),"")</f>
        <v>Lockheed Martin</v>
      </c>
      <c r="C42" s="111" t="str">
        <f t="shared" ref="C42:C73" si="11">VLOOKUP($B42,LOOKUP_Company_Filter,3,FALSE)</f>
        <v>Lockheed Martin</v>
      </c>
      <c r="D42" s="3">
        <f ca="1">VLOOKUP($A42,[1]!LOOKUP_SARS_Unified2,D$2,FALSE)</f>
        <v>0.52800000000000002</v>
      </c>
      <c r="E42" s="107">
        <f t="shared" ref="E42:E73" ca="1" si="12">D42*F42</f>
        <v>115585.66131025959</v>
      </c>
      <c r="F42" s="49">
        <f ca="1">VLOOKUP($A42,[1]!LOOKUP_SARS_Unified2,F$2,FALSE)</f>
        <v>218912.23733003708</v>
      </c>
      <c r="G42" s="12"/>
      <c r="H42" s="12"/>
      <c r="I42" s="12"/>
      <c r="J42" s="12"/>
    </row>
    <row r="43" spans="1:16" s="1" customFormat="1" x14ac:dyDescent="0.25">
      <c r="A43" s="92" t="s">
        <v>53</v>
      </c>
      <c r="B43" s="4" t="str">
        <f>IF(VLOOKUP($A43,[1]!LOOKUP_Key_Information2,$B$2,FALSE)&lt;&gt;0,VLOOKUP($A43,[1]!LOOKUP_Key_Information2,$B$2,FALSE),"")</f>
        <v>Lockheed Martin</v>
      </c>
      <c r="C43" s="1" t="str">
        <f t="shared" si="11"/>
        <v>Lockheed Martin</v>
      </c>
      <c r="D43" s="3">
        <f ca="1">VLOOKUP($A43,[1]!LOOKUP_SARS_Unified2,D$2,FALSE)</f>
        <v>0.25800000000000001</v>
      </c>
      <c r="E43" s="32">
        <f t="shared" ca="1" si="12"/>
        <v>3055.202324736651</v>
      </c>
      <c r="F43" s="49">
        <f ca="1">VLOOKUP($A43,[1]!LOOKUP_SARS_Unified2,F$2,FALSE)</f>
        <v>11841.869475723453</v>
      </c>
      <c r="G43" s="12"/>
      <c r="H43" s="12"/>
      <c r="I43" s="12"/>
      <c r="J43" s="12"/>
    </row>
    <row r="44" spans="1:16" s="1" customFormat="1" x14ac:dyDescent="0.25">
      <c r="A44" s="92" t="s">
        <v>4</v>
      </c>
      <c r="B44" s="4" t="str">
        <f>IF(VLOOKUP($A44,[1]!LOOKUP_Key_Information2,$B$2,FALSE)&lt;&gt;0,VLOOKUP($A44,[1]!LOOKUP_Key_Information2,$B$2,FALSE),"")</f>
        <v>Lockheed Martin</v>
      </c>
      <c r="C44" s="1" t="str">
        <f t="shared" si="11"/>
        <v>Lockheed Martin</v>
      </c>
      <c r="D44" s="3">
        <f ca="1">VLOOKUP($A44,[1]!LOOKUP_SARS_Unified2,D$2,FALSE)</f>
        <v>-3.2000000000000001E-2</v>
      </c>
      <c r="E44" s="32">
        <f t="shared" ca="1" si="12"/>
        <v>-136.20959621904859</v>
      </c>
      <c r="F44" s="49">
        <f ca="1">VLOOKUP($A44,[1]!LOOKUP_SARS_Unified2,F$2,FALSE)</f>
        <v>4256.5498818452688</v>
      </c>
      <c r="G44" s="12"/>
      <c r="H44" s="12"/>
      <c r="I44" s="12"/>
      <c r="J44" s="12"/>
    </row>
    <row r="45" spans="1:16" s="1" customFormat="1" x14ac:dyDescent="0.25">
      <c r="A45" s="92" t="s">
        <v>3</v>
      </c>
      <c r="B45" s="4" t="str">
        <f>IF(VLOOKUP($A45,[1]!LOOKUP_Key_Information2,$B$2,FALSE)&lt;&gt;0,VLOOKUP($A45,[1]!LOOKUP_Key_Information2,$B$2,FALSE),"")</f>
        <v>Lockheed Martin</v>
      </c>
      <c r="C45" s="1" t="str">
        <f t="shared" si="11"/>
        <v>Lockheed Martin</v>
      </c>
      <c r="D45" s="3">
        <f ca="1">VLOOKUP($A45,[1]!LOOKUP_SARS_Unified2,D$2,FALSE)</f>
        <v>-0.13</v>
      </c>
      <c r="E45" s="32">
        <f t="shared" ca="1" si="12"/>
        <v>-584.22084998183789</v>
      </c>
      <c r="F45" s="49">
        <f ca="1">VLOOKUP($A45,[1]!LOOKUP_SARS_Unified2,F$2,FALSE)</f>
        <v>4494.0065383218298</v>
      </c>
      <c r="G45" s="12"/>
      <c r="H45" s="12"/>
      <c r="I45" s="12"/>
      <c r="J45" s="12"/>
    </row>
    <row r="46" spans="1:16" s="1" customFormat="1" x14ac:dyDescent="0.25">
      <c r="A46" s="92" t="s">
        <v>61</v>
      </c>
      <c r="B46" s="4" t="str">
        <f>IF(VLOOKUP($A46,[1]!LOOKUP_Key_Information2,$B$2,FALSE)&lt;&gt;0,VLOOKUP($A46,[1]!LOOKUP_Key_Information2,$B$2,FALSE),"")</f>
        <v>Lockheed Martin</v>
      </c>
      <c r="C46" s="1" t="str">
        <f t="shared" si="11"/>
        <v>Lockheed Martin</v>
      </c>
      <c r="D46" s="3">
        <f ca="1">VLOOKUP($A46,[1]!LOOKUP_SARS_Unified2,D$2,FALSE)</f>
        <v>0.44600000000000001</v>
      </c>
      <c r="E46" s="32">
        <f t="shared" ca="1" si="12"/>
        <v>2502.1852213996372</v>
      </c>
      <c r="F46" s="49">
        <f ca="1">VLOOKUP($A46,[1]!LOOKUP_SARS_Unified2,F$2,FALSE)</f>
        <v>5610.2807654700382</v>
      </c>
      <c r="G46" s="12"/>
      <c r="H46" s="12"/>
      <c r="I46" s="12"/>
      <c r="J46" s="12"/>
    </row>
    <row r="47" spans="1:16" s="1" customFormat="1" x14ac:dyDescent="0.25">
      <c r="A47" s="92" t="s">
        <v>219</v>
      </c>
      <c r="B47" s="4" t="str">
        <f>IF(VLOOKUP($A47,[1]!LOOKUP_Key_Information2,$B$2,FALSE)&lt;&gt;0,VLOOKUP($A47,[1]!LOOKUP_Key_Information2,$B$2,FALSE),"")</f>
        <v>Lockheed Martin</v>
      </c>
      <c r="C47" s="1" t="str">
        <f t="shared" si="11"/>
        <v>Lockheed Martin</v>
      </c>
      <c r="D47" s="3">
        <f ca="1">VLOOKUP($A47,[1]!LOOKUP_SARS_Unified2,D$2,FALSE)</f>
        <v>-0.70599999999999996</v>
      </c>
      <c r="E47" s="32">
        <f t="shared" ca="1" si="12"/>
        <v>-5643.166096092551</v>
      </c>
      <c r="F47" s="49">
        <f ca="1">VLOOKUP($A47,[1]!LOOKUP_SARS_Unified2,F$2,FALSE)</f>
        <v>7993.1531106126786</v>
      </c>
      <c r="G47" s="12"/>
      <c r="H47" s="12"/>
      <c r="I47" s="12"/>
      <c r="J47" s="12"/>
    </row>
    <row r="48" spans="1:16" s="1" customFormat="1" x14ac:dyDescent="0.25">
      <c r="A48" s="92" t="s">
        <v>65</v>
      </c>
      <c r="B48" s="4" t="str">
        <f>IF(VLOOKUP($A48,[1]!LOOKUP_Key_Information2,$B$2,FALSE)&lt;&gt;0,VLOOKUP($A48,[1]!LOOKUP_Key_Information2,$B$2,FALSE),"")</f>
        <v>Lockheed Martin</v>
      </c>
      <c r="C48" s="1" t="str">
        <f t="shared" si="11"/>
        <v>Lockheed Martin</v>
      </c>
      <c r="D48" s="3">
        <f ca="1">VLOOKUP($A48,[1]!LOOKUP_SARS_Unified2,D$2,FALSE)</f>
        <v>0.04</v>
      </c>
      <c r="E48" s="32">
        <f t="shared" ca="1" si="12"/>
        <v>272.40703576909453</v>
      </c>
      <c r="F48" s="49">
        <f ca="1">VLOOKUP($A48,[1]!LOOKUP_SARS_Unified2,F$2,FALSE)</f>
        <v>6810.1758942273636</v>
      </c>
      <c r="G48" s="12"/>
      <c r="H48" s="12"/>
      <c r="I48" s="12"/>
      <c r="J48" s="12"/>
    </row>
    <row r="49" spans="1:10" s="1" customFormat="1" x14ac:dyDescent="0.25">
      <c r="A49" s="92" t="s">
        <v>251</v>
      </c>
      <c r="B49" s="4" t="str">
        <f>IF(VLOOKUP($A49,[1]!LOOKUP_Key_Information2,$B$2,FALSE)&lt;&gt;0,VLOOKUP($A49,[1]!LOOKUP_Key_Information2,$B$2,FALSE),"")</f>
        <v>Lockheed Martin</v>
      </c>
      <c r="C49" s="1" t="str">
        <f t="shared" si="11"/>
        <v>Lockheed Martin</v>
      </c>
      <c r="D49" s="3">
        <f ca="1">VLOOKUP($A49,[1]!LOOKUP_SARS_Unified2,D$2,FALSE)</f>
        <v>5.6</v>
      </c>
      <c r="E49" s="32">
        <f t="shared" ca="1" si="12"/>
        <v>62880.593325092697</v>
      </c>
      <c r="F49" s="49">
        <f ca="1">VLOOKUP($A49,[1]!LOOKUP_SARS_Unified2,F$2,FALSE)</f>
        <v>11228.67737948084</v>
      </c>
      <c r="G49" s="12"/>
      <c r="H49" s="12"/>
      <c r="I49" s="12"/>
      <c r="J49" s="12"/>
    </row>
    <row r="50" spans="1:10" s="1" customFormat="1" x14ac:dyDescent="0.25">
      <c r="A50" s="92" t="s">
        <v>77</v>
      </c>
      <c r="B50" s="4" t="str">
        <f>IF(VLOOKUP($A50,[1]!LOOKUP_Key_Information2,$B$2,FALSE)&lt;&gt;0,VLOOKUP($A50,[1]!LOOKUP_Key_Information2,$B$2,FALSE),"")</f>
        <v>MEADS International</v>
      </c>
      <c r="C50" s="1" t="e">
        <f t="shared" si="11"/>
        <v>#N/A</v>
      </c>
      <c r="D50" s="3">
        <f ca="1">VLOOKUP($A50,[1]!LOOKUP_SARS_Unified2,D$2,FALSE)</f>
        <v>-4.0999999999999995E-2</v>
      </c>
      <c r="E50" s="32">
        <f t="shared" ca="1" si="12"/>
        <v>-1101.1774288749853</v>
      </c>
      <c r="F50" s="49">
        <f ca="1">VLOOKUP($A50,[1]!LOOKUP_SARS_Unified2,F$2,FALSE)</f>
        <v>26857.986070121595</v>
      </c>
      <c r="G50" s="12"/>
      <c r="H50" s="12"/>
      <c r="I50" s="12"/>
      <c r="J50" s="12"/>
    </row>
    <row r="51" spans="1:10" s="1" customFormat="1" x14ac:dyDescent="0.25">
      <c r="A51" s="92" t="s">
        <v>50</v>
      </c>
      <c r="B51" s="4" t="str">
        <f>IF(VLOOKUP($A51,[1]!LOOKUP_Key_Information2,$B$2,FALSE)&lt;&gt;0,VLOOKUP($A51,[1]!LOOKUP_Key_Information2,$B$2,FALSE),"")</f>
        <v>Lockheed Martin</v>
      </c>
      <c r="C51" s="1" t="str">
        <f t="shared" si="11"/>
        <v>Lockheed Martin</v>
      </c>
      <c r="D51" s="3">
        <f ca="1">VLOOKUP($A51,[1]!LOOKUP_SARS_Unified2,D$2,FALSE)</f>
        <v>-1.1000000000000001E-2</v>
      </c>
      <c r="E51" s="32">
        <f t="shared" ca="1" si="12"/>
        <v>-15.55830662097933</v>
      </c>
      <c r="F51" s="49">
        <f ca="1">VLOOKUP($A51,[1]!LOOKUP_SARS_Unified2,F$2,FALSE)</f>
        <v>1414.3915109981208</v>
      </c>
      <c r="G51" s="12"/>
      <c r="H51" s="12"/>
      <c r="I51" s="12"/>
      <c r="J51" s="12"/>
    </row>
    <row r="52" spans="1:10" s="1" customFormat="1" x14ac:dyDescent="0.25">
      <c r="A52" s="92" t="s">
        <v>64</v>
      </c>
      <c r="B52" s="4" t="str">
        <f>IF(VLOOKUP($A52,[1]!LOOKUP_Key_Information2,$B$2,FALSE)&lt;&gt;0,VLOOKUP($A52,[1]!LOOKUP_Key_Information2,$B$2,FALSE),"")</f>
        <v>Lockheed Martin</v>
      </c>
      <c r="C52" s="1" t="str">
        <f t="shared" si="11"/>
        <v>Lockheed Martin</v>
      </c>
      <c r="D52" s="3">
        <f ca="1">VLOOKUP($A52,[1]!LOOKUP_SARS_Unified2,D$2,FALSE)</f>
        <v>1.7519999999999998</v>
      </c>
      <c r="E52" s="32">
        <f t="shared" ca="1" si="12"/>
        <v>9004.7269171672015</v>
      </c>
      <c r="F52" s="49">
        <f ca="1">VLOOKUP($A52,[1]!LOOKUP_SARS_Unified2,F$2,FALSE)</f>
        <v>5139.6843134515993</v>
      </c>
      <c r="G52" s="12"/>
      <c r="H52" s="12"/>
      <c r="I52" s="12"/>
      <c r="J52" s="12"/>
    </row>
    <row r="53" spans="1:10" s="1" customFormat="1" x14ac:dyDescent="0.25">
      <c r="A53" s="92" t="s">
        <v>249</v>
      </c>
      <c r="B53" s="4" t="str">
        <f>IF(VLOOKUP($A53,[1]!LOOKUP_Key_Information2,$B$2,FALSE)&lt;&gt;0,VLOOKUP($A53,[1]!LOOKUP_Key_Information2,$B$2,FALSE),"")</f>
        <v>Lockheed Martin</v>
      </c>
      <c r="C53" s="1" t="str">
        <f t="shared" si="11"/>
        <v>Lockheed Martin</v>
      </c>
      <c r="D53" s="3">
        <f ca="1">VLOOKUP($A53,[1]!LOOKUP_SARS_Unified2,D$2,FALSE)</f>
        <v>0.20699999999999999</v>
      </c>
      <c r="E53" s="32">
        <f t="shared" ca="1" si="12"/>
        <v>10896.242021803764</v>
      </c>
      <c r="F53" s="49">
        <f ca="1">VLOOKUP($A53,[1]!LOOKUP_SARS_Unified2,F$2,FALSE)</f>
        <v>52638.850346878091</v>
      </c>
      <c r="G53" s="12"/>
      <c r="H53" s="12"/>
      <c r="I53" s="12"/>
      <c r="J53" s="12"/>
    </row>
    <row r="54" spans="1:10" s="1" customFormat="1" x14ac:dyDescent="0.25">
      <c r="A54" s="104" t="s">
        <v>223</v>
      </c>
      <c r="B54" s="4" t="str">
        <f>IF(VLOOKUP($A54,[1]!LOOKUP_Key_Information2,$B$2,FALSE)&lt;&gt;0,VLOOKUP($A54,[1]!LOOKUP_Key_Information2,$B$2,FALSE),"")</f>
        <v>Lockheed Martin</v>
      </c>
      <c r="C54" s="111" t="str">
        <f t="shared" si="11"/>
        <v>Lockheed Martin</v>
      </c>
      <c r="D54" s="3">
        <f ca="1">VLOOKUP($A54,[1]!LOOKUP_SARS_Unified2,D$2,FALSE)</f>
        <v>-3.3000000000000002E-2</v>
      </c>
      <c r="E54" s="107">
        <f t="shared" ca="1" si="12"/>
        <v>-225.89756629131858</v>
      </c>
      <c r="F54" s="49">
        <f ca="1">VLOOKUP($A54,[1]!LOOKUP_SARS_Unified2,F$2,FALSE)</f>
        <v>6845.3807967066232</v>
      </c>
      <c r="G54" s="12"/>
      <c r="H54" s="12"/>
      <c r="I54" s="12"/>
      <c r="J54" s="12"/>
    </row>
    <row r="55" spans="1:10" s="1" customFormat="1" x14ac:dyDescent="0.25">
      <c r="A55" s="92" t="s">
        <v>214</v>
      </c>
      <c r="B55" s="4" t="str">
        <f>IF(VLOOKUP($A55,[1]!LOOKUP_Key_Information2,$B$2,FALSE)&lt;&gt;0,VLOOKUP($A55,[1]!LOOKUP_Key_Information2,$B$2,FALSE),"")</f>
        <v>Northrop Grumman</v>
      </c>
      <c r="C55" s="1" t="str">
        <f t="shared" si="11"/>
        <v>Northrop Grumman</v>
      </c>
      <c r="D55" s="3">
        <f ca="1">VLOOKUP($A55,[1]!LOOKUP_SARS_Unified2,D$2,FALSE)</f>
        <v>2.7999999999999997E-2</v>
      </c>
      <c r="E55" s="32">
        <f t="shared" ca="1" si="12"/>
        <v>62.309238406586744</v>
      </c>
      <c r="F55" s="49">
        <f ca="1">VLOOKUP($A55,[1]!LOOKUP_SARS_Unified2,F$2,FALSE)</f>
        <v>2225.3299430923839</v>
      </c>
      <c r="G55" s="12"/>
      <c r="H55" s="12"/>
      <c r="I55" s="12"/>
      <c r="J55" s="12"/>
    </row>
    <row r="56" spans="1:10" s="1" customFormat="1" x14ac:dyDescent="0.25">
      <c r="A56" s="92" t="s">
        <v>175</v>
      </c>
      <c r="B56" s="4" t="str">
        <f>IF(VLOOKUP($A56,[1]!LOOKUP_Key_Information2,$B$2,FALSE)&lt;&gt;0,VLOOKUP($A56,[1]!LOOKUP_Key_Information2,$B$2,FALSE),"")</f>
        <v xml:space="preserve">Northrop Grumman, Lockheed, L-3 Communications, Raytheon </v>
      </c>
      <c r="C56" s="1" t="e">
        <f t="shared" si="11"/>
        <v>#N/A</v>
      </c>
      <c r="D56" s="3">
        <f ca="1">VLOOKUP($A56,[1]!LOOKUP_SARS_Unified2,D$2,FALSE)</f>
        <v>-1E-3</v>
      </c>
      <c r="E56" s="32">
        <f t="shared" ca="1" si="12"/>
        <v>-0.55440254803246691</v>
      </c>
      <c r="F56" s="49">
        <f ca="1">VLOOKUP($A56,[1]!LOOKUP_SARS_Unified2,F$2,FALSE)</f>
        <v>554.40254803246694</v>
      </c>
      <c r="G56" s="12"/>
      <c r="H56" s="12"/>
      <c r="I56" s="12"/>
      <c r="J56" s="12"/>
    </row>
    <row r="57" spans="1:10" s="1" customFormat="1" x14ac:dyDescent="0.25">
      <c r="A57" s="92" t="s">
        <v>17</v>
      </c>
      <c r="B57" s="4" t="str">
        <f>IF(VLOOKUP($A57,[1]!LOOKUP_Key_Information2,$B$2,FALSE)&lt;&gt;0,VLOOKUP($A57,[1]!LOOKUP_Key_Information2,$B$2,FALSE),"")</f>
        <v>Northrop Grumman</v>
      </c>
      <c r="C57" s="1" t="str">
        <f t="shared" si="11"/>
        <v>Northrop Grumman</v>
      </c>
      <c r="D57" s="3">
        <f ca="1">VLOOKUP($A57,[1]!LOOKUP_SARS_Unified2,D$2,FALSE)</f>
        <v>-0.17699999999999999</v>
      </c>
      <c r="E57" s="32">
        <f t="shared" ca="1" si="12"/>
        <v>-125.29981757699325</v>
      </c>
      <c r="F57" s="49">
        <f ca="1">VLOOKUP($A57,[1]!LOOKUP_SARS_Unified2,F$2,FALSE)</f>
        <v>707.90857388131781</v>
      </c>
      <c r="G57" s="12"/>
      <c r="H57" s="12"/>
      <c r="I57" s="12"/>
      <c r="J57" s="12"/>
    </row>
    <row r="58" spans="1:10" s="1" customFormat="1" x14ac:dyDescent="0.25">
      <c r="A58" s="92" t="s">
        <v>30</v>
      </c>
      <c r="B58" s="4" t="str">
        <f>IF(VLOOKUP($A58,[1]!LOOKUP_Key_Information2,$B$2,FALSE)&lt;&gt;0,VLOOKUP($A58,[1]!LOOKUP_Key_Information2,$B$2,FALSE),"")</f>
        <v>Northrop Grumman</v>
      </c>
      <c r="C58" s="1" t="str">
        <f t="shared" si="11"/>
        <v>Northrop Grumman</v>
      </c>
      <c r="D58" s="3">
        <f ca="1">VLOOKUP($A58,[1]!LOOKUP_SARS_Unified2,D$2,FALSE)</f>
        <v>-7.8E-2</v>
      </c>
      <c r="E58" s="32">
        <f t="shared" ca="1" si="12"/>
        <v>-108.37197104793874</v>
      </c>
      <c r="F58" s="49">
        <f ca="1">VLOOKUP($A58,[1]!LOOKUP_SARS_Unified2,F$2,FALSE)</f>
        <v>1389.3842442043428</v>
      </c>
      <c r="G58" s="12"/>
      <c r="H58" s="12"/>
      <c r="I58" s="12"/>
      <c r="J58" s="12"/>
    </row>
    <row r="59" spans="1:10" s="1" customFormat="1" x14ac:dyDescent="0.25">
      <c r="A59" s="92" t="s">
        <v>176</v>
      </c>
      <c r="B59" s="4" t="str">
        <f>IF(VLOOKUP($A59,[1]!LOOKUP_Key_Information2,$B$2,FALSE)&lt;&gt;0,VLOOKUP($A59,[1]!LOOKUP_Key_Information2,$B$2,FALSE),"")</f>
        <v>Northrop Grumman</v>
      </c>
      <c r="C59" s="1" t="str">
        <f t="shared" si="11"/>
        <v>Northrop Grumman</v>
      </c>
      <c r="D59" s="3">
        <f ca="1">VLOOKUP($A59,[1]!LOOKUP_SARS_Unified2,D$2,FALSE)</f>
        <v>0.2</v>
      </c>
      <c r="E59" s="32">
        <f t="shared" ca="1" si="12"/>
        <v>2564.6700933599077</v>
      </c>
      <c r="F59" s="49">
        <f ca="1">VLOOKUP($A59,[1]!LOOKUP_SARS_Unified2,F$2,FALSE)</f>
        <v>12823.350466799538</v>
      </c>
      <c r="G59" s="12"/>
      <c r="H59" s="12"/>
      <c r="I59" s="12"/>
      <c r="J59" s="12"/>
    </row>
    <row r="60" spans="1:10" s="1" customFormat="1" x14ac:dyDescent="0.25">
      <c r="A60" s="92" t="s">
        <v>11</v>
      </c>
      <c r="B60" s="4" t="str">
        <f>IF(VLOOKUP($A60,[1]!LOOKUP_Key_Information2,$B$2,FALSE)&lt;&gt;0,VLOOKUP($A60,[1]!LOOKUP_Key_Information2,$B$2,FALSE),"")</f>
        <v>Northrop Grumman</v>
      </c>
      <c r="C60" s="1" t="str">
        <f t="shared" si="11"/>
        <v>Northrop Grumman</v>
      </c>
      <c r="D60" s="3">
        <f ca="1">VLOOKUP($A60,[1]!LOOKUP_SARS_Unified2,D$2,FALSE)</f>
        <v>-0.129</v>
      </c>
      <c r="E60" s="32">
        <f t="shared" ca="1" si="12"/>
        <v>-4761.3873456790125</v>
      </c>
      <c r="F60" s="49">
        <f ca="1">VLOOKUP($A60,[1]!LOOKUP_SARS_Unified2,F$2,FALSE)</f>
        <v>36909.97942386831</v>
      </c>
      <c r="G60" s="12"/>
      <c r="H60" s="12"/>
      <c r="I60" s="12"/>
      <c r="J60" s="12"/>
    </row>
    <row r="61" spans="1:10" s="1" customFormat="1" x14ac:dyDescent="0.25">
      <c r="A61" s="92" t="s">
        <v>51</v>
      </c>
      <c r="B61" s="4" t="str">
        <f>IF(VLOOKUP($A61,[1]!LOOKUP_Key_Information2,$B$2,FALSE)&lt;&gt;0,VLOOKUP($A61,[1]!LOOKUP_Key_Information2,$B$2,FALSE),"")</f>
        <v>Huntington Ingalls Industries (HII)</v>
      </c>
      <c r="C61" s="1" t="e">
        <f t="shared" si="11"/>
        <v>#N/A</v>
      </c>
      <c r="D61" s="3">
        <f ca="1">VLOOKUP($A61,[1]!LOOKUP_SARS_Unified2,D$2,FALSE)</f>
        <v>0.22399999999999998</v>
      </c>
      <c r="E61" s="32">
        <f t="shared" ca="1" si="12"/>
        <v>6693.0363059569963</v>
      </c>
      <c r="F61" s="49">
        <f ca="1">VLOOKUP($A61,[1]!LOOKUP_SARS_Unified2,F$2,FALSE)</f>
        <v>29879.626365879452</v>
      </c>
      <c r="G61" s="12"/>
      <c r="H61" s="12"/>
      <c r="I61" s="12"/>
      <c r="J61" s="12"/>
    </row>
    <row r="62" spans="1:10" s="1" customFormat="1" x14ac:dyDescent="0.25">
      <c r="A62" s="92" t="s">
        <v>216</v>
      </c>
      <c r="B62" s="4" t="str">
        <f>IF(VLOOKUP($A62,[1]!LOOKUP_Key_Information2,$B$2,FALSE)&lt;&gt;0,VLOOKUP($A62,[1]!LOOKUP_Key_Information2,$B$2,FALSE),"")</f>
        <v>Northrop Grumman</v>
      </c>
      <c r="C62" s="1" t="str">
        <f t="shared" si="11"/>
        <v>Northrop Grumman</v>
      </c>
      <c r="D62" s="3">
        <f ca="1">VLOOKUP($A62,[1]!LOOKUP_SARS_Unified2,D$2,FALSE)</f>
        <v>-0.10300000000000001</v>
      </c>
      <c r="E62" s="32">
        <f t="shared" ca="1" si="12"/>
        <v>-104.72421933683873</v>
      </c>
      <c r="F62" s="49">
        <f ca="1">VLOOKUP($A62,[1]!LOOKUP_SARS_Unified2,F$2,FALSE)</f>
        <v>1016.739993561541</v>
      </c>
      <c r="G62" s="12"/>
      <c r="H62" s="12"/>
      <c r="I62" s="12"/>
      <c r="J62" s="12"/>
    </row>
    <row r="63" spans="1:10" s="1" customFormat="1" x14ac:dyDescent="0.25">
      <c r="A63" s="92" t="s">
        <v>8</v>
      </c>
      <c r="B63" s="4" t="str">
        <f>IF(VLOOKUP($A63,[1]!LOOKUP_Key_Information2,$B$2,FALSE)&lt;&gt;0,VLOOKUP($A63,[1]!LOOKUP_Key_Information2,$B$2,FALSE),"")</f>
        <v>Northrop Grumman</v>
      </c>
      <c r="C63" s="1" t="str">
        <f t="shared" si="11"/>
        <v>Northrop Grumman</v>
      </c>
      <c r="D63" s="3">
        <f ca="1">VLOOKUP($A63,[1]!LOOKUP_SARS_Unified2,D$2,FALSE)</f>
        <v>7.0999999999999994E-2</v>
      </c>
      <c r="E63" s="32">
        <f t="shared" ca="1" si="12"/>
        <v>1283.9240165631468</v>
      </c>
      <c r="F63" s="49">
        <f ca="1">VLOOKUP($A63,[1]!LOOKUP_SARS_Unified2,F$2,FALSE)</f>
        <v>18083.436853002069</v>
      </c>
      <c r="G63" s="12"/>
      <c r="H63" s="12"/>
      <c r="I63" s="12"/>
      <c r="J63" s="12"/>
    </row>
    <row r="64" spans="1:10" s="1" customFormat="1" x14ac:dyDescent="0.25">
      <c r="A64" s="92" t="s">
        <v>14</v>
      </c>
      <c r="B64" s="4" t="str">
        <f>IF(VLOOKUP($A64,[1]!LOOKUP_Key_Information2,$B$2,FALSE)&lt;&gt;0,VLOOKUP($A64,[1]!LOOKUP_Key_Information2,$B$2,FALSE),"")</f>
        <v>Northrop Grumman</v>
      </c>
      <c r="C64" s="1" t="str">
        <f t="shared" si="11"/>
        <v>Northrop Grumman</v>
      </c>
      <c r="D64" s="3">
        <f ca="1">VLOOKUP($A64,[1]!LOOKUP_SARS_Unified2,D$2,FALSE)</f>
        <v>0.20899999999999999</v>
      </c>
      <c r="E64" s="32">
        <f t="shared" ca="1" si="12"/>
        <v>377.49982851263286</v>
      </c>
      <c r="F64" s="49">
        <f ca="1">VLOOKUP($A64,[1]!LOOKUP_SARS_Unified2,F$2,FALSE)</f>
        <v>1806.2192751800617</v>
      </c>
      <c r="G64" s="12"/>
      <c r="H64" s="12"/>
      <c r="I64" s="12"/>
      <c r="J64" s="12"/>
    </row>
    <row r="65" spans="1:10" s="1" customFormat="1" x14ac:dyDescent="0.25">
      <c r="A65" s="92" t="s">
        <v>179</v>
      </c>
      <c r="B65" s="4" t="str">
        <f>IF(VLOOKUP($A65,[1]!LOOKUP_Key_Information2,$B$2,FALSE)&lt;&gt;0,VLOOKUP($A65,[1]!LOOKUP_Key_Information2,$B$2,FALSE),"")</f>
        <v>Northrop Grumman, Raytheon, DMD</v>
      </c>
      <c r="C65" s="1" t="e">
        <f t="shared" si="11"/>
        <v>#N/A</v>
      </c>
      <c r="D65" s="3">
        <f ca="1">VLOOKUP($A65,[1]!LOOKUP_SARS_Unified2,D$2,FALSE)</f>
        <v>-0.122</v>
      </c>
      <c r="E65" s="32">
        <f t="shared" ca="1" si="12"/>
        <v>-613.35942028985517</v>
      </c>
      <c r="F65" s="49">
        <f ca="1">VLOOKUP($A65,[1]!LOOKUP_SARS_Unified2,F$2,FALSE)</f>
        <v>5027.5362318840589</v>
      </c>
      <c r="G65" s="12"/>
      <c r="H65" s="12"/>
      <c r="I65" s="12"/>
      <c r="J65" s="12"/>
    </row>
    <row r="66" spans="1:10" s="1" customFormat="1" x14ac:dyDescent="0.25">
      <c r="A66" s="92" t="s">
        <v>45</v>
      </c>
      <c r="B66" s="4" t="str">
        <f>IF(VLOOKUP($A66,[1]!LOOKUP_Key_Information2,$B$2,FALSE)&lt;&gt;0,VLOOKUP($A66,[1]!LOOKUP_Key_Information2,$B$2,FALSE),"")</f>
        <v>Northrop Grumman</v>
      </c>
      <c r="C66" s="1" t="str">
        <f t="shared" si="11"/>
        <v>Northrop Grumman</v>
      </c>
      <c r="D66" s="3">
        <f ca="1">VLOOKUP($A66,[1]!LOOKUP_SARS_Unified2,D$2,FALSE)</f>
        <v>0.13800000000000001</v>
      </c>
      <c r="E66" s="32">
        <f t="shared" ca="1" si="12"/>
        <v>55.530053498374073</v>
      </c>
      <c r="F66" s="49">
        <f ca="1">VLOOKUP($A66,[1]!LOOKUP_SARS_Unified2,F$2,FALSE)</f>
        <v>402.39169201720341</v>
      </c>
      <c r="G66" s="12"/>
      <c r="H66" s="12"/>
      <c r="I66" s="12"/>
      <c r="J66" s="12"/>
    </row>
    <row r="67" spans="1:10" s="1" customFormat="1" x14ac:dyDescent="0.25">
      <c r="A67" s="92" t="s">
        <v>62</v>
      </c>
      <c r="B67" s="4" t="str">
        <f>IF(VLOOKUP($A67,[1]!LOOKUP_Key_Information2,$B$2,FALSE)&lt;&gt;0,VLOOKUP($A67,[1]!LOOKUP_Key_Information2,$B$2,FALSE),"")</f>
        <v>Northrop Grumman</v>
      </c>
      <c r="C67" s="1" t="str">
        <f t="shared" si="11"/>
        <v>Northrop Grumman</v>
      </c>
      <c r="D67" s="3">
        <f ca="1">VLOOKUP($A67,[1]!LOOKUP_SARS_Unified2,D$2,FALSE)</f>
        <v>-9.0000000000000011E-3</v>
      </c>
      <c r="E67" s="32">
        <f t="shared" ca="1" si="12"/>
        <v>-28.624516414280983</v>
      </c>
      <c r="F67" s="49">
        <f ca="1">VLOOKUP($A67,[1]!LOOKUP_SARS_Unified2,F$2,FALSE)</f>
        <v>3180.5018238089979</v>
      </c>
      <c r="G67" s="12"/>
      <c r="H67" s="12"/>
      <c r="I67" s="12"/>
      <c r="J67" s="12"/>
    </row>
    <row r="68" spans="1:10" s="1" customFormat="1" x14ac:dyDescent="0.25">
      <c r="A68" s="92" t="s">
        <v>37</v>
      </c>
      <c r="B68" s="4" t="str">
        <f>IF(VLOOKUP($A68,[1]!LOOKUP_Key_Information2,$B$2,FALSE)&lt;&gt;0,VLOOKUP($A68,[1]!LOOKUP_Key_Information2,$B$2,FALSE),"")</f>
        <v>Huntington Ingalls Industries (HII)</v>
      </c>
      <c r="C68" s="1" t="e">
        <f t="shared" si="11"/>
        <v>#N/A</v>
      </c>
      <c r="D68" s="3">
        <f ca="1">VLOOKUP($A68,[1]!LOOKUP_SARS_Unified2,D$2,FALSE)</f>
        <v>0.85499999999999998</v>
      </c>
      <c r="E68" s="32">
        <f t="shared" ca="1" si="12"/>
        <v>10566.637659312046</v>
      </c>
      <c r="F68" s="49">
        <f ca="1">VLOOKUP($A68,[1]!LOOKUP_SARS_Unified2,F$2,FALSE)</f>
        <v>12358.640537207071</v>
      </c>
      <c r="G68" s="12"/>
      <c r="H68" s="12"/>
      <c r="I68" s="12"/>
      <c r="J68" s="12"/>
    </row>
    <row r="69" spans="1:10" s="1" customFormat="1" x14ac:dyDescent="0.25">
      <c r="A69" s="92" t="s">
        <v>66</v>
      </c>
      <c r="B69" s="4" t="str">
        <f>IF(VLOOKUP($A69,[1]!LOOKUP_Key_Information2,$B$2,FALSE)&lt;&gt;0,VLOOKUP($A69,[1]!LOOKUP_Key_Information2,$B$2,FALSE),"")</f>
        <v>Northrop Grumman</v>
      </c>
      <c r="C69" s="1" t="str">
        <f t="shared" si="11"/>
        <v>Northrop Grumman</v>
      </c>
      <c r="D69" s="3">
        <f ca="1">VLOOKUP($A69,[1]!LOOKUP_SARS_Unified2,D$2,FALSE)</f>
        <v>-20</v>
      </c>
      <c r="E69" s="32">
        <f t="shared" ca="1" si="12"/>
        <v>-37276.234567901229</v>
      </c>
      <c r="F69" s="49">
        <f ca="1">VLOOKUP($A69,[1]!LOOKUP_SARS_Unified2,F$2,FALSE)</f>
        <v>1863.8117283950614</v>
      </c>
      <c r="G69" s="12"/>
      <c r="H69" s="12"/>
      <c r="I69" s="12"/>
      <c r="J69" s="12"/>
    </row>
    <row r="70" spans="1:10" s="1" customFormat="1" x14ac:dyDescent="0.25">
      <c r="A70" s="92" t="s">
        <v>69</v>
      </c>
      <c r="B70" s="4" t="str">
        <f>IF(VLOOKUP($A70,[1]!LOOKUP_Key_Information2,$B$2,FALSE)&lt;&gt;0,VLOOKUP($A70,[1]!LOOKUP_Key_Information2,$B$2,FALSE),"")</f>
        <v>Northrop Grumman</v>
      </c>
      <c r="C70" s="1" t="str">
        <f t="shared" si="11"/>
        <v>Northrop Grumman</v>
      </c>
      <c r="D70" s="3">
        <f ca="1">VLOOKUP($A70,[1]!LOOKUP_SARS_Unified2,D$2,FALSE)</f>
        <v>2.7370000000000001</v>
      </c>
      <c r="E70" s="32">
        <f t="shared" ca="1" si="12"/>
        <v>18736.101359703338</v>
      </c>
      <c r="F70" s="49">
        <f ca="1">VLOOKUP($A70,[1]!LOOKUP_SARS_Unified2,F$2,FALSE)</f>
        <v>6845.4882571075395</v>
      </c>
      <c r="G70" s="12"/>
      <c r="H70" s="12"/>
      <c r="I70" s="12"/>
      <c r="J70" s="12"/>
    </row>
    <row r="71" spans="1:10" s="1" customFormat="1" x14ac:dyDescent="0.25">
      <c r="A71" s="92" t="s">
        <v>248</v>
      </c>
      <c r="B71" s="4" t="str">
        <f>IF(VLOOKUP($A71,[1]!LOOKUP_Key_Information2,$B$2,FALSE)&lt;&gt;0,VLOOKUP($A71,[1]!LOOKUP_Key_Information2,$B$2,FALSE),"")</f>
        <v>Northrop Grumman</v>
      </c>
      <c r="C71" s="1" t="str">
        <f t="shared" si="11"/>
        <v>Northrop Grumman</v>
      </c>
      <c r="D71" s="3">
        <f ca="1">VLOOKUP($A71,[1]!LOOKUP_SARS_Unified2,D$2,FALSE)</f>
        <v>0.99199999999999999</v>
      </c>
      <c r="E71" s="32">
        <f t="shared" ca="1" si="12"/>
        <v>5549.7654320987658</v>
      </c>
      <c r="F71" s="49">
        <f ca="1">VLOOKUP($A71,[1]!LOOKUP_SARS_Unified2,F$2,FALSE)</f>
        <v>5594.5216049382716</v>
      </c>
      <c r="G71" s="12"/>
      <c r="H71" s="12"/>
      <c r="I71" s="12"/>
      <c r="J71" s="12"/>
    </row>
    <row r="72" spans="1:10" s="1" customFormat="1" x14ac:dyDescent="0.25">
      <c r="A72" s="92" t="s">
        <v>79</v>
      </c>
      <c r="B72" s="4" t="str">
        <f>IF(VLOOKUP($A72,[1]!LOOKUP_Key_Information2,$B$2,FALSE)&lt;&gt;0,VLOOKUP($A72,[1]!LOOKUP_Key_Information2,$B$2,FALSE),"")</f>
        <v>Boeing</v>
      </c>
      <c r="C72" s="1" t="str">
        <f t="shared" si="11"/>
        <v>Boeing</v>
      </c>
      <c r="D72" s="3">
        <f ca="1">VLOOKUP($A72,[1]!LOOKUP_SARS_Unified2,D$2,FALSE)</f>
        <v>0.114</v>
      </c>
      <c r="E72" s="32">
        <f t="shared" ca="1" si="12"/>
        <v>99.14905032728835</v>
      </c>
      <c r="F72" s="49">
        <f ca="1">VLOOKUP($A72,[1]!LOOKUP_SARS_Unified2,F$2,FALSE)</f>
        <v>869.72851164288022</v>
      </c>
      <c r="G72" s="12"/>
      <c r="H72" s="12"/>
      <c r="I72" s="12"/>
      <c r="J72" s="12"/>
    </row>
    <row r="73" spans="1:10" s="1" customFormat="1" x14ac:dyDescent="0.25">
      <c r="A73" t="s">
        <v>56</v>
      </c>
      <c r="B73" s="4" t="str">
        <f>IF(VLOOKUP($A73,[1]!LOOKUP_Key_Information2,$B$2,FALSE)&lt;&gt;0,VLOOKUP($A73,[1]!LOOKUP_Key_Information2,$B$2,FALSE),"")</f>
        <v>Northrop Grumman</v>
      </c>
      <c r="C73" s="1" t="str">
        <f t="shared" si="11"/>
        <v>Northrop Grumman</v>
      </c>
      <c r="D73" s="3">
        <f ca="1">VLOOKUP($A73,[1]!LOOKUP_SARS_Unified2,D$2,FALSE)</f>
        <v>-8.0000000000000002E-3</v>
      </c>
      <c r="E73" s="32">
        <f t="shared" ca="1" si="12"/>
        <v>-20.925389631922187</v>
      </c>
      <c r="F73" s="49">
        <f ca="1">VLOOKUP($A73,[1]!LOOKUP_SARS_Unified2,F$2,FALSE)</f>
        <v>2615.6737039902732</v>
      </c>
      <c r="G73" s="12"/>
      <c r="H73" s="12"/>
      <c r="I73" s="12"/>
      <c r="J73" s="12"/>
    </row>
    <row r="74" spans="1:10" s="1" customFormat="1" x14ac:dyDescent="0.25">
      <c r="A74" s="92" t="s">
        <v>181</v>
      </c>
      <c r="B74" s="4" t="str">
        <f>IF(VLOOKUP($A74,[1]!LOOKUP_Key_Information2,$B$2,FALSE)&lt;&gt;0,VLOOKUP($A74,[1]!LOOKUP_Key_Information2,$B$2,FALSE),"")</f>
        <v>Austal</v>
      </c>
      <c r="C74" s="1" t="str">
        <f t="shared" ref="C74:C113" si="13">VLOOKUP($B74,LOOKUP_Company_Filter,3,FALSE)</f>
        <v>Other</v>
      </c>
      <c r="D74" s="3">
        <f ca="1">VLOOKUP($A74,[1]!LOOKUP_SARS_Unified2,D$2,FALSE)</f>
        <v>-7.4999999999999997E-2</v>
      </c>
      <c r="E74" s="32">
        <f t="shared" ref="E74:E94" ca="1" si="14">D74*F74</f>
        <v>-272.2123151159131</v>
      </c>
      <c r="F74" s="49">
        <f ca="1">VLOOKUP($A74,[1]!LOOKUP_SARS_Unified2,F$2,FALSE)</f>
        <v>3629.4975348788416</v>
      </c>
      <c r="G74" s="12"/>
      <c r="H74" s="12"/>
      <c r="I74" s="12"/>
      <c r="J74" s="12"/>
    </row>
    <row r="75" spans="1:10" s="1" customFormat="1" x14ac:dyDescent="0.25">
      <c r="A75" s="92" t="s">
        <v>13</v>
      </c>
      <c r="B75" s="4" t="str">
        <f>IF(VLOOKUP($A75,[1]!LOOKUP_Key_Information2,$B$2,FALSE)&lt;&gt;0,VLOOKUP($A75,[1]!LOOKUP_Key_Information2,$B$2,FALSE),"")</f>
        <v xml:space="preserve">BAE Systems (North America) </v>
      </c>
      <c r="C75" s="1" t="e">
        <f t="shared" si="13"/>
        <v>#N/A</v>
      </c>
      <c r="D75" s="3">
        <f ca="1">VLOOKUP($A75,[1]!LOOKUP_SARS_Unified2,D$2,FALSE)</f>
        <v>1.8000000000000002E-2</v>
      </c>
      <c r="E75" s="32">
        <f t="shared" ca="1" si="14"/>
        <v>60.930621140573919</v>
      </c>
      <c r="F75" s="49">
        <f ca="1">VLOOKUP($A75,[1]!LOOKUP_SARS_Unified2,F$2,FALSE)</f>
        <v>3385.0345078096616</v>
      </c>
      <c r="G75" s="12"/>
      <c r="H75" s="12"/>
      <c r="I75" s="12"/>
      <c r="J75" s="12"/>
    </row>
    <row r="76" spans="1:10" s="1" customFormat="1" x14ac:dyDescent="0.25">
      <c r="A76" s="92" t="s">
        <v>7</v>
      </c>
      <c r="B76" s="4" t="str">
        <f>IF(VLOOKUP($A76,[1]!LOOKUP_Key_Information2,$B$2,FALSE)&lt;&gt;0,VLOOKUP($A76,[1]!LOOKUP_Key_Information2,$B$2,FALSE),"")</f>
        <v>Oshkosh (2011)</v>
      </c>
      <c r="C76" s="1" t="e">
        <f t="shared" si="13"/>
        <v>#N/A</v>
      </c>
      <c r="D76" s="3">
        <f ca="1">VLOOKUP($A76,[1]!LOOKUP_SARS_Unified2,D$2,FALSE)</f>
        <v>0.252</v>
      </c>
      <c r="E76" s="32">
        <f t="shared" ca="1" si="14"/>
        <v>4004.0268603535706</v>
      </c>
      <c r="F76" s="49">
        <f ca="1">VLOOKUP($A76,[1]!LOOKUP_SARS_Unified2,F$2,FALSE)</f>
        <v>15888.995477593533</v>
      </c>
      <c r="G76" s="12"/>
      <c r="H76" s="12"/>
      <c r="I76" s="12"/>
      <c r="J76" s="12"/>
    </row>
    <row r="77" spans="1:10" s="1" customFormat="1" x14ac:dyDescent="0.25">
      <c r="A77" s="92" t="s">
        <v>2</v>
      </c>
      <c r="B77" s="4" t="str">
        <f>IF(VLOOKUP($A77,[1]!LOOKUP_Key_Information2,$B$2,FALSE)&lt;&gt;0,VLOOKUP($A77,[1]!LOOKUP_Key_Information2,$B$2,FALSE),"")</f>
        <v>BAE</v>
      </c>
      <c r="C77" s="1" t="str">
        <f t="shared" si="13"/>
        <v>Other</v>
      </c>
      <c r="D77" s="3" t="str">
        <f ca="1">VLOOKUP($A77,[1]!LOOKUP_SARS_Unified2,D$2,FALSE)</f>
        <v/>
      </c>
      <c r="E77" s="32" t="e">
        <f t="shared" ca="1" si="14"/>
        <v>#VALUE!</v>
      </c>
      <c r="F77" s="49" t="e">
        <f ca="1">VLOOKUP($A77,[1]!LOOKUP_SARS_Unified2,F$2,FALSE)</f>
        <v>#VALUE!</v>
      </c>
      <c r="G77" s="12"/>
      <c r="H77" s="12"/>
      <c r="I77" s="12"/>
      <c r="J77" s="12"/>
    </row>
    <row r="78" spans="1:10" s="1" customFormat="1" x14ac:dyDescent="0.25">
      <c r="A78" s="92" t="s">
        <v>183</v>
      </c>
      <c r="B78" s="4" t="str">
        <f>IF(VLOOKUP($A78,[1]!LOOKUP_Key_Information2,$B$2,FALSE)&lt;&gt;0,VLOOKUP($A78,[1]!LOOKUP_Key_Information2,$B$2,FALSE),"")</f>
        <v>BAE/Rockwell Collins JV</v>
      </c>
      <c r="C78" s="1" t="str">
        <f t="shared" si="13"/>
        <v>Other</v>
      </c>
      <c r="D78" s="3">
        <f ca="1">VLOOKUP($A78,[1]!LOOKUP_SARS_Unified2,D$2,FALSE)</f>
        <v>0.14699999999999999</v>
      </c>
      <c r="E78" s="32">
        <f t="shared" ca="1" si="14"/>
        <v>324.7918634217217</v>
      </c>
      <c r="F78" s="49">
        <f ca="1">VLOOKUP($A78,[1]!LOOKUP_SARS_Unified2,F$2,FALSE)</f>
        <v>2209.468458651168</v>
      </c>
      <c r="G78" s="12"/>
      <c r="H78" s="12"/>
      <c r="I78" s="12"/>
      <c r="J78" s="12"/>
    </row>
    <row r="79" spans="1:10" s="1" customFormat="1" x14ac:dyDescent="0.25">
      <c r="A79" s="92" t="s">
        <v>47</v>
      </c>
      <c r="B79" s="4" t="str">
        <f>IF(VLOOKUP($A79,[1]!LOOKUP_Key_Information2,$B$2,FALSE)&lt;&gt;0,VLOOKUP($A79,[1]!LOOKUP_Key_Information2,$B$2,FALSE),"")</f>
        <v>Bechtel National &amp; Bechtel/Parsons JV</v>
      </c>
      <c r="C79" s="1" t="e">
        <f t="shared" si="13"/>
        <v>#N/A</v>
      </c>
      <c r="D79" s="3">
        <f ca="1">VLOOKUP($A79,[1]!LOOKUP_SARS_Unified2,D$2,FALSE)</f>
        <v>2.8439999999999999</v>
      </c>
      <c r="E79" s="32">
        <f t="shared" ca="1" si="14"/>
        <v>7486.4414478353447</v>
      </c>
      <c r="F79" s="49">
        <f ca="1">VLOOKUP($A79,[1]!LOOKUP_SARS_Unified2,F$2,FALSE)</f>
        <v>2632.36337828247</v>
      </c>
      <c r="G79" s="12"/>
      <c r="H79" s="12"/>
      <c r="I79" s="12"/>
      <c r="J79" s="12"/>
    </row>
    <row r="80" spans="1:10" s="1" customFormat="1" x14ac:dyDescent="0.25">
      <c r="A80" s="92" t="s">
        <v>58</v>
      </c>
      <c r="B80" s="4" t="str">
        <f>IF(VLOOKUP($A80,[1]!LOOKUP_Key_Information2,$B$2,FALSE)&lt;&gt;0,VLOOKUP($A80,[1]!LOOKUP_Key_Information2,$B$2,FALSE),"")</f>
        <v>EADS</v>
      </c>
      <c r="C80" s="1" t="str">
        <f t="shared" si="13"/>
        <v>Other</v>
      </c>
      <c r="D80" s="3">
        <f ca="1">VLOOKUP($A80,[1]!LOOKUP_SARS_Unified2,D$2,FALSE)</f>
        <v>2.6000000000000002E-2</v>
      </c>
      <c r="E80" s="32">
        <f t="shared" ca="1" si="14"/>
        <v>47.082789875096722</v>
      </c>
      <c r="F80" s="49">
        <f ca="1">VLOOKUP($A80,[1]!LOOKUP_SARS_Unified2,F$2,FALSE)</f>
        <v>1810.8765336575661</v>
      </c>
      <c r="G80" s="12"/>
      <c r="H80" s="12"/>
      <c r="I80" s="12"/>
      <c r="J80" s="12"/>
    </row>
    <row r="81" spans="1:10" s="1" customFormat="1" x14ac:dyDescent="0.25">
      <c r="A81" s="92" t="s">
        <v>178</v>
      </c>
      <c r="B81" s="4" t="str">
        <f>IF(VLOOKUP($A81,[1]!LOOKUP_Key_Information2,$B$2,FALSE)&lt;&gt;0,VLOOKUP($A81,[1]!LOOKUP_Key_Information2,$B$2,FALSE),"")</f>
        <v>General Atomics Aeronautical Systems</v>
      </c>
      <c r="C81" s="1" t="str">
        <f t="shared" si="13"/>
        <v>Other</v>
      </c>
      <c r="D81" s="3" t="str">
        <f ca="1">VLOOKUP($A81,[1]!LOOKUP_SARS_Unified2,D$2,FALSE)</f>
        <v/>
      </c>
      <c r="E81" s="32" t="e">
        <f t="shared" ca="1" si="14"/>
        <v>#VALUE!</v>
      </c>
      <c r="F81" s="49" t="e">
        <f ca="1">VLOOKUP($A81,[1]!LOOKUP_SARS_Unified2,F$2,FALSE)</f>
        <v>#VALUE!</v>
      </c>
      <c r="G81" s="12"/>
      <c r="H81" s="12"/>
      <c r="I81" s="12"/>
      <c r="J81" s="12"/>
    </row>
    <row r="82" spans="1:10" s="1" customFormat="1" x14ac:dyDescent="0.25">
      <c r="A82" s="92" t="s">
        <v>246</v>
      </c>
      <c r="B82" s="4" t="str">
        <f>IF(VLOOKUP($A82,[1]!LOOKUP_Key_Information2,$B$2,FALSE)&lt;&gt;0,VLOOKUP($A82,[1]!LOOKUP_Key_Information2,$B$2,FALSE),"")</f>
        <v>General Atomics Aeronautical Systems</v>
      </c>
      <c r="C82" s="1" t="str">
        <f t="shared" si="13"/>
        <v>Other</v>
      </c>
      <c r="D82" s="3" t="str">
        <f ca="1">VLOOKUP($A82,[1]!LOOKUP_SARS_Unified2,D$2,FALSE)</f>
        <v/>
      </c>
      <c r="E82" s="32" t="e">
        <f t="shared" ca="1" si="14"/>
        <v>#VALUE!</v>
      </c>
      <c r="F82" s="49" t="e">
        <f ca="1">VLOOKUP($A82,[1]!LOOKUP_SARS_Unified2,F$2,FALSE)</f>
        <v>#VALUE!</v>
      </c>
      <c r="G82" s="12"/>
      <c r="H82" s="12"/>
      <c r="I82" s="12"/>
      <c r="J82" s="12"/>
    </row>
    <row r="83" spans="1:10" s="1" customFormat="1" x14ac:dyDescent="0.25">
      <c r="A83" s="92" t="s">
        <v>247</v>
      </c>
      <c r="B83" s="4" t="str">
        <f>IF(VLOOKUP($A83,[1]!LOOKUP_Key_Information2,$B$2,FALSE)&lt;&gt;0,VLOOKUP($A83,[1]!LOOKUP_Key_Information2,$B$2,FALSE),"")</f>
        <v>General Atomics Aeronautical Systems</v>
      </c>
      <c r="C83" s="1" t="str">
        <f t="shared" si="13"/>
        <v>Other</v>
      </c>
      <c r="D83" s="3">
        <f ca="1">VLOOKUP($A83,[1]!LOOKUP_SARS_Unified2,D$2,FALSE)</f>
        <v>5.7000000000000002E-2</v>
      </c>
      <c r="E83" s="32">
        <f t="shared" ca="1" si="14"/>
        <v>642.84495961397249</v>
      </c>
      <c r="F83" s="49">
        <f ca="1">VLOOKUP($A83,[1]!LOOKUP_SARS_Unified2,F$2,FALSE)</f>
        <v>11277.981747613552</v>
      </c>
      <c r="G83" s="12"/>
      <c r="H83" s="12"/>
      <c r="I83" s="12"/>
      <c r="J83" s="12"/>
    </row>
    <row r="84" spans="1:10" s="1" customFormat="1" x14ac:dyDescent="0.25">
      <c r="A84" s="92" t="s">
        <v>70</v>
      </c>
      <c r="B84" s="4" t="str">
        <f>IF(VLOOKUP($A84,[1]!LOOKUP_Key_Information2,$B$2,FALSE)&lt;&gt;0,VLOOKUP($A84,[1]!LOOKUP_Key_Information2,$B$2,FALSE),"")</f>
        <v>Multiple</v>
      </c>
      <c r="C84" s="1" t="e">
        <f t="shared" si="13"/>
        <v>#N/A</v>
      </c>
      <c r="D84" s="3">
        <f ca="1">VLOOKUP($A84,[1]!LOOKUP_SARS_Unified2,D$2,FALSE)</f>
        <v>1.109</v>
      </c>
      <c r="E84" s="32">
        <f t="shared" ca="1" si="14"/>
        <v>1114.3462299134733</v>
      </c>
      <c r="F84" s="49">
        <f ca="1">VLOOKUP($A84,[1]!LOOKUP_SARS_Unified2,F$2,FALSE)</f>
        <v>1004.8207663782447</v>
      </c>
      <c r="G84" s="12"/>
      <c r="H84" s="12"/>
      <c r="I84" s="12"/>
      <c r="J84" s="12"/>
    </row>
    <row r="85" spans="1:10" s="1" customFormat="1" x14ac:dyDescent="0.25">
      <c r="A85" s="92" t="s">
        <v>5</v>
      </c>
      <c r="B85" s="4" t="str">
        <f>IF(VLOOKUP($A85,[1]!LOOKUP_Key_Information2,$B$2,FALSE)&lt;&gt;0,VLOOKUP($A85,[1]!LOOKUP_Key_Information2,$B$2,FALSE),"")</f>
        <v xml:space="preserve">L-3 Communications </v>
      </c>
      <c r="C85" s="1" t="e">
        <f t="shared" si="13"/>
        <v>#N/A</v>
      </c>
      <c r="D85" s="3">
        <f ca="1">VLOOKUP($A85,[1]!LOOKUP_SARS_Unified2,D$2,FALSE)</f>
        <v>-0.12</v>
      </c>
      <c r="E85" s="32">
        <f t="shared" ca="1" si="14"/>
        <v>-468.10172765318168</v>
      </c>
      <c r="F85" s="49">
        <f ca="1">VLOOKUP($A85,[1]!LOOKUP_SARS_Unified2,F$2,FALSE)</f>
        <v>3900.8477304431808</v>
      </c>
      <c r="G85" s="12"/>
      <c r="H85" s="12"/>
      <c r="I85" s="12"/>
      <c r="J85" s="12"/>
    </row>
    <row r="86" spans="1:10" s="1" customFormat="1" x14ac:dyDescent="0.25">
      <c r="A86" s="92" t="s">
        <v>213</v>
      </c>
      <c r="B86" s="4" t="str">
        <f>IF(VLOOKUP($A86,[1]!LOOKUP_Key_Information2,$B$2,FALSE)&lt;&gt;0,VLOOKUP($A86,[1]!LOOKUP_Key_Information2,$B$2,FALSE),"")</f>
        <v>Bell Helicopter (Textron)</v>
      </c>
      <c r="C86" s="1" t="e">
        <f t="shared" si="13"/>
        <v>#N/A</v>
      </c>
      <c r="D86" s="3">
        <f ca="1">VLOOKUP($A86,[1]!LOOKUP_SARS_Unified2,D$2,FALSE)</f>
        <v>-0.60099999999999998</v>
      </c>
      <c r="E86" s="32">
        <f t="shared" ca="1" si="14"/>
        <v>-2163.7236766891506</v>
      </c>
      <c r="F86" s="49">
        <f ca="1">VLOOKUP($A86,[1]!LOOKUP_SARS_Unified2,F$2,FALSE)</f>
        <v>3600.2057848405166</v>
      </c>
      <c r="G86" s="12"/>
      <c r="H86" s="12"/>
      <c r="I86" s="12"/>
      <c r="J86" s="12"/>
    </row>
    <row r="87" spans="1:10" s="1" customFormat="1" x14ac:dyDescent="0.25">
      <c r="A87" s="92" t="s">
        <v>39</v>
      </c>
      <c r="B87" s="4" t="str">
        <f>IF(VLOOKUP($A87,[1]!LOOKUP_Key_Information2,$B$2,FALSE)&lt;&gt;0,VLOOKUP($A87,[1]!LOOKUP_Key_Information2,$B$2,FALSE),"")</f>
        <v>Bell Helicopter (Textron)</v>
      </c>
      <c r="C87" s="1" t="e">
        <f t="shared" si="13"/>
        <v>#N/A</v>
      </c>
      <c r="D87" s="3">
        <f ca="1">VLOOKUP($A87,[1]!LOOKUP_SARS_Unified2,D$2,FALSE)</f>
        <v>6.5000000000000002E-2</v>
      </c>
      <c r="E87" s="32">
        <f t="shared" ca="1" si="14"/>
        <v>763.89489142977027</v>
      </c>
      <c r="F87" s="49">
        <f ca="1">VLOOKUP($A87,[1]!LOOKUP_SARS_Unified2,F$2,FALSE)</f>
        <v>11752.229098919543</v>
      </c>
      <c r="G87" s="12"/>
      <c r="H87" s="12"/>
      <c r="I87" s="12"/>
      <c r="J87" s="12"/>
    </row>
    <row r="88" spans="1:10" s="1" customFormat="1" x14ac:dyDescent="0.25">
      <c r="A88" t="s">
        <v>60</v>
      </c>
      <c r="B88" s="4" t="str">
        <f>IF(VLOOKUP($A88,[1]!LOOKUP_Key_Information2,$B$2,FALSE)&lt;&gt;0,VLOOKUP($A88,[1]!LOOKUP_Key_Information2,$B$2,FALSE),"")</f>
        <v>Bell Helicopter (Textron)</v>
      </c>
      <c r="C88" s="1" t="e">
        <f t="shared" si="13"/>
        <v>#N/A</v>
      </c>
      <c r="D88" s="3">
        <f ca="1">VLOOKUP($A88,[1]!LOOKUP_SARS_Unified2,D$2,FALSE)</f>
        <v>-6.9999999999999993E-3</v>
      </c>
      <c r="E88" s="32">
        <f t="shared" ca="1" si="14"/>
        <v>-402.1410769406653</v>
      </c>
      <c r="F88" s="49">
        <f ca="1">VLOOKUP($A88,[1]!LOOKUP_SARS_Unified2,F$2,FALSE)</f>
        <v>57448.725277237907</v>
      </c>
      <c r="G88" s="12"/>
      <c r="H88" s="12"/>
      <c r="I88" s="12"/>
      <c r="J88" s="12"/>
    </row>
    <row r="89" spans="1:10" s="1" customFormat="1" x14ac:dyDescent="0.25">
      <c r="A89" s="92" t="s">
        <v>55</v>
      </c>
      <c r="B89" s="4" t="str">
        <f>IF(VLOOKUP($A89,[1]!LOOKUP_Key_Information2,$B$2,FALSE)&lt;&gt;0,VLOOKUP($A89,[1]!LOOKUP_Key_Information2,$B$2,FALSE),"")</f>
        <v>NA (agency withing DOD)</v>
      </c>
      <c r="C89" s="1" t="e">
        <f t="shared" si="13"/>
        <v>#N/A</v>
      </c>
      <c r="D89" s="3">
        <f ca="1">VLOOKUP($A89,[1]!LOOKUP_SARS_Unified2,D$2,FALSE)</f>
        <v>0.80200000000000005</v>
      </c>
      <c r="E89" s="32">
        <f t="shared" ca="1" si="14"/>
        <v>13172.59258202568</v>
      </c>
      <c r="F89" s="49">
        <f ca="1">VLOOKUP($A89,[1]!LOOKUP_SARS_Unified2,F$2,FALSE)</f>
        <v>16424.679029957206</v>
      </c>
      <c r="G89" s="12"/>
      <c r="H89" s="12"/>
      <c r="I89" s="12"/>
      <c r="J89" s="12"/>
    </row>
    <row r="90" spans="1:10" s="1" customFormat="1" x14ac:dyDescent="0.25">
      <c r="A90" s="92" t="s">
        <v>46</v>
      </c>
      <c r="B90" s="4" t="str">
        <f>IF(VLOOKUP($A90,[1]!LOOKUP_Key_Information2,$B$2,FALSE)&lt;&gt;0,VLOOKUP($A90,[1]!LOOKUP_Key_Information2,$B$2,FALSE),"")</f>
        <v>Unknown</v>
      </c>
      <c r="C90" s="1" t="str">
        <f t="shared" si="13"/>
        <v>Other</v>
      </c>
      <c r="D90" s="3">
        <f ca="1">VLOOKUP($A90,[1]!LOOKUP_SARS_Unified2,D$2,FALSE)</f>
        <v>3.9E-2</v>
      </c>
      <c r="E90" s="32">
        <f t="shared" ca="1" si="14"/>
        <v>61.226477649479818</v>
      </c>
      <c r="F90" s="49">
        <f ca="1">VLOOKUP($A90,[1]!LOOKUP_SARS_Unified2,F$2,FALSE)</f>
        <v>1569.9096833199953</v>
      </c>
      <c r="G90" s="12"/>
      <c r="H90" s="12"/>
      <c r="I90" s="12"/>
      <c r="J90" s="12"/>
    </row>
    <row r="91" spans="1:10" s="1" customFormat="1" x14ac:dyDescent="0.25">
      <c r="A91" s="92" t="s">
        <v>23</v>
      </c>
      <c r="B91" s="4" t="str">
        <f>IF(VLOOKUP($A91,[1]!LOOKUP_Key_Information2,$B$2,FALSE)&lt;&gt;0,VLOOKUP($A91,[1]!LOOKUP_Key_Information2,$B$2,FALSE),"")</f>
        <v>Sikorsky Aircraft Corporation (UTC)</v>
      </c>
      <c r="C91" s="1" t="e">
        <f t="shared" si="13"/>
        <v>#N/A</v>
      </c>
      <c r="D91" s="3">
        <f ca="1">VLOOKUP($A91,[1]!LOOKUP_SARS_Unified2,D$2,FALSE)</f>
        <v>0.17699999999999999</v>
      </c>
      <c r="E91" s="32">
        <f t="shared" ca="1" si="14"/>
        <v>2930.9376588924506</v>
      </c>
      <c r="F91" s="49">
        <f ca="1">VLOOKUP($A91,[1]!LOOKUP_SARS_Unified2,F$2,FALSE)</f>
        <v>16558.969824251133</v>
      </c>
      <c r="G91" s="12"/>
      <c r="H91" s="12"/>
      <c r="I91" s="12"/>
      <c r="J91" s="12"/>
    </row>
    <row r="92" spans="1:10" s="1" customFormat="1" x14ac:dyDescent="0.25">
      <c r="A92" s="92" t="s">
        <v>41</v>
      </c>
      <c r="B92" s="4" t="str">
        <f>IF(VLOOKUP($A92,[1]!LOOKUP_Key_Information2,$B$2,FALSE)&lt;&gt;0,VLOOKUP($A92,[1]!LOOKUP_Key_Information2,$B$2,FALSE),"")</f>
        <v>Sikorsky Aircraft Corporation (UTC)</v>
      </c>
      <c r="C92" s="1" t="e">
        <f t="shared" si="13"/>
        <v>#N/A</v>
      </c>
      <c r="D92" s="3">
        <f ca="1">VLOOKUP($A92,[1]!LOOKUP_SARS_Unified2,D$2,FALSE)</f>
        <v>0.13500000000000001</v>
      </c>
      <c r="E92" s="32">
        <f t="shared" ca="1" si="14"/>
        <v>1585.7687631258982</v>
      </c>
      <c r="F92" s="49">
        <f ca="1">VLOOKUP($A92,[1]!LOOKUP_SARS_Unified2,F$2,FALSE)</f>
        <v>11746.435282414061</v>
      </c>
      <c r="G92" s="12"/>
      <c r="H92" s="12"/>
      <c r="I92" s="12"/>
      <c r="J92" s="12"/>
    </row>
    <row r="93" spans="1:10" s="1" customFormat="1" x14ac:dyDescent="0.25">
      <c r="A93" s="92" t="s">
        <v>44</v>
      </c>
      <c r="B93" s="4" t="str">
        <f>IF(VLOOKUP($A93,[1]!LOOKUP_Key_Information2,$B$2,FALSE)&lt;&gt;0,VLOOKUP($A93,[1]!LOOKUP_Key_Information2,$B$2,FALSE),"")</f>
        <v>Sikorsky Aircraft Corporation (UTC)</v>
      </c>
      <c r="C93" s="1" t="e">
        <f t="shared" si="13"/>
        <v>#N/A</v>
      </c>
      <c r="D93" s="3">
        <f ca="1">VLOOKUP($A93,[1]!LOOKUP_SARS_Unified2,D$2,FALSE)</f>
        <v>0.13500000000000001</v>
      </c>
      <c r="E93" s="32">
        <f t="shared" ca="1" si="14"/>
        <v>945.46644518272444</v>
      </c>
      <c r="F93" s="49">
        <f ca="1">VLOOKUP($A93,[1]!LOOKUP_SARS_Unified2,F$2,FALSE)</f>
        <v>7003.4551495016622</v>
      </c>
      <c r="G93" s="12"/>
      <c r="H93" s="12"/>
      <c r="I93" s="12"/>
      <c r="J93" s="12"/>
    </row>
    <row r="94" spans="1:10" s="1" customFormat="1" x14ac:dyDescent="0.25">
      <c r="A94" t="s">
        <v>49</v>
      </c>
      <c r="B94" s="4" t="str">
        <f>IF(VLOOKUP($A94,[1]!LOOKUP_Key_Information2,$B$2,FALSE)&lt;&gt;0,VLOOKUP($A94,[1]!LOOKUP_Key_Information2,$B$2,FALSE),"")</f>
        <v>Sikorsky Aircraft Corporation (UTC)</v>
      </c>
      <c r="C94" s="1" t="e">
        <f t="shared" si="13"/>
        <v>#N/A</v>
      </c>
      <c r="D94" s="3">
        <f ca="1">VLOOKUP($A94,[1]!LOOKUP_SARS_Unified2,D$2,FALSE)</f>
        <v>0.127</v>
      </c>
      <c r="E94" s="32">
        <f t="shared" ca="1" si="14"/>
        <v>2439.4831370755687</v>
      </c>
      <c r="F94" s="49">
        <f ca="1">VLOOKUP($A94,[1]!LOOKUP_SARS_Unified2,F$2,FALSE)</f>
        <v>19208.528638390304</v>
      </c>
      <c r="G94" s="12"/>
      <c r="H94" s="12"/>
      <c r="I94" s="12"/>
      <c r="J94" s="12"/>
    </row>
    <row r="95" spans="1:10" s="1" customFormat="1" x14ac:dyDescent="0.25">
      <c r="A95" s="92" t="s">
        <v>6</v>
      </c>
      <c r="B95" s="4" t="str">
        <f>IF(VLOOKUP($A95,[1]!LOOKUP_Key_Information2,$B$2,FALSE)&lt;&gt;0,VLOOKUP($A95,[1]!LOOKUP_Key_Information2,$B$2,FALSE),"")</f>
        <v>Oshkosh, BAE, Force Protection Industries, General Dynamics, NAVISTAR Defense</v>
      </c>
      <c r="C95" s="1" t="e">
        <f t="shared" si="13"/>
        <v>#N/A</v>
      </c>
      <c r="D95" s="3">
        <f ca="1">VLOOKUP($A95,[1]!LOOKUP_SARS_Unified2,D$2,FALSE)</f>
        <v>0.26100000000000001</v>
      </c>
      <c r="E95" s="32">
        <f t="shared" ref="E95:E101" ca="1" si="15">D95*F95</f>
        <v>6026.9836357914619</v>
      </c>
      <c r="F95" s="49">
        <f ca="1">VLOOKUP($A95,[1]!LOOKUP_SARS_Unified2,F$2,FALSE)</f>
        <v>23091.8913248715</v>
      </c>
      <c r="G95" s="12"/>
      <c r="H95" s="12"/>
      <c r="I95" s="12"/>
      <c r="J95" s="12"/>
    </row>
    <row r="96" spans="1:10" s="1" customFormat="1" x14ac:dyDescent="0.25">
      <c r="A96" s="92" t="s">
        <v>18</v>
      </c>
      <c r="B96" s="4" t="str">
        <f>IF(VLOOKUP($A96,[1]!LOOKUP_Key_Information2,$B$2,FALSE)&lt;&gt;0,VLOOKUP($A96,[1]!LOOKUP_Key_Information2,$B$2,FALSE),"")</f>
        <v>Alliant Tech Systems (ATK) Missile Systems  (Raytheon makes AGM-88 HARM)</v>
      </c>
      <c r="C96" s="1" t="e">
        <f t="shared" si="13"/>
        <v>#N/A</v>
      </c>
      <c r="D96" s="3">
        <f ca="1">VLOOKUP($A96,[1]!LOOKUP_SARS_Unified2,D$2,FALSE)</f>
        <v>7.8E-2</v>
      </c>
      <c r="E96" s="32">
        <f t="shared" ca="1" si="15"/>
        <v>144.35524881946967</v>
      </c>
      <c r="F96" s="49">
        <f ca="1">VLOOKUP($A96,[1]!LOOKUP_SARS_Unified2,F$2,FALSE)</f>
        <v>1850.7083181983289</v>
      </c>
      <c r="G96" s="12"/>
      <c r="H96" s="12"/>
      <c r="I96" s="12"/>
      <c r="J96" s="12"/>
    </row>
    <row r="97" spans="1:6" x14ac:dyDescent="0.25">
      <c r="A97" s="92" t="s">
        <v>12</v>
      </c>
      <c r="B97" s="4" t="str">
        <f>IF(VLOOKUP($A97,[1]!LOOKUP_Key_Information2,$B$2,FALSE)&lt;&gt;0,VLOOKUP($A97,[1]!LOOKUP_Key_Information2,$B$2,FALSE),"")</f>
        <v>Raytheon</v>
      </c>
      <c r="C97" s="1" t="str">
        <f t="shared" si="13"/>
        <v>Raytheon</v>
      </c>
      <c r="D97" s="3">
        <f ca="1">VLOOKUP($A97,[1]!LOOKUP_SARS_Unified2,D$2,FALSE)</f>
        <v>0.187</v>
      </c>
      <c r="E97" s="32">
        <f t="shared" ca="1" si="15"/>
        <v>620.06190283945637</v>
      </c>
      <c r="F97" s="49">
        <f ca="1">VLOOKUP($A97,[1]!LOOKUP_SARS_Unified2,F$2,FALSE)</f>
        <v>3315.8390526174135</v>
      </c>
    </row>
    <row r="98" spans="1:6" x14ac:dyDescent="0.25">
      <c r="A98" s="92" t="s">
        <v>9</v>
      </c>
      <c r="B98" s="4" t="str">
        <f>IF(VLOOKUP($A98,[1]!LOOKUP_Key_Information2,$B$2,FALSE)&lt;&gt;0,VLOOKUP($A98,[1]!LOOKUP_Key_Information2,$B$2,FALSE),"")</f>
        <v>Raytheon</v>
      </c>
      <c r="C98" s="1" t="str">
        <f t="shared" si="13"/>
        <v>Raytheon</v>
      </c>
      <c r="D98" s="3">
        <f ca="1">VLOOKUP($A98,[1]!LOOKUP_SARS_Unified2,D$2,FALSE)</f>
        <v>0.28300000000000003</v>
      </c>
      <c r="E98" s="32">
        <f t="shared" ca="1" si="15"/>
        <v>5173.8097081596197</v>
      </c>
      <c r="F98" s="49">
        <f ca="1">VLOOKUP($A98,[1]!LOOKUP_SARS_Unified2,F$2,FALSE)</f>
        <v>18282.013103037523</v>
      </c>
    </row>
    <row r="99" spans="1:6" x14ac:dyDescent="0.25">
      <c r="A99" s="92" t="s">
        <v>16</v>
      </c>
      <c r="B99" s="4" t="str">
        <f>IF(VLOOKUP($A99,[1]!LOOKUP_Key_Information2,$B$2,FALSE)&lt;&gt;0,VLOOKUP($A99,[1]!LOOKUP_Key_Information2,$B$2,FALSE),"")</f>
        <v>Raytheon</v>
      </c>
      <c r="C99" s="1" t="str">
        <f t="shared" si="13"/>
        <v>Raytheon</v>
      </c>
      <c r="D99" s="3">
        <f ca="1">VLOOKUP($A99,[1]!LOOKUP_SARS_Unified2,D$2,FALSE)</f>
        <v>0.11699999999999999</v>
      </c>
      <c r="E99" s="32">
        <f t="shared" ca="1" si="15"/>
        <v>596.32398022249686</v>
      </c>
      <c r="F99" s="49">
        <f ca="1">VLOOKUP($A99,[1]!LOOKUP_SARS_Unified2,F$2,FALSE)</f>
        <v>5096.7861557478363</v>
      </c>
    </row>
    <row r="100" spans="1:6" x14ac:dyDescent="0.25">
      <c r="A100" s="92" t="s">
        <v>20</v>
      </c>
      <c r="B100" s="4" t="str">
        <f>IF(VLOOKUP($A100,[1]!LOOKUP_Key_Information2,$B$2,FALSE)&lt;&gt;0,VLOOKUP($A100,[1]!LOOKUP_Key_Information2,$B$2,FALSE),"")</f>
        <v>Raytheon</v>
      </c>
      <c r="C100" s="1" t="str">
        <f t="shared" si="13"/>
        <v>Raytheon</v>
      </c>
      <c r="D100" s="3">
        <f ca="1">VLOOKUP($A100,[1]!LOOKUP_SARS_Unified2,D$2,FALSE)</f>
        <v>0.11699999999999999</v>
      </c>
      <c r="E100" s="32">
        <f t="shared" ca="1" si="15"/>
        <v>193.37086814384307</v>
      </c>
      <c r="F100" s="49">
        <f ca="1">VLOOKUP($A100,[1]!LOOKUP_SARS_Unified2,F$2,FALSE)</f>
        <v>1652.7424627678895</v>
      </c>
    </row>
    <row r="101" spans="1:6" x14ac:dyDescent="0.25">
      <c r="A101" s="92" t="s">
        <v>217</v>
      </c>
      <c r="B101" s="4" t="str">
        <f>IF(VLOOKUP($A101,[1]!LOOKUP_Key_Information2,$B$2,FALSE)&lt;&gt;0,VLOOKUP($A101,[1]!LOOKUP_Key_Information2,$B$2,FALSE),"")</f>
        <v>Raytheon</v>
      </c>
      <c r="C101" s="1" t="str">
        <f t="shared" si="13"/>
        <v>Raytheon</v>
      </c>
      <c r="D101" s="3">
        <f ca="1">VLOOKUP($A101,[1]!LOOKUP_SARS_Unified2,D$2,FALSE)</f>
        <v>3.6000000000000004E-2</v>
      </c>
      <c r="E101" s="32">
        <f t="shared" ca="1" si="15"/>
        <v>51.145764262032699</v>
      </c>
      <c r="F101" s="49">
        <f ca="1">VLOOKUP($A101,[1]!LOOKUP_SARS_Unified2,F$2,FALSE)</f>
        <v>1420.7156739453526</v>
      </c>
    </row>
    <row r="102" spans="1:6" x14ac:dyDescent="0.25">
      <c r="A102" s="92" t="s">
        <v>29</v>
      </c>
      <c r="B102" s="4" t="str">
        <f>IF(VLOOKUP($A102,[1]!LOOKUP_Key_Information2,$B$2,FALSE)&lt;&gt;0,VLOOKUP($A102,[1]!LOOKUP_Key_Information2,$B$2,FALSE),"")</f>
        <v>Raytheon</v>
      </c>
      <c r="C102" s="1" t="str">
        <f t="shared" si="13"/>
        <v>Raytheon</v>
      </c>
      <c r="D102" s="3">
        <f ca="1">VLOOKUP($A102,[1]!LOOKUP_SARS_Unified2,D$2,FALSE)</f>
        <v>-1.6E-2</v>
      </c>
      <c r="E102" s="32">
        <f t="shared" ref="E102:E113" ca="1" si="16">D102*F102</f>
        <v>-28.408198304539113</v>
      </c>
      <c r="F102" s="49">
        <f ca="1">VLOOKUP($A102,[1]!LOOKUP_SARS_Unified2,F$2,FALSE)</f>
        <v>1775.5123940336946</v>
      </c>
    </row>
    <row r="103" spans="1:6" x14ac:dyDescent="0.25">
      <c r="A103" s="92" t="s">
        <v>54</v>
      </c>
      <c r="B103" s="4" t="str">
        <f>IF(VLOOKUP($A103,[1]!LOOKUP_Key_Information2,$B$2,FALSE)&lt;&gt;0,VLOOKUP($A103,[1]!LOOKUP_Key_Information2,$B$2,FALSE),"")</f>
        <v>Raytheon</v>
      </c>
      <c r="C103" s="1" t="str">
        <f t="shared" si="13"/>
        <v>Raytheon</v>
      </c>
      <c r="D103" s="3">
        <f ca="1">VLOOKUP($A103,[1]!LOOKUP_SARS_Unified2,D$2,FALSE)</f>
        <v>0.20100000000000001</v>
      </c>
      <c r="E103" s="32">
        <f t="shared" ca="1" si="16"/>
        <v>122.09850625756965</v>
      </c>
      <c r="F103" s="49">
        <f ca="1">VLOOKUP($A103,[1]!LOOKUP_SARS_Unified2,F$2,FALSE)</f>
        <v>607.45525501278428</v>
      </c>
    </row>
    <row r="104" spans="1:6" x14ac:dyDescent="0.25">
      <c r="A104" s="92" t="s">
        <v>78</v>
      </c>
      <c r="B104" s="4" t="str">
        <f>IF(VLOOKUP($A104,[1]!LOOKUP_Key_Information2,$B$2,FALSE)&lt;&gt;0,VLOOKUP($A104,[1]!LOOKUP_Key_Information2,$B$2,FALSE),"")</f>
        <v>Raytheon</v>
      </c>
      <c r="C104" s="1" t="str">
        <f t="shared" si="13"/>
        <v>Raytheon</v>
      </c>
      <c r="D104" s="3">
        <f ca="1">VLOOKUP($A104,[1]!LOOKUP_SARS_Unified2,D$2,FALSE)</f>
        <v>-0.222</v>
      </c>
      <c r="E104" s="32">
        <f t="shared" ca="1" si="16"/>
        <v>-1484.7376243283411</v>
      </c>
      <c r="F104" s="49">
        <f ca="1">VLOOKUP($A104,[1]!LOOKUP_SARS_Unified2,F$2,FALSE)</f>
        <v>6688.0073167943292</v>
      </c>
    </row>
    <row r="105" spans="1:6" x14ac:dyDescent="0.25">
      <c r="A105" s="92" t="s">
        <v>182</v>
      </c>
      <c r="B105" s="4" t="str">
        <f>IF(VLOOKUP($A105,[1]!LOOKUP_Key_Information2,$B$2,FALSE)&lt;&gt;0,VLOOKUP($A105,[1]!LOOKUP_Key_Information2,$B$2,FALSE),"")</f>
        <v>Raytheon</v>
      </c>
      <c r="C105" s="1" t="str">
        <f t="shared" si="13"/>
        <v>Raytheon</v>
      </c>
      <c r="D105" s="3">
        <f ca="1">VLOOKUP($A105,[1]!LOOKUP_SARS_Unified2,D$2,FALSE)</f>
        <v>-2.6000000000000002E-2</v>
      </c>
      <c r="E105" s="32">
        <f t="shared" ca="1" si="16"/>
        <v>-26.270009440889545</v>
      </c>
      <c r="F105" s="49">
        <f ca="1">VLOOKUP($A105,[1]!LOOKUP_SARS_Unified2,F$2,FALSE)</f>
        <v>1010.3849784957516</v>
      </c>
    </row>
    <row r="106" spans="1:6" x14ac:dyDescent="0.25">
      <c r="A106" s="92" t="s">
        <v>21</v>
      </c>
      <c r="B106" s="4" t="str">
        <f>IF(VLOOKUP($A106,[1]!LOOKUP_Key_Information2,$B$2,FALSE)&lt;&gt;0,VLOOKUP($A106,[1]!LOOKUP_Key_Information2,$B$2,FALSE),"")</f>
        <v>Hawker Beechcraft (Raytheon)</v>
      </c>
      <c r="C106" s="1" t="e">
        <f t="shared" si="13"/>
        <v>#N/A</v>
      </c>
      <c r="D106" s="3">
        <f ca="1">VLOOKUP($A106,[1]!LOOKUP_SARS_Unified2,D$2,FALSE)</f>
        <v>8.3000000000000004E-2</v>
      </c>
      <c r="E106" s="32">
        <f t="shared" ca="1" si="16"/>
        <v>464.65636588380715</v>
      </c>
      <c r="F106" s="49">
        <f ca="1">VLOOKUP($A106,[1]!LOOKUP_SARS_Unified2,F$2,FALSE)</f>
        <v>5598.2694684796043</v>
      </c>
    </row>
    <row r="107" spans="1:6" x14ac:dyDescent="0.25">
      <c r="A107" s="92" t="s">
        <v>33</v>
      </c>
      <c r="B107" s="4" t="str">
        <f>IF(VLOOKUP($A107,[1]!LOOKUP_Key_Information2,$B$2,FALSE)&lt;&gt;0,VLOOKUP($A107,[1]!LOOKUP_Key_Information2,$B$2,FALSE),"")</f>
        <v>Raytheon</v>
      </c>
      <c r="C107" s="1" t="str">
        <f t="shared" si="13"/>
        <v>Raytheon</v>
      </c>
      <c r="D107" s="3">
        <f ca="1">VLOOKUP($A107,[1]!LOOKUP_SARS_Unified2,D$2,FALSE)</f>
        <v>-6.6000000000000003E-2</v>
      </c>
      <c r="E107" s="32">
        <f t="shared" ca="1" si="16"/>
        <v>-580.1658474710639</v>
      </c>
      <c r="F107" s="49">
        <f ca="1">VLOOKUP($A107,[1]!LOOKUP_SARS_Unified2,F$2,FALSE)</f>
        <v>8790.3916283494527</v>
      </c>
    </row>
    <row r="108" spans="1:6" x14ac:dyDescent="0.25">
      <c r="A108" s="92" t="s">
        <v>71</v>
      </c>
      <c r="B108" s="4" t="str">
        <f>IF(VLOOKUP($A108,[1]!LOOKUP_Key_Information2,$B$2,FALSE)&lt;&gt;0,VLOOKUP($A108,[1]!LOOKUP_Key_Information2,$B$2,FALSE),"")</f>
        <v>Raytheon</v>
      </c>
      <c r="C108" s="1" t="str">
        <f t="shared" si="13"/>
        <v>Raytheon</v>
      </c>
      <c r="D108" s="3">
        <f ca="1">VLOOKUP($A108,[1]!LOOKUP_SARS_Unified2,D$2,FALSE)</f>
        <v>4.9000000000000002E-2</v>
      </c>
      <c r="E108" s="32">
        <f t="shared" ca="1" si="16"/>
        <v>91.937082818294201</v>
      </c>
      <c r="F108" s="49">
        <f ca="1">VLOOKUP($A108,[1]!LOOKUP_SARS_Unified2,F$2,FALSE)</f>
        <v>1876.2669962917182</v>
      </c>
    </row>
    <row r="109" spans="1:6" x14ac:dyDescent="0.25">
      <c r="A109" s="92" t="s">
        <v>67</v>
      </c>
      <c r="B109" s="4" t="str">
        <f>IF(VLOOKUP($A109,[1]!LOOKUP_Key_Information2,$B$2,FALSE)&lt;&gt;0,VLOOKUP($A109,[1]!LOOKUP_Key_Information2,$B$2,FALSE),"")</f>
        <v>Raytheon</v>
      </c>
      <c r="C109" s="1" t="str">
        <f t="shared" si="13"/>
        <v>Raytheon</v>
      </c>
      <c r="D109" s="3">
        <f ca="1">VLOOKUP($A109,[1]!LOOKUP_SARS_Unified2,D$2,FALSE)</f>
        <v>-3.1E-2</v>
      </c>
      <c r="E109" s="32">
        <f t="shared" ca="1" si="16"/>
        <v>-193.26419549049703</v>
      </c>
      <c r="F109" s="49">
        <f ca="1">VLOOKUP($A109,[1]!LOOKUP_SARS_Unified2,F$2,FALSE)</f>
        <v>6234.3288867902265</v>
      </c>
    </row>
    <row r="110" spans="1:6" x14ac:dyDescent="0.25">
      <c r="A110" s="92" t="s">
        <v>42</v>
      </c>
      <c r="B110" s="4" t="str">
        <f>IF(VLOOKUP($A110,[1]!LOOKUP_Key_Information2,$B$2,FALSE)&lt;&gt;0,VLOOKUP($A110,[1]!LOOKUP_Key_Information2,$B$2,FALSE),"")</f>
        <v>Raytheon</v>
      </c>
      <c r="C110" s="1" t="str">
        <f t="shared" si="13"/>
        <v>Raytheon</v>
      </c>
      <c r="D110" s="3">
        <f ca="1">VLOOKUP($A110,[1]!LOOKUP_SARS_Unified2,D$2,FALSE)</f>
        <v>0.32</v>
      </c>
      <c r="E110" s="32">
        <f t="shared" ca="1" si="16"/>
        <v>1249.4898360655739</v>
      </c>
      <c r="F110" s="49">
        <f ca="1">VLOOKUP($A110,[1]!LOOKUP_SARS_Unified2,F$2,FALSE)</f>
        <v>3904.6557377049185</v>
      </c>
    </row>
    <row r="111" spans="1:6" x14ac:dyDescent="0.25">
      <c r="A111" s="92" t="s">
        <v>215</v>
      </c>
      <c r="B111" s="4" t="str">
        <f>IF(VLOOKUP($A111,[1]!LOOKUP_Key_Information2,$B$2,FALSE)&lt;&gt;0,VLOOKUP($A111,[1]!LOOKUP_Key_Information2,$B$2,FALSE),"")</f>
        <v>Boeing/Sikorsky JV</v>
      </c>
      <c r="C111" s="1" t="str">
        <f t="shared" si="13"/>
        <v>Other</v>
      </c>
      <c r="D111" s="3">
        <f ca="1">VLOOKUP($A111,[1]!LOOKUP_SARS_Unified2,D$2,FALSE)</f>
        <v>0.151</v>
      </c>
      <c r="E111" s="32">
        <f t="shared" ca="1" si="16"/>
        <v>7366.7066615226322</v>
      </c>
      <c r="F111" s="49">
        <f ca="1">VLOOKUP($A111,[1]!LOOKUP_SARS_Unified2,F$2,FALSE)</f>
        <v>48786.136831275711</v>
      </c>
    </row>
    <row r="112" spans="1:6" x14ac:dyDescent="0.25">
      <c r="A112" t="s">
        <v>222</v>
      </c>
      <c r="B112" s="4" t="str">
        <f>IF(VLOOKUP($A112,[1]!LOOKUP_Key_Information2,$B$2,FALSE)&lt;&gt;0,VLOOKUP($A112,[1]!LOOKUP_Key_Information2,$B$2,FALSE),"")</f>
        <v>Lockheed/Boeing</v>
      </c>
      <c r="C112" s="1" t="e">
        <f t="shared" si="13"/>
        <v>#N/A</v>
      </c>
      <c r="D112" s="3">
        <f ca="1">VLOOKUP($A112,[1]!LOOKUP_SARS_Unified2,D$2,FALSE)</f>
        <v>2.7000000000000003E-2</v>
      </c>
      <c r="E112" s="32">
        <f t="shared" ca="1" si="16"/>
        <v>518.88726823238574</v>
      </c>
      <c r="F112" s="49">
        <f ca="1">VLOOKUP($A112,[1]!LOOKUP_SARS_Unified2,F$2,FALSE)</f>
        <v>19218.046971569838</v>
      </c>
    </row>
    <row r="113" spans="1:6" x14ac:dyDescent="0.25">
      <c r="A113" s="92" t="s">
        <v>220</v>
      </c>
      <c r="B113" s="4" t="str">
        <f>IF(VLOOKUP($A113,[1]!LOOKUP_Key_Information2,$B$2,FALSE)&lt;&gt;0,VLOOKUP($A113,[1]!LOOKUP_Key_Information2,$B$2,FALSE),"")</f>
        <v>TRW Systems (Northrop Grumman)</v>
      </c>
      <c r="C113" s="1" t="e">
        <f t="shared" si="13"/>
        <v>#N/A</v>
      </c>
      <c r="D113" s="3">
        <f ca="1">VLOOKUP($A113,[1]!LOOKUP_SARS_Unified2,D$2,FALSE)</f>
        <v>-0.27399999999999997</v>
      </c>
      <c r="E113" s="32">
        <f t="shared" ca="1" si="16"/>
        <v>-441.20919713531839</v>
      </c>
      <c r="F113" s="49">
        <f ca="1">VLOOKUP($A113,[1]!LOOKUP_SARS_Unified2,F$2,FALSE)</f>
        <v>1610.2525442894835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10"/>
  <sheetViews>
    <sheetView topLeftCell="A49" zoomScaleNormal="100" workbookViewId="0">
      <selection activeCell="A75" sqref="A75"/>
    </sheetView>
  </sheetViews>
  <sheetFormatPr defaultRowHeight="15" x14ac:dyDescent="0.25"/>
  <cols>
    <col min="1" max="1" width="58.5703125" bestFit="1" customWidth="1"/>
    <col min="2" max="2" width="12.85546875" bestFit="1" customWidth="1"/>
    <col min="3" max="3" width="13.140625" bestFit="1" customWidth="1"/>
    <col min="4" max="4" width="10" bestFit="1" customWidth="1"/>
    <col min="5" max="5" width="13" bestFit="1" customWidth="1"/>
    <col min="6" max="6" width="10.140625" bestFit="1" customWidth="1"/>
    <col min="7" max="7" width="10" bestFit="1" customWidth="1"/>
    <col min="8" max="8" width="12" bestFit="1" customWidth="1"/>
    <col min="9" max="9" width="12.5703125" bestFit="1" customWidth="1"/>
    <col min="11" max="11" width="12" bestFit="1" customWidth="1"/>
    <col min="12" max="12" width="9.5703125" bestFit="1" customWidth="1"/>
    <col min="13" max="13" width="12.140625" bestFit="1" customWidth="1"/>
    <col min="15" max="15" width="16.42578125" customWidth="1"/>
    <col min="16" max="16" width="15" bestFit="1" customWidth="1"/>
    <col min="17" max="17" width="14.42578125" customWidth="1"/>
    <col min="18" max="18" width="18.28515625" customWidth="1"/>
    <col min="19" max="19" width="15.7109375" bestFit="1" customWidth="1"/>
    <col min="21" max="21" width="18.85546875" customWidth="1"/>
  </cols>
  <sheetData>
    <row r="1" spans="1:27" s="1" customFormat="1" ht="57" x14ac:dyDescent="0.85">
      <c r="A1" s="11" t="s">
        <v>156</v>
      </c>
      <c r="I1" s="34" t="e">
        <f ca="1">SUM(K7:K91)</f>
        <v>#VALUE!</v>
      </c>
    </row>
    <row r="2" spans="1:27" s="18" customFormat="1" ht="12.75" customHeight="1" x14ac:dyDescent="0.2">
      <c r="A2" s="20"/>
      <c r="B2" s="95">
        <f>HLOOKUP(B5,[1]!LOOKUP_MDAPs,2,FALSE)</f>
        <v>28</v>
      </c>
      <c r="C2" s="95">
        <f>HLOOKUP(C5,[1]!LOOKUP_MDAPs,2,FALSE)</f>
        <v>29</v>
      </c>
      <c r="D2" s="95">
        <f>HLOOKUP(D5,[1]!LOOKUP_MDAPs,2,FALSE)</f>
        <v>30</v>
      </c>
      <c r="E2" s="95">
        <f>HLOOKUP(E5,[1]!LOOKUP_MDAPs,2,FALSE)</f>
        <v>31</v>
      </c>
      <c r="F2" s="95">
        <f>HLOOKUP(F5,[1]!LOOKUP_MDAPs,2,FALSE)</f>
        <v>32</v>
      </c>
      <c r="G2" s="95">
        <f>HLOOKUP(G5,[1]!LOOKUP_MDAPs,2,FALSE)</f>
        <v>33</v>
      </c>
      <c r="H2" s="95">
        <f>HLOOKUP(H5,[1]!LOOKUP_MDAPs,2,FALSE)</f>
        <v>34</v>
      </c>
      <c r="I2" s="95">
        <f>HLOOKUP(I5,[1]!LOOKUP_MDAPs,2,FALSE)</f>
        <v>42</v>
      </c>
      <c r="J2" s="1">
        <f ca="1">HLOOKUP(J5,[1]!LOOKUP_SARS_Unified2,2,FALSE)</f>
        <v>41</v>
      </c>
      <c r="K2" s="1"/>
      <c r="L2" s="1">
        <f ca="1">HLOOKUP(L5,[1]!LOOKUP_SARS_Unified2,2,FALSE)</f>
        <v>42</v>
      </c>
      <c r="M2" s="18" t="s">
        <v>155</v>
      </c>
      <c r="O2" s="81">
        <f>SUM(O6:O7)</f>
        <v>0</v>
      </c>
      <c r="P2" s="81">
        <f>SUM(P6:P7)</f>
        <v>0</v>
      </c>
    </row>
    <row r="3" spans="1:27" s="18" customFormat="1" ht="12.75" customHeight="1" x14ac:dyDescent="0.25">
      <c r="A3" s="20"/>
      <c r="B3" s="18">
        <v>1</v>
      </c>
      <c r="C3" s="18">
        <v>1</v>
      </c>
      <c r="D3" s="18">
        <v>0.5</v>
      </c>
      <c r="E3" s="18">
        <v>0.5</v>
      </c>
      <c r="F3" s="18">
        <v>0</v>
      </c>
      <c r="G3" s="18">
        <v>0</v>
      </c>
      <c r="H3" s="18">
        <v>0</v>
      </c>
      <c r="O3" s="81"/>
      <c r="P3" s="81"/>
    </row>
    <row r="4" spans="1:27" s="18" customFormat="1" ht="12.75" customHeight="1" x14ac:dyDescent="0.2">
      <c r="A4" s="20"/>
      <c r="B4" s="18">
        <v>1</v>
      </c>
      <c r="C4" s="18">
        <v>1</v>
      </c>
      <c r="D4" s="18">
        <v>1</v>
      </c>
      <c r="E4" s="18">
        <v>1</v>
      </c>
      <c r="F4" s="18">
        <v>0</v>
      </c>
      <c r="G4" s="18">
        <v>1</v>
      </c>
      <c r="H4" s="18">
        <v>0</v>
      </c>
      <c r="O4" s="1" t="s">
        <v>227</v>
      </c>
      <c r="P4" s="1" t="s">
        <v>97</v>
      </c>
      <c r="Q4" s="1" t="s">
        <v>154</v>
      </c>
    </row>
    <row r="5" spans="1:27" s="1" customFormat="1" ht="89.25" x14ac:dyDescent="0.2">
      <c r="A5" s="142" t="s">
        <v>80</v>
      </c>
      <c r="B5" s="143" t="s">
        <v>193</v>
      </c>
      <c r="C5" s="143" t="s">
        <v>194</v>
      </c>
      <c r="D5" s="143" t="s">
        <v>195</v>
      </c>
      <c r="E5" s="143" t="s">
        <v>196</v>
      </c>
      <c r="F5" s="143" t="s">
        <v>197</v>
      </c>
      <c r="G5" s="143" t="s">
        <v>147</v>
      </c>
      <c r="H5" s="143" t="s">
        <v>198</v>
      </c>
      <c r="I5" s="143" t="s">
        <v>199</v>
      </c>
      <c r="J5" s="140" t="s">
        <v>171</v>
      </c>
      <c r="K5" s="141"/>
      <c r="L5" s="142" t="s">
        <v>173</v>
      </c>
      <c r="M5" s="8"/>
      <c r="N5" s="4"/>
      <c r="U5" s="2"/>
      <c r="V5" s="2"/>
      <c r="W5" s="2"/>
      <c r="X5" s="2"/>
      <c r="Y5" s="2"/>
    </row>
    <row r="6" spans="1:27" s="1" customFormat="1" x14ac:dyDescent="0.25">
      <c r="A6" s="1" t="s">
        <v>82</v>
      </c>
      <c r="B6" s="80" t="e">
        <f ca="1">SUMPRODUCT(Competition_Full_Open_Multiple,Competition_Overrun_Dollars)</f>
        <v>#VALUE!</v>
      </c>
      <c r="C6" s="80" t="e">
        <f ca="1">SUMPRODUCT(Competition_Full_Open_Single,Competition_Overrun_Dollars)</f>
        <v>#VALUE!</v>
      </c>
      <c r="D6" s="80" t="e">
        <f ca="1">SUMPRODUCT(Competition_Partial_Multiple,Competition_Overrun_Dollars)</f>
        <v>#VALUE!</v>
      </c>
      <c r="E6" s="80" t="e">
        <f ca="1">SUMPRODUCT(Competition_Partial_Single,Competition_Overrun_Dollars)</f>
        <v>#VALUE!</v>
      </c>
      <c r="F6" s="80" t="e">
        <f ca="1">SUMPRODUCT(Competition_Follow_On,Competition_Overrun_Dollars)</f>
        <v>#VALUE!</v>
      </c>
      <c r="G6" s="80" t="e">
        <f ca="1">SUMPRODUCT(Competition_None,Competition_Overrun_Dollars)</f>
        <v>#VALUE!</v>
      </c>
      <c r="H6" s="80" t="e">
        <f ca="1">SUMPRODUCT(Competition_Unclear,Competition_Overrun_Dollars)</f>
        <v>#VALUE!</v>
      </c>
      <c r="I6" s="9"/>
      <c r="J6" s="3"/>
      <c r="K6" s="32"/>
      <c r="L6" s="32"/>
      <c r="M6" s="8"/>
      <c r="O6" s="12"/>
      <c r="P6" s="12"/>
      <c r="U6" s="25"/>
      <c r="V6" s="25"/>
      <c r="W6" s="25"/>
      <c r="X6" s="25"/>
      <c r="Y6" s="22"/>
    </row>
    <row r="7" spans="1:27" s="1" customFormat="1" x14ac:dyDescent="0.25">
      <c r="A7" t="s">
        <v>0</v>
      </c>
      <c r="B7" s="66">
        <f ca="1">IFERROR(VLOOKUP($A7,[1]!LOOKUP_MDAPs,B$2,FALSE)/$I7,"")</f>
        <v>6.9942588825629634E-3</v>
      </c>
      <c r="C7" s="66">
        <f ca="1">IFERROR(VLOOKUP($A7,[1]!LOOKUP_MDAPs,C$2,FALSE)/$I7,"")</f>
        <v>0</v>
      </c>
      <c r="D7" s="66">
        <f ca="1">IFERROR(VLOOKUP($A7,[1]!LOOKUP_MDAPs,D$2,FALSE)/$I7,"")</f>
        <v>4.6096856605230135E-3</v>
      </c>
      <c r="E7" s="66">
        <f ca="1">IFERROR(VLOOKUP($A7,[1]!LOOKUP_MDAPs,E$2,FALSE)/$I7,"")</f>
        <v>2.9933292096883139E-3</v>
      </c>
      <c r="F7" s="66">
        <f ca="1">IFERROR(VLOOKUP($A7,[1]!LOOKUP_MDAPs,F$2,FALSE)/$I7,"")</f>
        <v>0</v>
      </c>
      <c r="G7" s="66">
        <f ca="1">IFERROR(VLOOKUP($A7,[1]!LOOKUP_MDAPs,G$2,FALSE)/$I7,"")</f>
        <v>0.1798776599247322</v>
      </c>
      <c r="H7" s="66">
        <f t="shared" ref="H7:H38" ca="1" si="0">1-SUM(B7:G7)</f>
        <v>0.80552506632249354</v>
      </c>
      <c r="I7" s="65">
        <f ca="1">IF(VLOOKUP($A7,[1]!LOOKUP_MDAPs,I$2,FALSE)&lt;&gt;0,VLOOKUP($A7,[1]!LOOKUP_MDAPs,I$2,FALSE),"")</f>
        <v>1036.3000000000002</v>
      </c>
      <c r="J7" s="62">
        <f ca="1">VLOOKUP($A7,[1]!LOOKUP_SARS_Unified2,J$2,FALSE)</f>
        <v>0.377</v>
      </c>
      <c r="K7" s="78">
        <f t="shared" ref="K7" ca="1" si="1">J7*L7</f>
        <v>3051.4002999999998</v>
      </c>
      <c r="L7" s="77">
        <f ca="1">VLOOKUP($A7,[1]!LOOKUP_SARS_Unified2,L$2,FALSE)</f>
        <v>8093.9</v>
      </c>
      <c r="M7" s="76" t="e">
        <f ca="1">(VLOOKUP($B$5,$N$53:$O$59,2,FALSE)*$B7+VLOOKUP($C$5,$N$53:$O$59,2,FALSE)*$C7+VLOOKUP($D$5,$N$53:$O$59,2,FALSE)*$D7+VLOOKUP($E$5,$N$53:$O$59,2,FALSE)*$E7+VLOOKUP($G$5,$N$53:$O$59,2,FALSE)*$G7+VLOOKUP($F$5,$N$53:$O$59,2,FALSE)*$F7)/(1-$H7)</f>
        <v>#N/A</v>
      </c>
      <c r="R7" s="34"/>
      <c r="S7" s="79"/>
      <c r="T7" s="79"/>
      <c r="U7" s="133" t="str">
        <f>A7</f>
        <v>AB3 Apache Block III</v>
      </c>
      <c r="V7" s="19">
        <f ca="1">SUMPRODUCT($B7:$H7,$B$3:$H$3)</f>
        <v>1.0795766317668628E-2</v>
      </c>
      <c r="W7" s="37">
        <f t="shared" ref="W7:W38" ca="1" si="2">SUMPRODUCT($B7:$H7,$B$4:$H$4)</f>
        <v>0.19447493367750648</v>
      </c>
      <c r="X7" s="19">
        <f t="shared" ref="X7:X38" ca="1" si="3">(B7+D7)*2+C7+E7+G7</f>
        <v>0.20607887822059248</v>
      </c>
      <c r="Y7" s="37">
        <f t="shared" ref="Y7:Y38" ca="1" si="4">IFERROR(V7/W7,"")</f>
        <v>5.5512379480077416E-2</v>
      </c>
      <c r="Z7" s="19">
        <f t="shared" ref="Z7:Z38" ca="1" si="5">IFERROR(X7/W7,"")</f>
        <v>1.059668073019264</v>
      </c>
      <c r="AA7" s="75" t="e">
        <f ca="1">M7*'Funding-Bar'!$L$5</f>
        <v>#N/A</v>
      </c>
    </row>
    <row r="8" spans="1:27" s="1" customFormat="1" x14ac:dyDescent="0.25">
      <c r="A8" s="92" t="s">
        <v>212</v>
      </c>
      <c r="B8" s="66">
        <f ca="1">IFERROR(VLOOKUP($A8,[1]!LOOKUP_MDAPs,B$2,FALSE)/$I8,"")</f>
        <v>0.64529891358550462</v>
      </c>
      <c r="C8" s="66">
        <f ca="1">IFERROR(VLOOKUP($A8,[1]!LOOKUP_MDAPs,C$2,FALSE)/$I8,"")</f>
        <v>4.057628883875674E-2</v>
      </c>
      <c r="D8" s="66">
        <f ca="1">IFERROR(VLOOKUP($A8,[1]!LOOKUP_MDAPs,D$2,FALSE)/$I8,"")</f>
        <v>9.0771574758769912E-3</v>
      </c>
      <c r="E8" s="66">
        <f ca="1">IFERROR(VLOOKUP($A8,[1]!LOOKUP_MDAPs,E$2,FALSE)/$I8,"")</f>
        <v>3.6571591826574976E-2</v>
      </c>
      <c r="F8" s="66">
        <f ca="1">IFERROR(VLOOKUP($A8,[1]!LOOKUP_MDAPs,F$2,FALSE)/$I8,"")</f>
        <v>9.114755039927095E-3</v>
      </c>
      <c r="G8" s="66">
        <f ca="1">IFERROR(VLOOKUP($A8,[1]!LOOKUP_MDAPs,G$2,FALSE)/$I8,"")</f>
        <v>0.66464439620173421</v>
      </c>
      <c r="H8" s="66">
        <f t="shared" ca="1" si="0"/>
        <v>-0.40528310296837455</v>
      </c>
      <c r="I8" s="65">
        <f ca="1">IF(VLOOKUP($A8,[1]!LOOKUP_MDAPs,I$2,FALSE)&lt;&gt;0,VLOOKUP($A8,[1]!LOOKUP_MDAPs,I$2,FALSE),"")</f>
        <v>515.77809599999989</v>
      </c>
      <c r="J8" s="62">
        <f ca="1">VLOOKUP($A8,[1]!LOOKUP_SARS_Unified2,J$2,FALSE)</f>
        <v>1.2E-2</v>
      </c>
      <c r="K8" s="78">
        <f t="shared" ref="K8:K71" ca="1" si="6">J8*L8</f>
        <v>54.552</v>
      </c>
      <c r="L8" s="77">
        <f ca="1">VLOOKUP($A8,[1]!LOOKUP_SARS_Unified2,L$2,FALSE)</f>
        <v>4546</v>
      </c>
      <c r="M8" s="76" t="e">
        <f t="shared" ref="M8:M38" ca="1" si="7">(VLOOKUP($B$5,$N$53:$O$59,2,FALSE)*$B8+VLOOKUP($C$5,$N$53:$O$59,2,FALSE)*$C8+VLOOKUP($D$5,$N$53:$O$59,2,FALSE)*$D8+VLOOKUP($E$5,$N$53:$O$59,2,FALSE)*$E8+VLOOKUP($G$5,$N$53:$O$59,2,FALSE)*$G8+VLOOKUP($F$5,$N$53:$O$59,2,FALSE)*$F8)/(1-$H8)</f>
        <v>#N/A</v>
      </c>
      <c r="N8" s="4"/>
      <c r="O8" s="12"/>
      <c r="P8" s="12"/>
      <c r="Q8" s="12"/>
      <c r="U8" s="133" t="str">
        <f t="shared" ref="U8:U71" si="8">A8</f>
        <v>ACS</v>
      </c>
      <c r="V8" s="19">
        <f ca="1">SUMPRODUCT($B8:$H8,$B$3:$H$3)</f>
        <v>0.70869957707548736</v>
      </c>
      <c r="W8" s="37">
        <f t="shared" ca="1" si="2"/>
        <v>1.3961683479284477</v>
      </c>
      <c r="X8" s="19">
        <f t="shared" ca="1" si="3"/>
        <v>2.050544418989829</v>
      </c>
      <c r="Y8" s="37">
        <f t="shared" ca="1" si="4"/>
        <v>0.50760324005841706</v>
      </c>
      <c r="Z8" s="19">
        <f t="shared" ca="1" si="5"/>
        <v>1.4686942459570194</v>
      </c>
      <c r="AA8" s="75" t="e">
        <f ca="1">M8+'Funding-Bar'!$L$5</f>
        <v>#N/A</v>
      </c>
    </row>
    <row r="9" spans="1:27" s="1" customFormat="1" x14ac:dyDescent="0.25">
      <c r="A9" s="92" t="s">
        <v>25</v>
      </c>
      <c r="B9" s="66">
        <f ca="1">IFERROR(VLOOKUP($A9,[1]!LOOKUP_MDAPs,B$2,FALSE)/$I9,"")</f>
        <v>2.5842559965845325E-2</v>
      </c>
      <c r="C9" s="66">
        <f ca="1">IFERROR(VLOOKUP($A9,[1]!LOOKUP_MDAPs,C$2,FALSE)/$I9,"")</f>
        <v>1.7349739872927648E-3</v>
      </c>
      <c r="D9" s="66">
        <f ca="1">IFERROR(VLOOKUP($A9,[1]!LOOKUP_MDAPs,D$2,FALSE)/$I9,"")</f>
        <v>0</v>
      </c>
      <c r="E9" s="66">
        <f ca="1">IFERROR(VLOOKUP($A9,[1]!LOOKUP_MDAPs,E$2,FALSE)/$I9,"")</f>
        <v>0</v>
      </c>
      <c r="F9" s="66">
        <f ca="1">IFERROR(VLOOKUP($A9,[1]!LOOKUP_MDAPs,F$2,FALSE)/$I9,"")</f>
        <v>0</v>
      </c>
      <c r="G9" s="66">
        <f ca="1">IFERROR(VLOOKUP($A9,[1]!LOOKUP_MDAPs,G$2,FALSE)/$I9,"")</f>
        <v>3.7352182398676238E-3</v>
      </c>
      <c r="H9" s="66">
        <f t="shared" ca="1" si="0"/>
        <v>0.96868724780699433</v>
      </c>
      <c r="I9" s="65">
        <f ca="1">IF(VLOOKUP($A9,[1]!LOOKUP_MDAPs,I$2,FALSE)&lt;&gt;0,VLOOKUP($A9,[1]!LOOKUP_MDAPs,I$2,FALSE),"")</f>
        <v>9427.7000000000007</v>
      </c>
      <c r="J9" s="62">
        <f ca="1">VLOOKUP($A9,[1]!LOOKUP_SARS_Unified2,J$2,FALSE)</f>
        <v>0.39600000000000002</v>
      </c>
      <c r="K9" s="78">
        <f t="shared" ca="1" si="6"/>
        <v>2409.9371999999998</v>
      </c>
      <c r="L9" s="77">
        <f ca="1">VLOOKUP($A9,[1]!LOOKUP_SARS_Unified2,L$2,FALSE)</f>
        <v>6085.7</v>
      </c>
      <c r="M9" s="76" t="e">
        <f t="shared" ca="1" si="7"/>
        <v>#N/A</v>
      </c>
      <c r="N9" s="4"/>
      <c r="O9" s="12"/>
      <c r="P9" s="12"/>
      <c r="Q9" s="12"/>
      <c r="U9" s="133" t="str">
        <f t="shared" si="8"/>
        <v>AEHF</v>
      </c>
      <c r="V9" s="19">
        <f t="shared" ref="V9:V38" ca="1" si="9">SUMPRODUCT($B9:$H9,$B$3:$H$3)</f>
        <v>2.7577533953138091E-2</v>
      </c>
      <c r="W9" s="37">
        <f t="shared" ca="1" si="2"/>
        <v>3.1312752193005715E-2</v>
      </c>
      <c r="X9" s="19">
        <f t="shared" ca="1" si="3"/>
        <v>5.7155312158851036E-2</v>
      </c>
      <c r="Y9" s="37">
        <f t="shared" ca="1" si="4"/>
        <v>0.88071255388716818</v>
      </c>
      <c r="Z9" s="19">
        <f t="shared" ca="1" si="5"/>
        <v>1.825304649254617</v>
      </c>
      <c r="AA9" s="75" t="e">
        <f ca="1">M9+'Funding-Bar'!$L$5</f>
        <v>#N/A</v>
      </c>
    </row>
    <row r="10" spans="1:27" s="1" customFormat="1" x14ac:dyDescent="0.25">
      <c r="A10" s="92" t="s">
        <v>18</v>
      </c>
      <c r="B10" s="66">
        <f ca="1">IFERROR(VLOOKUP($A10,[1]!LOOKUP_MDAPs,B$2,FALSE)/$I10,"")</f>
        <v>9.9060861080619585E-5</v>
      </c>
      <c r="C10" s="66">
        <f ca="1">IFERROR(VLOOKUP($A10,[1]!LOOKUP_MDAPs,C$2,FALSE)/$I10,"")</f>
        <v>0</v>
      </c>
      <c r="D10" s="66">
        <f ca="1">IFERROR(VLOOKUP($A10,[1]!LOOKUP_MDAPs,D$2,FALSE)/$I10,"")</f>
        <v>0</v>
      </c>
      <c r="E10" s="66">
        <f ca="1">IFERROR(VLOOKUP($A10,[1]!LOOKUP_MDAPs,E$2,FALSE)/$I10,"")</f>
        <v>0</v>
      </c>
      <c r="F10" s="66">
        <f ca="1">IFERROR(VLOOKUP($A10,[1]!LOOKUP_MDAPs,F$2,FALSE)/$I10,"")</f>
        <v>0</v>
      </c>
      <c r="G10" s="66">
        <f ca="1">IFERROR(VLOOKUP($A10,[1]!LOOKUP_MDAPs,G$2,FALSE)/$I10,"")</f>
        <v>1.6132479570679353E-3</v>
      </c>
      <c r="H10" s="66">
        <f t="shared" ca="1" si="0"/>
        <v>0.99828769118185146</v>
      </c>
      <c r="I10" s="65">
        <f ca="1">IF(VLOOKUP($A10,[1]!LOOKUP_MDAPs,I$2,FALSE)&lt;&gt;0,VLOOKUP($A10,[1]!LOOKUP_MDAPs,I$2,FALSE),"")</f>
        <v>819.9</v>
      </c>
      <c r="J10" s="62">
        <f ca="1">VLOOKUP($A10,[1]!LOOKUP_SARS_Unified2,J$2,FALSE)</f>
        <v>7.8E-2</v>
      </c>
      <c r="K10" s="78">
        <f t="shared" ca="1" si="6"/>
        <v>145.1892</v>
      </c>
      <c r="L10" s="77">
        <f ca="1">VLOOKUP($A10,[1]!LOOKUP_SARS_Unified2,L$2,FALSE)</f>
        <v>1861.4</v>
      </c>
      <c r="M10" s="76" t="e">
        <f t="shared" ca="1" si="7"/>
        <v>#N/A</v>
      </c>
      <c r="N10" s="4"/>
      <c r="O10" s="12"/>
      <c r="P10" s="12"/>
      <c r="Q10" s="12"/>
      <c r="U10" s="133" t="str">
        <f t="shared" si="8"/>
        <v>AGM-88E</v>
      </c>
      <c r="V10" s="19">
        <f t="shared" ca="1" si="9"/>
        <v>9.9060861080619585E-5</v>
      </c>
      <c r="W10" s="37">
        <f t="shared" ca="1" si="2"/>
        <v>1.7123088181485548E-3</v>
      </c>
      <c r="X10" s="19">
        <f t="shared" ca="1" si="3"/>
        <v>1.8113696792291744E-3</v>
      </c>
      <c r="Y10" s="37">
        <f t="shared" ca="1" si="4"/>
        <v>5.785221686105068E-2</v>
      </c>
      <c r="Z10" s="19">
        <f t="shared" ca="1" si="5"/>
        <v>1.0578522168610507</v>
      </c>
      <c r="AA10" s="75" t="e">
        <f ca="1">M10+'Funding-Bar'!$L$5</f>
        <v>#N/A</v>
      </c>
    </row>
    <row r="11" spans="1:27" s="1" customFormat="1" x14ac:dyDescent="0.25">
      <c r="A11" s="92" t="s">
        <v>12</v>
      </c>
      <c r="B11" s="66">
        <f ca="1">IFERROR(VLOOKUP($A11,[1]!LOOKUP_MDAPs,B$2,FALSE)/$I11,"")</f>
        <v>0.23692594895722241</v>
      </c>
      <c r="C11" s="66">
        <f ca="1">IFERROR(VLOOKUP($A11,[1]!LOOKUP_MDAPs,C$2,FALSE)/$I11,"")</f>
        <v>4.6294961192084372E-2</v>
      </c>
      <c r="D11" s="66">
        <f ca="1">IFERROR(VLOOKUP($A11,[1]!LOOKUP_MDAPs,D$2,FALSE)/$I11,"")</f>
        <v>2.061144685389264E-5</v>
      </c>
      <c r="E11" s="66">
        <f ca="1">IFERROR(VLOOKUP($A11,[1]!LOOKUP_MDAPs,E$2,FALSE)/$I11,"")</f>
        <v>0.11919381443298969</v>
      </c>
      <c r="F11" s="66">
        <f ca="1">IFERROR(VLOOKUP($A11,[1]!LOOKUP_MDAPs,F$2,FALSE)/$I11,"")</f>
        <v>0</v>
      </c>
      <c r="G11" s="66">
        <f ca="1">IFERROR(VLOOKUP($A11,[1]!LOOKUP_MDAPs,G$2,FALSE)/$I11,"")</f>
        <v>7.7238244134376119E-2</v>
      </c>
      <c r="H11" s="66">
        <f t="shared" ca="1" si="0"/>
        <v>0.52032641983647343</v>
      </c>
      <c r="I11" s="65">
        <f ca="1">IF(VLOOKUP($A11,[1]!LOOKUP_MDAPs,I$2,FALSE)&lt;&gt;0,VLOOKUP($A11,[1]!LOOKUP_MDAPs,I$2,FALSE),"")</f>
        <v>1687.8</v>
      </c>
      <c r="J11" s="62">
        <f ca="1">VLOOKUP($A11,[1]!LOOKUP_SARS_Unified2,J$2,FALSE)</f>
        <v>0.154</v>
      </c>
      <c r="K11" s="78">
        <f t="shared" ca="1" si="6"/>
        <v>497.86660000000001</v>
      </c>
      <c r="L11" s="77">
        <f ca="1">VLOOKUP($A11,[1]!LOOKUP_SARS_Unified2,L$2,FALSE)</f>
        <v>3232.9</v>
      </c>
      <c r="M11" s="76" t="e">
        <f t="shared" ca="1" si="7"/>
        <v>#N/A</v>
      </c>
      <c r="N11" s="4"/>
      <c r="O11" s="1" t="s">
        <v>95</v>
      </c>
      <c r="P11" s="1" t="s">
        <v>94</v>
      </c>
      <c r="Q11" s="1" t="s">
        <v>105</v>
      </c>
      <c r="R11" s="9" t="s">
        <v>106</v>
      </c>
      <c r="S11" s="22" t="s">
        <v>105</v>
      </c>
      <c r="T11" s="22"/>
      <c r="U11" s="133" t="str">
        <f t="shared" si="8"/>
        <v>AIM-9X</v>
      </c>
      <c r="V11" s="19">
        <f t="shared" ca="1" si="9"/>
        <v>0.34282812308922861</v>
      </c>
      <c r="W11" s="37">
        <f t="shared" ca="1" si="2"/>
        <v>0.47967358016352651</v>
      </c>
      <c r="X11" s="19">
        <f t="shared" ca="1" si="3"/>
        <v>0.7166201405676027</v>
      </c>
      <c r="Y11" s="37">
        <f t="shared" ca="1" si="4"/>
        <v>0.71471128964900332</v>
      </c>
      <c r="Z11" s="19">
        <f t="shared" ca="1" si="5"/>
        <v>1.4939745906441173</v>
      </c>
      <c r="AA11" s="75" t="e">
        <f ca="1">M11+'Funding-Bar'!$L$5</f>
        <v>#N/A</v>
      </c>
    </row>
    <row r="12" spans="1:27" s="1" customFormat="1" x14ac:dyDescent="0.25">
      <c r="A12" s="92" t="s">
        <v>174</v>
      </c>
      <c r="B12" s="66">
        <f ca="1">IFERROR(VLOOKUP($A12,[1]!LOOKUP_MDAPs,B$2,FALSE)/$I12,"")</f>
        <v>5.0116850963762534E-3</v>
      </c>
      <c r="C12" s="66">
        <f ca="1">IFERROR(VLOOKUP($A12,[1]!LOOKUP_MDAPs,C$2,FALSE)/$I12,"")</f>
        <v>5.5497301464919048E-5</v>
      </c>
      <c r="D12" s="66">
        <f ca="1">IFERROR(VLOOKUP($A12,[1]!LOOKUP_MDAPs,D$2,FALSE)/$I12,"")</f>
        <v>7.7101002313030062E-10</v>
      </c>
      <c r="E12" s="66">
        <f ca="1">IFERROR(VLOOKUP($A12,[1]!LOOKUP_MDAPs,E$2,FALSE)/$I12,"")</f>
        <v>7.7101002313030063E-6</v>
      </c>
      <c r="F12" s="66">
        <f ca="1">IFERROR(VLOOKUP($A12,[1]!LOOKUP_MDAPs,F$2,FALSE)/$I12,"")</f>
        <v>0</v>
      </c>
      <c r="G12" s="66">
        <f ca="1">IFERROR(VLOOKUP($A12,[1]!LOOKUP_MDAPs,G$2,FALSE)/$I12,"")</f>
        <v>0.23807478708558213</v>
      </c>
      <c r="H12" s="66">
        <f t="shared" ca="1" si="0"/>
        <v>0.75685031964533533</v>
      </c>
      <c r="I12" s="65">
        <f ca="1">IF(VLOOKUP($A12,[1]!LOOKUP_MDAPs,I$2,FALSE)&lt;&gt;0,VLOOKUP($A12,[1]!LOOKUP_MDAPs,I$2,FALSE),"")</f>
        <v>1297</v>
      </c>
      <c r="J12" s="62">
        <f ca="1">VLOOKUP($A12,[1]!LOOKUP_SARS_Unified2,J$2,FALSE)</f>
        <v>-0.183</v>
      </c>
      <c r="K12" s="78">
        <f t="shared" ca="1" si="6"/>
        <v>-1653.2768999999998</v>
      </c>
      <c r="L12" s="77">
        <f ca="1">VLOOKUP($A12,[1]!LOOKUP_SARS_Unified2,L$2,FALSE)</f>
        <v>9034.2999999999993</v>
      </c>
      <c r="M12" s="76" t="e">
        <f t="shared" ca="1" si="7"/>
        <v>#N/A</v>
      </c>
      <c r="N12" s="1" t="s">
        <v>228</v>
      </c>
      <c r="O12" s="12" t="e">
        <f ca="1">SUMPRODUCT((Competition_Overrun_Dollars&gt;=0)*Competition_Overrun_Dollars*Competition_Full_Open_Multiple)</f>
        <v>#VALUE!</v>
      </c>
      <c r="P12" s="12" t="e">
        <f ca="1">SUMPRODUCT((Competition_Overrun_Dollars&lt;0)*Competition_Overrun_Dollars*Competition_Full_Open_Multiple)</f>
        <v>#VALUE!</v>
      </c>
      <c r="Q12" s="37">
        <f ca="1">SUMPRODUCT(Competition_Overrun_Percent,Competition_Full_Open_Multiple)/SUM(Competition_Full_Open_Multiple)</f>
        <v>0.46330312321017753</v>
      </c>
      <c r="R12" s="102" t="e">
        <f t="shared" ref="R12:R18" ca="1" si="10">SUM(O12:P12)/$S12</f>
        <v>#VALUE!</v>
      </c>
      <c r="S12" s="79">
        <f ca="1">SUMPRODUCT(Competition_Baseline,Competition_Full_Open_Multiple)</f>
        <v>43734.546186108288</v>
      </c>
      <c r="T12" s="79"/>
      <c r="U12" s="133" t="str">
        <f t="shared" si="8"/>
        <v>AMF JTRS</v>
      </c>
      <c r="V12" s="19">
        <f t="shared" ca="1" si="9"/>
        <v>5.0710378334618356E-3</v>
      </c>
      <c r="W12" s="37">
        <f t="shared" ca="1" si="2"/>
        <v>0.24314968035466464</v>
      </c>
      <c r="X12" s="19">
        <f t="shared" ca="1" si="3"/>
        <v>0.2481613662220509</v>
      </c>
      <c r="Y12" s="37">
        <f t="shared" ca="1" si="4"/>
        <v>2.0855622043447E-2</v>
      </c>
      <c r="Z12" s="19">
        <f t="shared" ca="1" si="5"/>
        <v>1.0206115256251873</v>
      </c>
      <c r="AA12" s="75" t="e">
        <f ca="1">M12+'Funding-Bar'!$L$5</f>
        <v>#N/A</v>
      </c>
    </row>
    <row r="13" spans="1:27" s="1" customFormat="1" x14ac:dyDescent="0.25">
      <c r="A13" s="92" t="s">
        <v>9</v>
      </c>
      <c r="B13" s="66">
        <f ca="1">IFERROR(VLOOKUP($A13,[1]!LOOKUP_MDAPs,B$2,FALSE)/$I13,"")</f>
        <v>6.7289845009246851E-4</v>
      </c>
      <c r="C13" s="66">
        <f ca="1">IFERROR(VLOOKUP($A13,[1]!LOOKUP_MDAPs,C$2,FALSE)/$I13,"")</f>
        <v>2.4443028639780109E-3</v>
      </c>
      <c r="D13" s="66">
        <f ca="1">IFERROR(VLOOKUP($A13,[1]!LOOKUP_MDAPs,D$2,FALSE)/$I13,"")</f>
        <v>7.3921399345085615E-3</v>
      </c>
      <c r="E13" s="66">
        <f ca="1">IFERROR(VLOOKUP($A13,[1]!LOOKUP_MDAPs,E$2,FALSE)/$I13,"")</f>
        <v>1.8120055241860229E-2</v>
      </c>
      <c r="F13" s="66">
        <f ca="1">IFERROR(VLOOKUP($A13,[1]!LOOKUP_MDAPs,F$2,FALSE)/$I13,"")</f>
        <v>0</v>
      </c>
      <c r="G13" s="66">
        <f ca="1">IFERROR(VLOOKUP($A13,[1]!LOOKUP_MDAPs,G$2,FALSE)/$I13,"")</f>
        <v>9.0538201079081754E-2</v>
      </c>
      <c r="H13" s="66">
        <f t="shared" ca="1" si="0"/>
        <v>0.880832402430479</v>
      </c>
      <c r="I13" s="65">
        <f ca="1">IF(VLOOKUP($A13,[1]!LOOKUP_MDAPs,I$2,FALSE)&lt;&gt;0,VLOOKUP($A13,[1]!LOOKUP_MDAPs,I$2,FALSE),"")</f>
        <v>11787.8</v>
      </c>
      <c r="J13" s="62">
        <f ca="1">VLOOKUP($A13,[1]!LOOKUP_SARS_Unified2,J$2,FALSE)</f>
        <v>0.46100000000000002</v>
      </c>
      <c r="K13" s="78">
        <f t="shared" ca="1" si="6"/>
        <v>6044.8163999999997</v>
      </c>
      <c r="L13" s="77">
        <f ca="1">VLOOKUP($A13,[1]!LOOKUP_SARS_Unified2,L$2,FALSE)</f>
        <v>13112.4</v>
      </c>
      <c r="M13" s="76" t="e">
        <f t="shared" ca="1" si="7"/>
        <v>#N/A</v>
      </c>
      <c r="N13" s="1" t="s">
        <v>229</v>
      </c>
      <c r="O13" s="12" t="e">
        <f ca="1">SUMPRODUCT((Competition_Overrun_Dollars&gt;=0)*Competition_Overrun_Dollars*Competition_Full_Open_Single)</f>
        <v>#VALUE!</v>
      </c>
      <c r="P13" s="12" t="e">
        <f ca="1">SUMPRODUCT((Competition_Overrun_Dollars&lt;0)*Competition_Overrun_Dollars*Competition_Full_Open_Single)</f>
        <v>#VALUE!</v>
      </c>
      <c r="Q13" s="37">
        <f ca="1">SUMPRODUCT(Competition_Overrun_Percent,Competition_Full_Open_Single)/SUM(Competition_Full_Open_Single)</f>
        <v>0.16514335327154639</v>
      </c>
      <c r="R13" s="102" t="e">
        <f t="shared" ca="1" si="10"/>
        <v>#VALUE!</v>
      </c>
      <c r="S13" s="79">
        <f ca="1">SUMPRODUCT(Competition_Baseline,Competition_Full_Open_Single)</f>
        <v>7331.6460700996495</v>
      </c>
      <c r="T13" s="79"/>
      <c r="U13" s="133" t="str">
        <f t="shared" si="8"/>
        <v>AMRAAM</v>
      </c>
      <c r="V13" s="19">
        <f t="shared" ca="1" si="9"/>
        <v>1.5873298902254876E-2</v>
      </c>
      <c r="W13" s="37">
        <f t="shared" ca="1" si="2"/>
        <v>0.11916759756952103</v>
      </c>
      <c r="X13" s="19">
        <f t="shared" ca="1" si="3"/>
        <v>0.12723263595412204</v>
      </c>
      <c r="Y13" s="37">
        <f t="shared" ca="1" si="4"/>
        <v>0.13320146773114708</v>
      </c>
      <c r="Z13" s="19">
        <f t="shared" ca="1" si="5"/>
        <v>1.0676781151008432</v>
      </c>
      <c r="AA13" s="75" t="e">
        <f ca="1">M13+'Funding-Bar'!$L$5</f>
        <v>#N/A</v>
      </c>
    </row>
    <row r="14" spans="1:27" s="1" customFormat="1" ht="15" customHeight="1" x14ac:dyDescent="0.25">
      <c r="A14" s="92" t="s">
        <v>213</v>
      </c>
      <c r="B14" s="66">
        <f ca="1">IFERROR(VLOOKUP($A14,[1]!LOOKUP_MDAPs,B$2,FALSE)/$I14,"")</f>
        <v>0</v>
      </c>
      <c r="C14" s="66">
        <f ca="1">IFERROR(VLOOKUP($A14,[1]!LOOKUP_MDAPs,C$2,FALSE)/$I14,"")</f>
        <v>0</v>
      </c>
      <c r="D14" s="66">
        <f ca="1">IFERROR(VLOOKUP($A14,[1]!LOOKUP_MDAPs,D$2,FALSE)/$I14,"")</f>
        <v>0.2778768048039757</v>
      </c>
      <c r="E14" s="66">
        <f ca="1">IFERROR(VLOOKUP($A14,[1]!LOOKUP_MDAPs,E$2,FALSE)/$I14,"")</f>
        <v>0</v>
      </c>
      <c r="F14" s="66">
        <f ca="1">IFERROR(VLOOKUP($A14,[1]!LOOKUP_MDAPs,F$2,FALSE)/$I14,"")</f>
        <v>0</v>
      </c>
      <c r="G14" s="66">
        <f ca="1">IFERROR(VLOOKUP($A14,[1]!LOOKUP_MDAPs,G$2,FALSE)/$I14,"")</f>
        <v>0.25869336974047491</v>
      </c>
      <c r="H14" s="66">
        <f t="shared" ca="1" si="0"/>
        <v>0.46342982545554934</v>
      </c>
      <c r="I14" s="65">
        <f ca="1">IF(VLOOKUP($A14,[1]!LOOKUP_MDAPs,I$2,FALSE)&lt;&gt;0,VLOOKUP($A14,[1]!LOOKUP_MDAPs,I$2,FALSE),"")</f>
        <v>181.1</v>
      </c>
      <c r="J14" s="62">
        <f ca="1">VLOOKUP($A14,[1]!LOOKUP_SARS_Unified2,J$2,FALSE)</f>
        <v>-0.56899999999999995</v>
      </c>
      <c r="K14" s="78">
        <f t="shared" ca="1" si="6"/>
        <v>-2030.5902999999996</v>
      </c>
      <c r="L14" s="77">
        <f ca="1">VLOOKUP($A14,[1]!LOOKUP_SARS_Unified2,L$2,FALSE)</f>
        <v>3568.7</v>
      </c>
      <c r="M14" s="76" t="e">
        <f t="shared" ca="1" si="7"/>
        <v>#N/A</v>
      </c>
      <c r="N14" s="22" t="s">
        <v>233</v>
      </c>
      <c r="O14" s="12" t="e">
        <f ca="1">SUMPRODUCT((Competition_Overrun_Dollars&gt;=0)*Competition_Overrun_Dollars*Competition_Partial_Multiple)</f>
        <v>#VALUE!</v>
      </c>
      <c r="P14" s="12" t="e">
        <f ca="1">SUMPRODUCT((Competition_Overrun_Dollars&lt;0)*Competition_Overrun_Dollars*Competition_Partial_Multiple)</f>
        <v>#VALUE!</v>
      </c>
      <c r="Q14" s="37">
        <f ca="1">SUMPRODUCT(Competition_Overrun_Percent,Competition_Partial_Multiple)/SUM(Competition_Partial_Multiple)</f>
        <v>-0.18369972109524349</v>
      </c>
      <c r="R14" s="102" t="e">
        <f t="shared" ca="1" si="10"/>
        <v>#VALUE!</v>
      </c>
      <c r="S14" s="79">
        <f ca="1">SUMPRODUCT(Competition_Baseline,Competition_Partial_Multiple)</f>
        <v>16420.226378584201</v>
      </c>
      <c r="T14" s="79"/>
      <c r="U14" s="133" t="str">
        <f t="shared" si="8"/>
        <v>ARH</v>
      </c>
      <c r="V14" s="19">
        <f t="shared" ca="1" si="9"/>
        <v>0.13893840240198785</v>
      </c>
      <c r="W14" s="37">
        <f t="shared" ca="1" si="2"/>
        <v>0.53657017454445066</v>
      </c>
      <c r="X14" s="19">
        <f t="shared" ca="1" si="3"/>
        <v>0.81444697934842636</v>
      </c>
      <c r="Y14" s="37">
        <f t="shared" ca="1" si="4"/>
        <v>0.25893798983506094</v>
      </c>
      <c r="Z14" s="19">
        <f t="shared" ca="1" si="5"/>
        <v>1.517875979670122</v>
      </c>
      <c r="AA14" s="75" t="e">
        <f ca="1">M14+'Funding-Bar'!$L$5</f>
        <v>#N/A</v>
      </c>
    </row>
    <row r="15" spans="1:27" s="1" customFormat="1" ht="15" customHeight="1" x14ac:dyDescent="0.25">
      <c r="A15" s="92" t="s">
        <v>214</v>
      </c>
      <c r="B15" s="66">
        <f ca="1">IFERROR(VLOOKUP($A15,[1]!LOOKUP_MDAPs,B$2,FALSE)/$I15,"")</f>
        <v>0</v>
      </c>
      <c r="C15" s="66">
        <f ca="1">IFERROR(VLOOKUP($A15,[1]!LOOKUP_MDAPs,C$2,FALSE)/$I15,"")</f>
        <v>0</v>
      </c>
      <c r="D15" s="66">
        <f ca="1">IFERROR(VLOOKUP($A15,[1]!LOOKUP_MDAPs,D$2,FALSE)/$I15,"")</f>
        <v>0</v>
      </c>
      <c r="E15" s="66">
        <f ca="1">IFERROR(VLOOKUP($A15,[1]!LOOKUP_MDAPs,E$2,FALSE)/$I15,"")</f>
        <v>0</v>
      </c>
      <c r="F15" s="66">
        <f ca="1">IFERROR(VLOOKUP($A15,[1]!LOOKUP_MDAPs,F$2,FALSE)/$I15,"")</f>
        <v>0</v>
      </c>
      <c r="G15" s="66">
        <f ca="1">IFERROR(VLOOKUP($A15,[1]!LOOKUP_MDAPs,G$2,FALSE)/$I15,"")</f>
        <v>0</v>
      </c>
      <c r="H15" s="66">
        <f t="shared" ca="1" si="0"/>
        <v>1</v>
      </c>
      <c r="I15" s="65">
        <f ca="1">IF(VLOOKUP($A15,[1]!LOOKUP_MDAPs,I$2,FALSE)&lt;&gt;0,VLOOKUP($A15,[1]!LOOKUP_MDAPs,I$2,FALSE),"")</f>
        <v>101</v>
      </c>
      <c r="J15" s="62">
        <f ca="1">VLOOKUP($A15,[1]!LOOKUP_SARS_Unified2,J$2,FALSE)</f>
        <v>0.1</v>
      </c>
      <c r="K15" s="78">
        <f t="shared" ca="1" si="6"/>
        <v>196.93</v>
      </c>
      <c r="L15" s="77">
        <f ca="1">VLOOKUP($A15,[1]!LOOKUP_SARS_Unified2,L$2,FALSE)</f>
        <v>1969.3</v>
      </c>
      <c r="M15" s="76" t="e">
        <f t="shared" ca="1" si="7"/>
        <v>#N/A</v>
      </c>
      <c r="N15" s="22" t="s">
        <v>232</v>
      </c>
      <c r="O15" s="12" t="e">
        <f ca="1">SUMPRODUCT((Competition_Overrun_Dollars&gt;=0)*Competition_Overrun_Dollars*Competition_Partial_Single)</f>
        <v>#VALUE!</v>
      </c>
      <c r="P15" s="12" t="e">
        <f ca="1">SUMPRODUCT((Competition_Overrun_Dollars&lt;0)*Competition_Overrun_Dollars*Competition_Partial_Single)</f>
        <v>#VALUE!</v>
      </c>
      <c r="Q15" s="37">
        <f ca="1">SUMPRODUCT(Competition_Overrun_Percent,Competition_Partial_Single)/SUM(Competition_Partial_Single)</f>
        <v>0.22871279916687859</v>
      </c>
      <c r="R15" s="102" t="e">
        <f t="shared" ca="1" si="10"/>
        <v>#VALUE!</v>
      </c>
      <c r="S15" s="79">
        <f ca="1">SUMPRODUCT(Competition_Baseline,Competition_Partial_Single)</f>
        <v>5130.8366309802259</v>
      </c>
      <c r="T15" s="79"/>
      <c r="U15" s="133" t="str">
        <f t="shared" si="8"/>
        <v>ASDS</v>
      </c>
      <c r="V15" s="19">
        <f t="shared" ca="1" si="9"/>
        <v>0</v>
      </c>
      <c r="W15" s="37">
        <f t="shared" ca="1" si="2"/>
        <v>0</v>
      </c>
      <c r="X15" s="19">
        <f t="shared" ca="1" si="3"/>
        <v>0</v>
      </c>
      <c r="Y15" s="37" t="str">
        <f t="shared" ca="1" si="4"/>
        <v/>
      </c>
      <c r="Z15" s="19" t="str">
        <f t="shared" ca="1" si="5"/>
        <v/>
      </c>
      <c r="AA15" s="75" t="e">
        <f ca="1">M15+'Funding-Bar'!$L$5</f>
        <v>#N/A</v>
      </c>
    </row>
    <row r="16" spans="1:27" s="1" customFormat="1" ht="15" customHeight="1" x14ac:dyDescent="0.25">
      <c r="A16" s="92" t="s">
        <v>175</v>
      </c>
      <c r="B16" s="66">
        <f ca="1">IFERROR(VLOOKUP($A16,[1]!LOOKUP_MDAPs,B$2,FALSE)/$I16,"")</f>
        <v>0</v>
      </c>
      <c r="C16" s="66">
        <f ca="1">IFERROR(VLOOKUP($A16,[1]!LOOKUP_MDAPs,C$2,FALSE)/$I16,"")</f>
        <v>0</v>
      </c>
      <c r="D16" s="66">
        <f ca="1">IFERROR(VLOOKUP($A16,[1]!LOOKUP_MDAPs,D$2,FALSE)/$I16,"")</f>
        <v>0</v>
      </c>
      <c r="E16" s="66">
        <f ca="1">IFERROR(VLOOKUP($A16,[1]!LOOKUP_MDAPs,E$2,FALSE)/$I16,"")</f>
        <v>0</v>
      </c>
      <c r="F16" s="66">
        <f ca="1">IFERROR(VLOOKUP($A16,[1]!LOOKUP_MDAPs,F$2,FALSE)/$I16,"")</f>
        <v>0</v>
      </c>
      <c r="G16" s="66">
        <f ca="1">IFERROR(VLOOKUP($A16,[1]!LOOKUP_MDAPs,G$2,FALSE)/$I16,"")</f>
        <v>0</v>
      </c>
      <c r="H16" s="66">
        <f t="shared" ca="1" si="0"/>
        <v>1</v>
      </c>
      <c r="I16" s="65">
        <f ca="1">IF(VLOOKUP($A16,[1]!LOOKUP_MDAPs,I$2,FALSE)&lt;&gt;0,VLOOKUP($A16,[1]!LOOKUP_MDAPs,I$2,FALSE),"")</f>
        <v>508</v>
      </c>
      <c r="J16" s="62">
        <f ca="1">VLOOKUP($A16,[1]!LOOKUP_SARS_Unified2,J$2,FALSE)</f>
        <v>0</v>
      </c>
      <c r="K16" s="78">
        <f t="shared" ca="1" si="6"/>
        <v>0</v>
      </c>
      <c r="L16" s="77">
        <f ca="1">VLOOKUP($A16,[1]!LOOKUP_SARS_Unified2,L$2,FALSE)</f>
        <v>508</v>
      </c>
      <c r="M16" s="76" t="e">
        <f t="shared" ca="1" si="7"/>
        <v>#N/A</v>
      </c>
      <c r="N16" s="1" t="s">
        <v>153</v>
      </c>
      <c r="O16" s="12" t="e">
        <f ca="1">SUMPRODUCT((Competition_Overrun_Dollars&gt;=0)*Competition_Overrun_Dollars*Competition_Partial_Single)</f>
        <v>#VALUE!</v>
      </c>
      <c r="P16" s="12" t="e">
        <f ca="1">SUMPRODUCT((Competition_Overrun_Dollars&lt;0)*Competition_Overrun_Dollars*Competition_Follow_On)</f>
        <v>#VALUE!</v>
      </c>
      <c r="Q16" s="37">
        <f ca="1">SUMPRODUCT(Competition_Overrun_Percent,Competition_Follow_On)/SUM(Competition_Follow_On)</f>
        <v>0.27408643650389619</v>
      </c>
      <c r="R16" s="102" t="e">
        <f t="shared" ca="1" si="10"/>
        <v>#VALUE!</v>
      </c>
      <c r="S16" s="79">
        <f ca="1">SUMPRODUCT(Competition_Baseline,Competition_Follow_On)</f>
        <v>1463.4410179446579</v>
      </c>
      <c r="T16" s="79"/>
      <c r="U16" s="133" t="str">
        <f t="shared" si="8"/>
        <v>ASIP</v>
      </c>
      <c r="V16" s="19">
        <f t="shared" ca="1" si="9"/>
        <v>0</v>
      </c>
      <c r="W16" s="37">
        <f t="shared" ca="1" si="2"/>
        <v>0</v>
      </c>
      <c r="X16" s="19">
        <f t="shared" ca="1" si="3"/>
        <v>0</v>
      </c>
      <c r="Y16" s="37" t="str">
        <f t="shared" ca="1" si="4"/>
        <v/>
      </c>
      <c r="Z16" s="19" t="str">
        <f t="shared" ca="1" si="5"/>
        <v/>
      </c>
      <c r="AA16" s="75" t="e">
        <f ca="1">M16+'Funding-Bar'!$L$5</f>
        <v>#N/A</v>
      </c>
    </row>
    <row r="17" spans="1:27" s="1" customFormat="1" ht="15" customHeight="1" x14ac:dyDescent="0.25">
      <c r="A17" s="92" t="s">
        <v>13</v>
      </c>
      <c r="B17" s="66">
        <f ca="1">IFERROR(VLOOKUP($A17,[1]!LOOKUP_MDAPs,B$2,FALSE)/$I17,"")</f>
        <v>2.4269137772411648E-5</v>
      </c>
      <c r="C17" s="66">
        <f ca="1">IFERROR(VLOOKUP($A17,[1]!LOOKUP_MDAPs,C$2,FALSE)/$I17,"")</f>
        <v>1.3175147235452603E-3</v>
      </c>
      <c r="D17" s="66">
        <f ca="1">IFERROR(VLOOKUP($A17,[1]!LOOKUP_MDAPs,D$2,FALSE)/$I17,"")</f>
        <v>2.7626003327412079E-5</v>
      </c>
      <c r="E17" s="66">
        <f ca="1">IFERROR(VLOOKUP($A17,[1]!LOOKUP_MDAPs,E$2,FALSE)/$I17,"")</f>
        <v>1.3173046322023432E-4</v>
      </c>
      <c r="F17" s="66">
        <f ca="1">IFERROR(VLOOKUP($A17,[1]!LOOKUP_MDAPs,F$2,FALSE)/$I17,"")</f>
        <v>0</v>
      </c>
      <c r="G17" s="66">
        <f ca="1">IFERROR(VLOOKUP($A17,[1]!LOOKUP_MDAPs,G$2,FALSE)/$I17,"")</f>
        <v>1.0913863019476358</v>
      </c>
      <c r="H17" s="66">
        <f t="shared" ca="1" si="0"/>
        <v>-9.2887442275501053E-2</v>
      </c>
      <c r="I17" s="65">
        <f ca="1">IF(VLOOKUP($A17,[1]!LOOKUP_MDAPs,I$2,FALSE)&lt;&gt;0,VLOOKUP($A17,[1]!LOOKUP_MDAPs,I$2,FALSE),"")</f>
        <v>2043.1113154899997</v>
      </c>
      <c r="J17" s="62">
        <f ca="1">VLOOKUP($A17,[1]!LOOKUP_SARS_Unified2,J$2,FALSE)</f>
        <v>-4.4999999999999998E-2</v>
      </c>
      <c r="K17" s="78">
        <f t="shared" ca="1" si="6"/>
        <v>-145.827</v>
      </c>
      <c r="L17" s="77">
        <f ca="1">VLOOKUP($A17,[1]!LOOKUP_SARS_Unified2,L$2,FALSE)</f>
        <v>3240.6</v>
      </c>
      <c r="M17" s="76" t="e">
        <f t="shared" ca="1" si="7"/>
        <v>#N/A</v>
      </c>
      <c r="N17" s="1" t="s">
        <v>230</v>
      </c>
      <c r="O17" s="12" t="e">
        <f ca="1">SUMPRODUCT((Competition_Overrun_Dollars&gt;=0)*Competition_Overrun_Dollars*Competition_None)</f>
        <v>#VALUE!</v>
      </c>
      <c r="P17" s="12" t="e">
        <f ca="1">SUMPRODUCT((Competition_Overrun_Dollars&lt;0)*Competition_Overrun_Dollars*Competition_None)</f>
        <v>#VALUE!</v>
      </c>
      <c r="Q17" s="37">
        <f ca="1">SUMPRODUCT(Competition_Overrun_Percent,Competition_None)/SUM(Competition_None)</f>
        <v>0.1693628751553366</v>
      </c>
      <c r="R17" s="102" t="e">
        <f t="shared" ca="1" si="10"/>
        <v>#VALUE!</v>
      </c>
      <c r="S17" s="79">
        <f ca="1">SUMPRODUCT(Competition_Baseline,Competition_None)</f>
        <v>276734.88711273507</v>
      </c>
      <c r="T17" s="79"/>
      <c r="U17" s="133" t="str">
        <f t="shared" si="8"/>
        <v>ATIRCM/CMWS</v>
      </c>
      <c r="V17" s="19">
        <f t="shared" ca="1" si="9"/>
        <v>1.4214620945914951E-3</v>
      </c>
      <c r="W17" s="37">
        <f t="shared" ca="1" si="2"/>
        <v>1.0928874422755011</v>
      </c>
      <c r="X17" s="19">
        <f t="shared" ca="1" si="3"/>
        <v>1.092939337416601</v>
      </c>
      <c r="Y17" s="37">
        <f t="shared" ca="1" si="4"/>
        <v>1.3006482091439066E-3</v>
      </c>
      <c r="Z17" s="19">
        <f t="shared" ca="1" si="5"/>
        <v>1.0000474844335221</v>
      </c>
      <c r="AA17" s="75" t="e">
        <f ca="1">M17+'Funding-Bar'!$L$5</f>
        <v>#N/A</v>
      </c>
    </row>
    <row r="18" spans="1:27" s="1" customFormat="1" ht="15" customHeight="1" x14ac:dyDescent="0.25">
      <c r="A18" s="92" t="s">
        <v>17</v>
      </c>
      <c r="B18" s="66">
        <f ca="1">IFERROR(VLOOKUP($A18,[1]!LOOKUP_MDAPs,B$2,FALSE)/$I18,"")</f>
        <v>7.870021203286509E-5</v>
      </c>
      <c r="C18" s="66">
        <f ca="1">IFERROR(VLOOKUP($A18,[1]!LOOKUP_MDAPs,C$2,FALSE)/$I18,"")</f>
        <v>1.4842870500927644E-2</v>
      </c>
      <c r="D18" s="66">
        <f ca="1">IFERROR(VLOOKUP($A18,[1]!LOOKUP_MDAPs,D$2,FALSE)/$I18,"")</f>
        <v>1.7081399416909619E-4</v>
      </c>
      <c r="E18" s="66">
        <f ca="1">IFERROR(VLOOKUP($A18,[1]!LOOKUP_MDAPs,E$2,FALSE)/$I18,"")</f>
        <v>2.3753776543864302E-2</v>
      </c>
      <c r="F18" s="66">
        <f ca="1">IFERROR(VLOOKUP($A18,[1]!LOOKUP_MDAPs,F$2,FALSE)/$I18,"")</f>
        <v>0</v>
      </c>
      <c r="G18" s="66">
        <f ca="1">IFERROR(VLOOKUP($A18,[1]!LOOKUP_MDAPs,G$2,FALSE)/$I18,"")</f>
        <v>0.14580147156109197</v>
      </c>
      <c r="H18" s="66">
        <f t="shared" ca="1" si="0"/>
        <v>0.81535236718791415</v>
      </c>
      <c r="I18" s="65">
        <f ca="1">IF(VLOOKUP($A18,[1]!LOOKUP_MDAPs,I$2,FALSE)&lt;&gt;0,VLOOKUP($A18,[1]!LOOKUP_MDAPs,I$2,FALSE),"")</f>
        <v>377.3</v>
      </c>
      <c r="J18" s="62">
        <f ca="1">VLOOKUP($A18,[1]!LOOKUP_SARS_Unified2,J$2,FALSE)</f>
        <v>-0.18</v>
      </c>
      <c r="K18" s="78">
        <f t="shared" ca="1" si="6"/>
        <v>-127.098</v>
      </c>
      <c r="L18" s="77">
        <f ca="1">VLOOKUP($A18,[1]!LOOKUP_SARS_Unified2,L$2,FALSE)</f>
        <v>706.1</v>
      </c>
      <c r="M18" s="76" t="e">
        <f t="shared" ca="1" si="7"/>
        <v>#N/A</v>
      </c>
      <c r="N18" s="1" t="s">
        <v>231</v>
      </c>
      <c r="O18" s="12" t="e">
        <f ca="1">SUMPRODUCT((Competition_Overrun_Dollars&gt;=0)*Competition_Overrun_Dollars*Competition_Unclear)</f>
        <v>#VALUE!</v>
      </c>
      <c r="P18" s="12" t="e">
        <f ca="1">SUMPRODUCT((Competition_Overrun_Dollars&lt;0)*Competition_Overrun_Dollars*Competition_Unclear)</f>
        <v>#VALUE!</v>
      </c>
      <c r="Q18" s="37">
        <f ca="1">SUMPRODUCT(Competition_Overrun_Percent,Competition_Unclear)/SUM(Competition_Unclear)</f>
        <v>0.24647535809072757</v>
      </c>
      <c r="R18" s="102" t="e">
        <f t="shared" ca="1" si="10"/>
        <v>#VALUE!</v>
      </c>
      <c r="S18" s="79">
        <f ca="1">SUMPRODUCT(Competition_Baseline,Competition_Unclear)</f>
        <v>1056320.6166035479</v>
      </c>
      <c r="T18" s="79"/>
      <c r="U18" s="133" t="str">
        <f t="shared" si="8"/>
        <v>B-2 EHF Increment I</v>
      </c>
      <c r="V18" s="19">
        <f t="shared" ca="1" si="9"/>
        <v>2.6883865981977208E-2</v>
      </c>
      <c r="W18" s="37">
        <f t="shared" ca="1" si="2"/>
        <v>0.18464763281208588</v>
      </c>
      <c r="X18" s="19">
        <f t="shared" ca="1" si="3"/>
        <v>0.18489714701828783</v>
      </c>
      <c r="Y18" s="37">
        <f t="shared" ca="1" si="4"/>
        <v>0.14559550844248656</v>
      </c>
      <c r="Z18" s="19">
        <f t="shared" ca="1" si="5"/>
        <v>1.0013512992417068</v>
      </c>
      <c r="AA18" s="75" t="e">
        <f ca="1">M18+'Funding-Bar'!$L$5</f>
        <v>#N/A</v>
      </c>
    </row>
    <row r="19" spans="1:27" s="1" customFormat="1" ht="15" customHeight="1" x14ac:dyDescent="0.25">
      <c r="A19" s="92" t="s">
        <v>30</v>
      </c>
      <c r="B19" s="66">
        <f ca="1">IFERROR(VLOOKUP($A19,[1]!LOOKUP_MDAPs,B$2,FALSE)/$I19,"")</f>
        <v>5.0764967363463602E-5</v>
      </c>
      <c r="C19" s="66">
        <f ca="1">IFERROR(VLOOKUP($A19,[1]!LOOKUP_MDAPs,C$2,FALSE)/$I19,"")</f>
        <v>9.6181260018177311E-3</v>
      </c>
      <c r="D19" s="66">
        <f ca="1">IFERROR(VLOOKUP($A19,[1]!LOOKUP_MDAPs,D$2,FALSE)/$I19,"")</f>
        <v>1.8177311410394118E-8</v>
      </c>
      <c r="E19" s="66">
        <f ca="1">IFERROR(VLOOKUP($A19,[1]!LOOKUP_MDAPs,E$2,FALSE)/$I19,"")</f>
        <v>1.7508238453276047E-4</v>
      </c>
      <c r="F19" s="66">
        <f ca="1">IFERROR(VLOOKUP($A19,[1]!LOOKUP_MDAPs,F$2,FALSE)/$I19,"")</f>
        <v>0</v>
      </c>
      <c r="G19" s="66">
        <f ca="1">IFERROR(VLOOKUP($A19,[1]!LOOKUP_MDAPs,G$2,FALSE)/$I19,"")</f>
        <v>0.73801246354622818</v>
      </c>
      <c r="H19" s="66">
        <f t="shared" ca="1" si="0"/>
        <v>0.25214354492274649</v>
      </c>
      <c r="I19" s="65">
        <f ca="1">IF(VLOOKUP($A19,[1]!LOOKUP_MDAPs,I$2,FALSE)&lt;&gt;0,VLOOKUP($A19,[1]!LOOKUP_MDAPs,I$2,FALSE),"")</f>
        <v>1210.3</v>
      </c>
      <c r="J19" s="62">
        <f ca="1">VLOOKUP($A19,[1]!LOOKUP_SARS_Unified2,J$2,FALSE)</f>
        <v>-9.0999999999999998E-2</v>
      </c>
      <c r="K19" s="78">
        <f t="shared" ca="1" si="6"/>
        <v>-122.70440000000001</v>
      </c>
      <c r="L19" s="77">
        <f ca="1">VLOOKUP($A19,[1]!LOOKUP_SARS_Unified2,L$2,FALSE)</f>
        <v>1348.4</v>
      </c>
      <c r="M19" s="76" t="e">
        <f t="shared" ca="1" si="7"/>
        <v>#N/A</v>
      </c>
      <c r="U19" s="133" t="str">
        <f t="shared" si="8"/>
        <v>B-2 RMP</v>
      </c>
      <c r="V19" s="19">
        <f t="shared" ca="1" si="9"/>
        <v>9.7564412501032795E-3</v>
      </c>
      <c r="W19" s="37">
        <f t="shared" ca="1" si="2"/>
        <v>0.74785645507725351</v>
      </c>
      <c r="X19" s="19">
        <f t="shared" ca="1" si="3"/>
        <v>0.74790723822192839</v>
      </c>
      <c r="Y19" s="37">
        <f t="shared" ca="1" si="4"/>
        <v>1.3045874223410213E-2</v>
      </c>
      <c r="Z19" s="19">
        <f t="shared" ca="1" si="5"/>
        <v>1.0000679049359407</v>
      </c>
      <c r="AA19" s="75" t="e">
        <f ca="1">M19+'Funding-Bar'!$L$5</f>
        <v>#N/A</v>
      </c>
    </row>
    <row r="20" spans="1:27" s="1" customFormat="1" ht="15" customHeight="1" x14ac:dyDescent="0.25">
      <c r="A20" s="92" t="s">
        <v>176</v>
      </c>
      <c r="B20" s="66">
        <f ca="1">IFERROR(VLOOKUP($A20,[1]!LOOKUP_MDAPs,B$2,FALSE)/$I20,"")</f>
        <v>0.28485215565085775</v>
      </c>
      <c r="C20" s="66">
        <f ca="1">IFERROR(VLOOKUP($A20,[1]!LOOKUP_MDAPs,C$2,FALSE)/$I20,"")</f>
        <v>1.9584687184661959E-3</v>
      </c>
      <c r="D20" s="66">
        <f ca="1">IFERROR(VLOOKUP($A20,[1]!LOOKUP_MDAPs,D$2,FALSE)/$I20,"")</f>
        <v>4.2053002648839553E-4</v>
      </c>
      <c r="E20" s="66">
        <f ca="1">IFERROR(VLOOKUP($A20,[1]!LOOKUP_MDAPs,E$2,FALSE)/$I20,"")</f>
        <v>0</v>
      </c>
      <c r="F20" s="66">
        <f ca="1">IFERROR(VLOOKUP($A20,[1]!LOOKUP_MDAPs,F$2,FALSE)/$I20,"")</f>
        <v>-5.1155650857719471E-4</v>
      </c>
      <c r="G20" s="66">
        <f ca="1">IFERROR(VLOOKUP($A20,[1]!LOOKUP_MDAPs,G$2,FALSE)/$I20,"")</f>
        <v>1.2368094418516652E-2</v>
      </c>
      <c r="H20" s="66">
        <f t="shared" ca="1" si="0"/>
        <v>0.70091230769424817</v>
      </c>
      <c r="I20" s="65">
        <f ca="1">IF(VLOOKUP($A20,[1]!LOOKUP_MDAPs,I$2,FALSE)&lt;&gt;0,VLOOKUP($A20,[1]!LOOKUP_MDAPs,I$2,FALSE),"")</f>
        <v>1585.6</v>
      </c>
      <c r="J20" s="62">
        <f ca="1">VLOOKUP($A20,[1]!LOOKUP_SARS_Unified2,J$2,FALSE)</f>
        <v>-1.9</v>
      </c>
      <c r="K20" s="78">
        <f t="shared" ca="1" si="6"/>
        <v>-28827.37</v>
      </c>
      <c r="L20" s="77">
        <f ca="1">VLOOKUP($A20,[1]!LOOKUP_SARS_Unified2,L$2,FALSE)</f>
        <v>15172.3</v>
      </c>
      <c r="M20" s="76" t="e">
        <f t="shared" ca="1" si="7"/>
        <v>#N/A</v>
      </c>
      <c r="U20" s="133" t="str">
        <f t="shared" si="8"/>
        <v>BAMS</v>
      </c>
      <c r="V20" s="19">
        <f t="shared" ca="1" si="9"/>
        <v>0.28702088938256815</v>
      </c>
      <c r="W20" s="37">
        <f t="shared" ca="1" si="2"/>
        <v>0.29959924881432903</v>
      </c>
      <c r="X20" s="19">
        <f t="shared" ca="1" si="3"/>
        <v>0.58487193449167507</v>
      </c>
      <c r="Y20" s="37">
        <f t="shared" ca="1" si="4"/>
        <v>0.95801605150366687</v>
      </c>
      <c r="Z20" s="19">
        <f t="shared" ca="1" si="5"/>
        <v>1.9521809110213704</v>
      </c>
      <c r="AA20" s="75" t="e">
        <f ca="1">M20+'Funding-Bar'!$L$5</f>
        <v>#N/A</v>
      </c>
    </row>
    <row r="21" spans="1:27" s="1" customFormat="1" ht="15" customHeight="1" x14ac:dyDescent="0.25">
      <c r="A21" s="92" t="s">
        <v>28</v>
      </c>
      <c r="B21" s="66">
        <f ca="1">IFERROR(VLOOKUP($A21,[1]!LOOKUP_MDAPs,B$2,FALSE)/$I21,"")</f>
        <v>2.1901391012594456E-2</v>
      </c>
      <c r="C21" s="66">
        <f ca="1">IFERROR(VLOOKUP($A21,[1]!LOOKUP_MDAPs,C$2,FALSE)/$I21,"")</f>
        <v>3.4145156120906806E-3</v>
      </c>
      <c r="D21" s="66">
        <f ca="1">IFERROR(VLOOKUP($A21,[1]!LOOKUP_MDAPs,D$2,FALSE)/$I21,"")</f>
        <v>2.1667836675062974E-3</v>
      </c>
      <c r="E21" s="66">
        <f ca="1">IFERROR(VLOOKUP($A21,[1]!LOOKUP_MDAPs,E$2,FALSE)/$I21,"")</f>
        <v>2.400576926952141E-4</v>
      </c>
      <c r="F21" s="66">
        <f ca="1">IFERROR(VLOOKUP($A21,[1]!LOOKUP_MDAPs,F$2,FALSE)/$I21,"")</f>
        <v>0</v>
      </c>
      <c r="G21" s="66">
        <f ca="1">IFERROR(VLOOKUP($A21,[1]!LOOKUP_MDAPs,G$2,FALSE)/$I21,"")</f>
        <v>0.11569986428715363</v>
      </c>
      <c r="H21" s="66">
        <f t="shared" ca="1" si="0"/>
        <v>0.85657738772795966</v>
      </c>
      <c r="I21" s="65">
        <f ca="1">IF(VLOOKUP($A21,[1]!LOOKUP_MDAPs,I$2,FALSE)&lt;&gt;0,VLOOKUP($A21,[1]!LOOKUP_MDAPs,I$2,FALSE),"")</f>
        <v>1985</v>
      </c>
      <c r="J21" s="62">
        <f ca="1">VLOOKUP($A21,[1]!LOOKUP_SARS_Unified2,J$2,FALSE)</f>
        <v>-8.5000000000000006E-2</v>
      </c>
      <c r="K21" s="78">
        <f t="shared" ca="1" si="6"/>
        <v>-535.52550000000008</v>
      </c>
      <c r="L21" s="77">
        <f ca="1">VLOOKUP($A21,[1]!LOOKUP_SARS_Unified2,L$2,FALSE)</f>
        <v>6300.3</v>
      </c>
      <c r="M21" s="76" t="e">
        <f t="shared" ca="1" si="7"/>
        <v>#N/A</v>
      </c>
      <c r="U21" s="133" t="str">
        <f t="shared" si="8"/>
        <v>C-130AMP</v>
      </c>
      <c r="V21" s="19">
        <f t="shared" ca="1" si="9"/>
        <v>2.6519327304785893E-2</v>
      </c>
      <c r="W21" s="37">
        <f t="shared" ca="1" si="2"/>
        <v>0.14342261227204028</v>
      </c>
      <c r="X21" s="19">
        <f t="shared" ca="1" si="3"/>
        <v>0.16749078695214104</v>
      </c>
      <c r="Y21" s="37">
        <f t="shared" ca="1" si="4"/>
        <v>0.18490339064864278</v>
      </c>
      <c r="Z21" s="19">
        <f t="shared" ca="1" si="5"/>
        <v>1.1678129710428706</v>
      </c>
      <c r="AA21" s="75" t="e">
        <f ca="1">M21+'Funding-Bar'!$L$5</f>
        <v>#N/A</v>
      </c>
    </row>
    <row r="22" spans="1:27" s="1" customFormat="1" ht="15" customHeight="1" x14ac:dyDescent="0.25">
      <c r="A22" s="92" t="s">
        <v>19</v>
      </c>
      <c r="B22" s="66">
        <f ca="1">IFERROR(VLOOKUP($A22,[1]!LOOKUP_MDAPs,B$2,FALSE)/$I22,"")</f>
        <v>5.3276473316635958E-2</v>
      </c>
      <c r="C22" s="66">
        <f ca="1">IFERROR(VLOOKUP($A22,[1]!LOOKUP_MDAPs,C$2,FALSE)/$I22,"")</f>
        <v>4.8046058009563039E-3</v>
      </c>
      <c r="D22" s="66">
        <f ca="1">IFERROR(VLOOKUP($A22,[1]!LOOKUP_MDAPs,D$2,FALSE)/$I22,"")</f>
        <v>1.3091520274885638E-3</v>
      </c>
      <c r="E22" s="66">
        <f ca="1">IFERROR(VLOOKUP($A22,[1]!LOOKUP_MDAPs,E$2,FALSE)/$I22,"")</f>
        <v>6.6576097058640893E-4</v>
      </c>
      <c r="F22" s="66">
        <f ca="1">IFERROR(VLOOKUP($A22,[1]!LOOKUP_MDAPs,F$2,FALSE)/$I22,"")</f>
        <v>2.373736602430088E-2</v>
      </c>
      <c r="G22" s="66">
        <f ca="1">IFERROR(VLOOKUP($A22,[1]!LOOKUP_MDAPs,G$2,FALSE)/$I22,"")</f>
        <v>0.49775854224400207</v>
      </c>
      <c r="H22" s="66">
        <f t="shared" ca="1" si="0"/>
        <v>0.4184480996160298</v>
      </c>
      <c r="I22" s="65">
        <f ca="1">IF(VLOOKUP($A22,[1]!LOOKUP_MDAPs,I$2,FALSE)&lt;&gt;0,VLOOKUP($A22,[1]!LOOKUP_MDAPs,I$2,FALSE),"")</f>
        <v>9662.2000000000007</v>
      </c>
      <c r="J22" s="62">
        <f ca="1">VLOOKUP($A22,[1]!LOOKUP_SARS_Unified2,J$2,FALSE)</f>
        <v>0.312</v>
      </c>
      <c r="K22" s="78">
        <f t="shared" ca="1" si="6"/>
        <v>261.9864</v>
      </c>
      <c r="L22" s="77">
        <f ca="1">VLOOKUP($A22,[1]!LOOKUP_SARS_Unified2,L$2,FALSE)</f>
        <v>839.7</v>
      </c>
      <c r="M22" s="76" t="e">
        <f t="shared" ca="1" si="7"/>
        <v>#N/A</v>
      </c>
      <c r="U22" s="133" t="str">
        <f t="shared" si="8"/>
        <v>C-130J</v>
      </c>
      <c r="V22" s="19">
        <f t="shared" ca="1" si="9"/>
        <v>5.9068535616629746E-2</v>
      </c>
      <c r="W22" s="37">
        <f t="shared" ca="1" si="2"/>
        <v>0.55781453435966932</v>
      </c>
      <c r="X22" s="19">
        <f t="shared" ca="1" si="3"/>
        <v>0.6124001597037938</v>
      </c>
      <c r="Y22" s="37">
        <f t="shared" ca="1" si="4"/>
        <v>0.10589278689992571</v>
      </c>
      <c r="Z22" s="19">
        <f t="shared" ca="1" si="5"/>
        <v>1.0978562263652467</v>
      </c>
      <c r="AA22" s="75" t="e">
        <f ca="1">M22+'Funding-Bar'!$L$5</f>
        <v>#N/A</v>
      </c>
    </row>
    <row r="23" spans="1:27" s="1" customFormat="1" ht="15" customHeight="1" x14ac:dyDescent="0.25">
      <c r="A23" s="92" t="s">
        <v>24</v>
      </c>
      <c r="B23" s="66">
        <f ca="1">IFERROR(VLOOKUP($A23,[1]!LOOKUP_MDAPs,B$2,FALSE)/$I23,"")</f>
        <v>2.540934322815807E-2</v>
      </c>
      <c r="C23" s="66">
        <f ca="1">IFERROR(VLOOKUP($A23,[1]!LOOKUP_MDAPs,C$2,FALSE)/$I23,"")</f>
        <v>2.170556080473764E-2</v>
      </c>
      <c r="D23" s="66">
        <f ca="1">IFERROR(VLOOKUP($A23,[1]!LOOKUP_MDAPs,D$2,FALSE)/$I23,"")</f>
        <v>3.5458134190168998E-4</v>
      </c>
      <c r="E23" s="66">
        <f ca="1">IFERROR(VLOOKUP($A23,[1]!LOOKUP_MDAPs,E$2,FALSE)/$I23,"")</f>
        <v>6.4800234645722235E-4</v>
      </c>
      <c r="F23" s="66">
        <f ca="1">IFERROR(VLOOKUP($A23,[1]!LOOKUP_MDAPs,F$2,FALSE)/$I23,"")</f>
        <v>-1.130961981693103E-4</v>
      </c>
      <c r="G23" s="66">
        <f ca="1">IFERROR(VLOOKUP($A23,[1]!LOOKUP_MDAPs,G$2,FALSE)/$I23,"")</f>
        <v>0.21944786977213568</v>
      </c>
      <c r="H23" s="66">
        <f t="shared" ca="1" si="0"/>
        <v>0.73254773870477896</v>
      </c>
      <c r="I23" s="65">
        <f ca="1">IF(VLOOKUP($A23,[1]!LOOKUP_MDAPs,I$2,FALSE)&lt;&gt;0,VLOOKUP($A23,[1]!LOOKUP_MDAPs,I$2,FALSE),"")</f>
        <v>68422.3</v>
      </c>
      <c r="J23" s="62">
        <f ca="1">VLOOKUP($A23,[1]!LOOKUP_SARS_Unified2,J$2,FALSE)</f>
        <v>0.56399999999999995</v>
      </c>
      <c r="K23" s="78">
        <f t="shared" ca="1" si="6"/>
        <v>23581.911599999999</v>
      </c>
      <c r="L23" s="77">
        <f ca="1">VLOOKUP($A23,[1]!LOOKUP_SARS_Unified2,L$2,FALSE)</f>
        <v>41811.9</v>
      </c>
      <c r="M23" s="76" t="e">
        <f t="shared" ca="1" si="7"/>
        <v>#N/A</v>
      </c>
      <c r="U23" s="133" t="str">
        <f t="shared" si="8"/>
        <v>C-17A</v>
      </c>
      <c r="V23" s="19">
        <f t="shared" ca="1" si="9"/>
        <v>4.7616195877075169E-2</v>
      </c>
      <c r="W23" s="37">
        <f t="shared" ca="1" si="2"/>
        <v>0.26756535749339028</v>
      </c>
      <c r="X23" s="19">
        <f t="shared" ca="1" si="3"/>
        <v>0.29332928206345005</v>
      </c>
      <c r="Y23" s="37">
        <f t="shared" ca="1" si="4"/>
        <v>0.17796098987983316</v>
      </c>
      <c r="Z23" s="19">
        <f t="shared" ca="1" si="5"/>
        <v>1.0962902104047465</v>
      </c>
      <c r="AA23" s="75" t="e">
        <f ca="1">M23+'Funding-Bar'!$L$5</f>
        <v>#N/A</v>
      </c>
    </row>
    <row r="24" spans="1:27" s="1" customFormat="1" ht="15" customHeight="1" x14ac:dyDescent="0.25">
      <c r="A24" s="92" t="s">
        <v>27</v>
      </c>
      <c r="B24" s="66">
        <f ca="1">IFERROR(VLOOKUP($A24,[1]!LOOKUP_MDAPs,B$2,FALSE)/$I24,"")</f>
        <v>1.2210891576313594E-2</v>
      </c>
      <c r="C24" s="66">
        <f ca="1">IFERROR(VLOOKUP($A24,[1]!LOOKUP_MDAPs,C$2,FALSE)/$I24,"")</f>
        <v>1.889710870169586E-4</v>
      </c>
      <c r="D24" s="66">
        <f ca="1">IFERROR(VLOOKUP($A24,[1]!LOOKUP_MDAPs,D$2,FALSE)/$I24,"")</f>
        <v>3.5744175701973862E-4</v>
      </c>
      <c r="E24" s="66">
        <f ca="1">IFERROR(VLOOKUP($A24,[1]!LOOKUP_MDAPs,E$2,FALSE)/$I24,"")</f>
        <v>2.675646371976647E-5</v>
      </c>
      <c r="F24" s="66">
        <f ca="1">IFERROR(VLOOKUP($A24,[1]!LOOKUP_MDAPs,F$2,FALSE)/$I24,"")</f>
        <v>0</v>
      </c>
      <c r="G24" s="66">
        <f ca="1">IFERROR(VLOOKUP($A24,[1]!LOOKUP_MDAPs,G$2,FALSE)/$I24,"")</f>
        <v>0.21179917977203225</v>
      </c>
      <c r="H24" s="66">
        <f t="shared" ca="1" si="0"/>
        <v>0.77541675934389764</v>
      </c>
      <c r="I24" s="65">
        <f ca="1">IF(VLOOKUP($A24,[1]!LOOKUP_MDAPs,I$2,FALSE)&lt;&gt;0,VLOOKUP($A24,[1]!LOOKUP_MDAPs,I$2,FALSE),"")</f>
        <v>3597</v>
      </c>
      <c r="J24" s="62">
        <f ca="1">VLOOKUP($A24,[1]!LOOKUP_SARS_Unified2,J$2,FALSE)</f>
        <v>-3.4000000000000002E-2</v>
      </c>
      <c r="K24" s="78">
        <f t="shared" ca="1" si="6"/>
        <v>-261.5994</v>
      </c>
      <c r="L24" s="77">
        <f ca="1">VLOOKUP($A24,[1]!LOOKUP_SARS_Unified2,L$2,FALSE)</f>
        <v>7694.1</v>
      </c>
      <c r="M24" s="76" t="e">
        <f t="shared" ca="1" si="7"/>
        <v>#N/A</v>
      </c>
      <c r="N24" s="4"/>
      <c r="O24" s="12"/>
      <c r="P24" s="12"/>
      <c r="Q24" s="12"/>
      <c r="U24" s="133" t="str">
        <f t="shared" si="8"/>
        <v>C-5 RERP</v>
      </c>
      <c r="V24" s="19">
        <f t="shared" ca="1" si="9"/>
        <v>1.2591961773700306E-2</v>
      </c>
      <c r="W24" s="37">
        <f t="shared" ca="1" si="2"/>
        <v>0.2245832406561023</v>
      </c>
      <c r="X24" s="19">
        <f t="shared" ca="1" si="3"/>
        <v>0.23715157398943565</v>
      </c>
      <c r="Y24" s="37">
        <f t="shared" ca="1" si="4"/>
        <v>5.6068127509932966E-2</v>
      </c>
      <c r="Z24" s="19">
        <f t="shared" ca="1" si="5"/>
        <v>1.0559629173424336</v>
      </c>
      <c r="AA24" s="75" t="e">
        <f ca="1">M24+'Funding-Bar'!$L$5</f>
        <v>#N/A</v>
      </c>
    </row>
    <row r="25" spans="1:27" s="1" customFormat="1" x14ac:dyDescent="0.25">
      <c r="A25" s="92" t="s">
        <v>250</v>
      </c>
      <c r="B25" s="66">
        <f ca="1">IFERROR(VLOOKUP($A25,[1]!LOOKUP_MDAPs,B$2,FALSE)/$I25,"")</f>
        <v>3.0990504399337923E-5</v>
      </c>
      <c r="C25" s="66">
        <f ca="1">IFERROR(VLOOKUP($A25,[1]!LOOKUP_MDAPs,C$2,FALSE)/$I25,"")</f>
        <v>0</v>
      </c>
      <c r="D25" s="66">
        <f ca="1">IFERROR(VLOOKUP($A25,[1]!LOOKUP_MDAPs,D$2,FALSE)/$I25,"")</f>
        <v>-2.4240613293840925E-4</v>
      </c>
      <c r="E25" s="66">
        <f ca="1">IFERROR(VLOOKUP($A25,[1]!LOOKUP_MDAPs,E$2,FALSE)/$I25,"")</f>
        <v>0</v>
      </c>
      <c r="F25" s="66">
        <f ca="1">IFERROR(VLOOKUP($A25,[1]!LOOKUP_MDAPs,F$2,FALSE)/$I25,"")</f>
        <v>0</v>
      </c>
      <c r="G25" s="66">
        <f ca="1">IFERROR(VLOOKUP($A25,[1]!LOOKUP_MDAPs,G$2,FALSE)/$I25,"")</f>
        <v>0</v>
      </c>
      <c r="H25" s="66">
        <f t="shared" ca="1" si="0"/>
        <v>1.0002114156285391</v>
      </c>
      <c r="I25" s="65">
        <f ca="1">IF(VLOOKUP($A25,[1]!LOOKUP_MDAPs,I$2,FALSE)&lt;&gt;0,VLOOKUP($A25,[1]!LOOKUP_MDAPs,I$2,FALSE),"")</f>
        <v>1147.9000000000001</v>
      </c>
      <c r="J25" s="62">
        <f ca="1">VLOOKUP($A25,[1]!LOOKUP_SARS_Unified2,J$2,FALSE)</f>
        <v>0.21199999999999999</v>
      </c>
      <c r="K25" s="78">
        <f t="shared" ca="1" si="6"/>
        <v>181.53559999999999</v>
      </c>
      <c r="L25" s="77">
        <f ca="1">VLOOKUP($A25,[1]!LOOKUP_SARS_Unified2,L$2,FALSE)</f>
        <v>856.3</v>
      </c>
      <c r="M25" s="76" t="e">
        <f t="shared" ca="1" si="7"/>
        <v>#N/A</v>
      </c>
      <c r="N25" s="4"/>
      <c r="O25" s="12"/>
      <c r="P25" s="12"/>
      <c r="Q25" s="12"/>
      <c r="U25" s="133" t="str">
        <f t="shared" si="8"/>
        <v>C-5 AMP</v>
      </c>
      <c r="V25" s="19">
        <f t="shared" ca="1" si="9"/>
        <v>-9.0212562069866693E-5</v>
      </c>
      <c r="W25" s="37">
        <f t="shared" ca="1" si="2"/>
        <v>-2.1141562853907133E-4</v>
      </c>
      <c r="X25" s="19">
        <f t="shared" ca="1" si="3"/>
        <v>-4.2283125707814266E-4</v>
      </c>
      <c r="Y25" s="37">
        <f t="shared" ca="1" si="4"/>
        <v>0.42670715827990302</v>
      </c>
      <c r="Z25" s="19">
        <f t="shared" ca="1" si="5"/>
        <v>2</v>
      </c>
      <c r="AA25" s="75" t="e">
        <f ca="1">M25+'Funding-Bar'!$L$5</f>
        <v>#N/A</v>
      </c>
    </row>
    <row r="26" spans="1:27" s="1" customFormat="1" x14ac:dyDescent="0.25">
      <c r="A26" s="92" t="s">
        <v>16</v>
      </c>
      <c r="B26" s="66">
        <f ca="1">IFERROR(VLOOKUP($A26,[1]!LOOKUP_MDAPs,B$2,FALSE)/$I26,"")</f>
        <v>2.6240161200866776E-2</v>
      </c>
      <c r="C26" s="66">
        <f ca="1">IFERROR(VLOOKUP($A26,[1]!LOOKUP_MDAPs,C$2,FALSE)/$I26,"")</f>
        <v>1.4091224456208685E-2</v>
      </c>
      <c r="D26" s="66">
        <f ca="1">IFERROR(VLOOKUP($A26,[1]!LOOKUP_MDAPs,D$2,FALSE)/$I26,"")</f>
        <v>2.149651479825548E-4</v>
      </c>
      <c r="E26" s="66">
        <f ca="1">IFERROR(VLOOKUP($A26,[1]!LOOKUP_MDAPs,E$2,FALSE)/$I26,"")</f>
        <v>1.5260964423841788E-2</v>
      </c>
      <c r="F26" s="66">
        <f ca="1">IFERROR(VLOOKUP($A26,[1]!LOOKUP_MDAPs,F$2,FALSE)/$I26,"")</f>
        <v>0</v>
      </c>
      <c r="G26" s="66">
        <f ca="1">IFERROR(VLOOKUP($A26,[1]!LOOKUP_MDAPs,G$2,FALSE)/$I26,"")</f>
        <v>6.6864313849192197E-2</v>
      </c>
      <c r="H26" s="66">
        <f t="shared" ca="1" si="0"/>
        <v>0.87732837092190796</v>
      </c>
      <c r="I26" s="65">
        <f ca="1">IF(VLOOKUP($A26,[1]!LOOKUP_MDAPs,I$2,FALSE)&lt;&gt;0,VLOOKUP($A26,[1]!LOOKUP_MDAPs,I$2,FALSE),"")</f>
        <v>3645.7</v>
      </c>
      <c r="J26" s="62">
        <f ca="1">VLOOKUP($A26,[1]!LOOKUP_SARS_Unified2,J$2,FALSE)</f>
        <v>0.17399999999999999</v>
      </c>
      <c r="K26" s="78">
        <f t="shared" ca="1" si="6"/>
        <v>750.06179999999995</v>
      </c>
      <c r="L26" s="77">
        <f ca="1">VLOOKUP($A26,[1]!LOOKUP_SARS_Unified2,L$2,FALSE)</f>
        <v>4310.7</v>
      </c>
      <c r="M26" s="76" t="e">
        <f t="shared" ca="1" si="7"/>
        <v>#N/A</v>
      </c>
      <c r="N26" s="4"/>
      <c r="O26" s="12"/>
      <c r="P26" s="12"/>
      <c r="Q26" s="12"/>
      <c r="U26" s="133" t="str">
        <f t="shared" si="8"/>
        <v>CEC</v>
      </c>
      <c r="V26" s="19">
        <f t="shared" ca="1" si="9"/>
        <v>4.8069350442987629E-2</v>
      </c>
      <c r="W26" s="37">
        <f t="shared" ca="1" si="2"/>
        <v>0.12267162907809201</v>
      </c>
      <c r="X26" s="19">
        <f t="shared" ca="1" si="3"/>
        <v>0.14912675542694132</v>
      </c>
      <c r="Y26" s="37">
        <f t="shared" ca="1" si="4"/>
        <v>0.39185385246972609</v>
      </c>
      <c r="Z26" s="19">
        <f t="shared" ca="1" si="5"/>
        <v>1.2156580665608356</v>
      </c>
      <c r="AA26" s="75" t="e">
        <f ca="1">M26+'Funding-Bar'!$L$5</f>
        <v>#N/A</v>
      </c>
    </row>
    <row r="27" spans="1:27" s="1" customFormat="1" ht="15" customHeight="1" x14ac:dyDescent="0.25">
      <c r="A27" s="92" t="s">
        <v>22</v>
      </c>
      <c r="B27" s="66">
        <f ca="1">IFERROR(VLOOKUP($A27,[1]!LOOKUP_MDAPs,B$2,FALSE)/$I27,"")</f>
        <v>3.1124790189429255E-4</v>
      </c>
      <c r="C27" s="66">
        <f ca="1">IFERROR(VLOOKUP($A27,[1]!LOOKUP_MDAPs,C$2,FALSE)/$I27,"")</f>
        <v>1.0738871281166459E-3</v>
      </c>
      <c r="D27" s="66">
        <f ca="1">IFERROR(VLOOKUP($A27,[1]!LOOKUP_MDAPs,D$2,FALSE)/$I27,"")</f>
        <v>9.848454283299321E-3</v>
      </c>
      <c r="E27" s="66">
        <f ca="1">IFERROR(VLOOKUP($A27,[1]!LOOKUP_MDAPs,E$2,FALSE)/$I27,"")</f>
        <v>2.6224469592972858E-4</v>
      </c>
      <c r="F27" s="66">
        <f ca="1">IFERROR(VLOOKUP($A27,[1]!LOOKUP_MDAPs,F$2,FALSE)/$I27,"")</f>
        <v>-2.2942395052514053E-5</v>
      </c>
      <c r="G27" s="66">
        <f ca="1">IFERROR(VLOOKUP($A27,[1]!LOOKUP_MDAPs,G$2,FALSE)/$I27,"")</f>
        <v>1.0013759416325874</v>
      </c>
      <c r="H27" s="66">
        <f t="shared" ca="1" si="0"/>
        <v>-1.2848833246774882E-2</v>
      </c>
      <c r="I27" s="65">
        <f ca="1">IF(VLOOKUP($A27,[1]!LOOKUP_MDAPs,I$2,FALSE)&lt;&gt;0,VLOOKUP($A27,[1]!LOOKUP_MDAPs,I$2,FALSE),"")</f>
        <v>9921.8934849199995</v>
      </c>
      <c r="J27" s="62">
        <f ca="1">VLOOKUP($A27,[1]!LOOKUP_SARS_Unified2,J$2,FALSE)</f>
        <v>0.127</v>
      </c>
      <c r="K27" s="78">
        <f t="shared" ca="1" si="6"/>
        <v>1542.7198000000001</v>
      </c>
      <c r="L27" s="77">
        <f ca="1">VLOOKUP($A27,[1]!LOOKUP_SARS_Unified2,L$2,FALSE)</f>
        <v>12147.4</v>
      </c>
      <c r="M27" s="76" t="e">
        <f t="shared" ca="1" si="7"/>
        <v>#N/A</v>
      </c>
      <c r="N27" s="4"/>
      <c r="O27" s="12"/>
      <c r="P27" s="12"/>
      <c r="Q27" s="12"/>
      <c r="U27" s="133" t="str">
        <f t="shared" si="8"/>
        <v>CH-47F</v>
      </c>
      <c r="V27" s="19">
        <f t="shared" ca="1" si="9"/>
        <v>6.4404845196254631E-3</v>
      </c>
      <c r="W27" s="37">
        <f t="shared" ca="1" si="2"/>
        <v>1.0128717756418273</v>
      </c>
      <c r="X27" s="19">
        <f t="shared" ca="1" si="3"/>
        <v>1.0230314778270209</v>
      </c>
      <c r="Y27" s="37">
        <f t="shared" ca="1" si="4"/>
        <v>6.3586375635201363E-3</v>
      </c>
      <c r="Z27" s="19">
        <f t="shared" ca="1" si="5"/>
        <v>1.0100305906725022</v>
      </c>
      <c r="AA27" s="75" t="e">
        <f ca="1">M27+'Funding-Bar'!$L$5</f>
        <v>#N/A</v>
      </c>
    </row>
    <row r="28" spans="1:27" s="1" customFormat="1" ht="15" customHeight="1" x14ac:dyDescent="0.25">
      <c r="A28" s="92" t="s">
        <v>23</v>
      </c>
      <c r="B28" s="66">
        <f ca="1">IFERROR(VLOOKUP($A28,[1]!LOOKUP_MDAPs,B$2,FALSE)/$I28,"")</f>
        <v>0</v>
      </c>
      <c r="C28" s="66">
        <f ca="1">IFERROR(VLOOKUP($A28,[1]!LOOKUP_MDAPs,C$2,FALSE)/$I28,"")</f>
        <v>0</v>
      </c>
      <c r="D28" s="66">
        <f ca="1">IFERROR(VLOOKUP($A28,[1]!LOOKUP_MDAPs,D$2,FALSE)/$I28,"")</f>
        <v>0</v>
      </c>
      <c r="E28" s="66">
        <f ca="1">IFERROR(VLOOKUP($A28,[1]!LOOKUP_MDAPs,E$2,FALSE)/$I28,"")</f>
        <v>0</v>
      </c>
      <c r="F28" s="66">
        <f ca="1">IFERROR(VLOOKUP($A28,[1]!LOOKUP_MDAPs,F$2,FALSE)/$I28,"")</f>
        <v>0</v>
      </c>
      <c r="G28" s="66">
        <f ca="1">IFERROR(VLOOKUP($A28,[1]!LOOKUP_MDAPs,G$2,FALSE)/$I28,"")</f>
        <v>1.2103623053769834E-3</v>
      </c>
      <c r="H28" s="66">
        <f t="shared" ca="1" si="0"/>
        <v>0.99878963769462303</v>
      </c>
      <c r="I28" s="65">
        <f ca="1">IF(VLOOKUP($A28,[1]!LOOKUP_MDAPs,I$2,FALSE)&lt;&gt;0,VLOOKUP($A28,[1]!LOOKUP_MDAPs,I$2,FALSE),"")</f>
        <v>2691.1</v>
      </c>
      <c r="J28" s="62">
        <f ca="1">VLOOKUP($A28,[1]!LOOKUP_SARS_Unified2,J$2,FALSE)</f>
        <v>0.217</v>
      </c>
      <c r="K28" s="78">
        <f t="shared" ca="1" si="6"/>
        <v>4072.2871</v>
      </c>
      <c r="L28" s="77">
        <f ca="1">VLOOKUP($A28,[1]!LOOKUP_SARS_Unified2,L$2,FALSE)</f>
        <v>18766.3</v>
      </c>
      <c r="M28" s="76" t="e">
        <f t="shared" ca="1" si="7"/>
        <v>#N/A</v>
      </c>
      <c r="N28" s="4"/>
      <c r="O28" s="12"/>
      <c r="P28" s="12"/>
      <c r="Q28" s="12"/>
      <c r="U28" s="133" t="str">
        <f t="shared" si="8"/>
        <v>CH-53K</v>
      </c>
      <c r="V28" s="19">
        <f t="shared" ca="1" si="9"/>
        <v>0</v>
      </c>
      <c r="W28" s="37">
        <f t="shared" ca="1" si="2"/>
        <v>1.2103623053769834E-3</v>
      </c>
      <c r="X28" s="19">
        <f t="shared" ca="1" si="3"/>
        <v>1.2103623053769834E-3</v>
      </c>
      <c r="Y28" s="37">
        <f t="shared" ca="1" si="4"/>
        <v>0</v>
      </c>
      <c r="Z28" s="19">
        <f t="shared" ca="1" si="5"/>
        <v>1</v>
      </c>
      <c r="AA28" s="75" t="e">
        <f ca="1">M28+'Funding-Bar'!$L$5</f>
        <v>#N/A</v>
      </c>
    </row>
    <row r="29" spans="1:27" s="1" customFormat="1" ht="15" customHeight="1" x14ac:dyDescent="0.25">
      <c r="A29" s="92" t="s">
        <v>47</v>
      </c>
      <c r="B29" s="66">
        <f ca="1">IFERROR(VLOOKUP($A29,[1]!LOOKUP_MDAPs,B$2,FALSE)/$I29,"")</f>
        <v>0.96350070679735844</v>
      </c>
      <c r="C29" s="66">
        <f ca="1">IFERROR(VLOOKUP($A29,[1]!LOOKUP_MDAPs,C$2,FALSE)/$I29,"")</f>
        <v>0</v>
      </c>
      <c r="D29" s="66">
        <f ca="1">IFERROR(VLOOKUP($A29,[1]!LOOKUP_MDAPs,D$2,FALSE)/$I29,"")</f>
        <v>0</v>
      </c>
      <c r="E29" s="66">
        <f ca="1">IFERROR(VLOOKUP($A29,[1]!LOOKUP_MDAPs,E$2,FALSE)/$I29,"")</f>
        <v>0</v>
      </c>
      <c r="F29" s="66">
        <f ca="1">IFERROR(VLOOKUP($A29,[1]!LOOKUP_MDAPs,F$2,FALSE)/$I29,"")</f>
        <v>0</v>
      </c>
      <c r="G29" s="66">
        <f ca="1">IFERROR(VLOOKUP($A29,[1]!LOOKUP_MDAPs,G$2,FALSE)/$I29,"")</f>
        <v>0</v>
      </c>
      <c r="H29" s="66">
        <f t="shared" ca="1" si="0"/>
        <v>3.6499293202641558E-2</v>
      </c>
      <c r="I29" s="65">
        <f ca="1">IF(VLOOKUP($A29,[1]!LOOKUP_MDAPs,I$2,FALSE)&lt;&gt;0,VLOOKUP($A29,[1]!LOOKUP_MDAPs,I$2,FALSE),"")</f>
        <v>3361.6</v>
      </c>
      <c r="J29" s="62">
        <f ca="1">VLOOKUP($A29,[1]!LOOKUP_SARS_Unified2,J$2,FALSE)</f>
        <v>3.3680000000000003</v>
      </c>
      <c r="K29" s="78">
        <f t="shared" ca="1" si="6"/>
        <v>8185.5872000000008</v>
      </c>
      <c r="L29" s="77">
        <f ca="1">VLOOKUP($A29,[1]!LOOKUP_SARS_Unified2,L$2,FALSE)</f>
        <v>2430.4</v>
      </c>
      <c r="M29" s="76" t="e">
        <f t="shared" ca="1" si="7"/>
        <v>#N/A</v>
      </c>
      <c r="N29" s="4"/>
      <c r="O29" s="12"/>
      <c r="P29" s="12"/>
      <c r="Q29" s="12"/>
      <c r="U29" s="133" t="str">
        <f t="shared" si="8"/>
        <v>CHEM DEMIL-ACWA</v>
      </c>
      <c r="V29" s="19">
        <f t="shared" ca="1" si="9"/>
        <v>0.96350070679735844</v>
      </c>
      <c r="W29" s="37">
        <f t="shared" ca="1" si="2"/>
        <v>0.96350070679735844</v>
      </c>
      <c r="X29" s="19">
        <f t="shared" ca="1" si="3"/>
        <v>1.9270014135947169</v>
      </c>
      <c r="Y29" s="37">
        <f t="shared" ca="1" si="4"/>
        <v>1</v>
      </c>
      <c r="Z29" s="19">
        <f t="shared" ca="1" si="5"/>
        <v>2</v>
      </c>
      <c r="AA29" s="75" t="e">
        <f ca="1">M29+'Funding-Bar'!$L$5</f>
        <v>#N/A</v>
      </c>
    </row>
    <row r="30" spans="1:27" s="1" customFormat="1" ht="15" customHeight="1" x14ac:dyDescent="0.25">
      <c r="A30" s="92" t="s">
        <v>55</v>
      </c>
      <c r="B30" s="66">
        <f ca="1">IFERROR(VLOOKUP($A30,[1]!LOOKUP_MDAPs,B$2,FALSE)/$I30,"")</f>
        <v>1.210352757836921E-2</v>
      </c>
      <c r="C30" s="66">
        <f ca="1">IFERROR(VLOOKUP($A30,[1]!LOOKUP_MDAPs,C$2,FALSE)/$I30,"")</f>
        <v>7.2589980376882191E-4</v>
      </c>
      <c r="D30" s="66">
        <f ca="1">IFERROR(VLOOKUP($A30,[1]!LOOKUP_MDAPs,D$2,FALSE)/$I30,"")</f>
        <v>1.4373109243573181E-3</v>
      </c>
      <c r="E30" s="66">
        <f ca="1">IFERROR(VLOOKUP($A30,[1]!LOOKUP_MDAPs,E$2,FALSE)/$I30,"")</f>
        <v>1.5223686099141117E-3</v>
      </c>
      <c r="F30" s="66">
        <f ca="1">IFERROR(VLOOKUP($A30,[1]!LOOKUP_MDAPs,F$2,FALSE)/$I30,"")</f>
        <v>0</v>
      </c>
      <c r="G30" s="66">
        <f ca="1">IFERROR(VLOOKUP($A30,[1]!LOOKUP_MDAPs,G$2,FALSE)/$I30,"")</f>
        <v>1.4047594290067151E-2</v>
      </c>
      <c r="H30" s="66">
        <f t="shared" ca="1" si="0"/>
        <v>0.97016329879352337</v>
      </c>
      <c r="I30" s="65">
        <f ca="1">IF(VLOOKUP($A30,[1]!LOOKUP_MDAPs,I$2,FALSE)&lt;&gt;0,VLOOKUP($A30,[1]!LOOKUP_MDAPs,I$2,FALSE),"")</f>
        <v>20282.2</v>
      </c>
      <c r="J30" s="62">
        <f ca="1">VLOOKUP($A30,[1]!LOOKUP_SARS_Unified2,J$2,FALSE)</f>
        <v>0.93</v>
      </c>
      <c r="K30" s="78">
        <f t="shared" ca="1" si="6"/>
        <v>11978.307000000001</v>
      </c>
      <c r="L30" s="77">
        <f ca="1">VLOOKUP($A30,[1]!LOOKUP_SARS_Unified2,L$2,FALSE)</f>
        <v>12879.9</v>
      </c>
      <c r="M30" s="76" t="e">
        <f t="shared" ca="1" si="7"/>
        <v>#N/A</v>
      </c>
      <c r="N30" s="4"/>
      <c r="O30" s="12"/>
      <c r="P30" s="12"/>
      <c r="Q30" s="12"/>
      <c r="U30" s="133" t="str">
        <f t="shared" si="8"/>
        <v>CHEM DEMIL-CMA</v>
      </c>
      <c r="V30" s="19">
        <f t="shared" ca="1" si="9"/>
        <v>1.4309267149273747E-2</v>
      </c>
      <c r="W30" s="37">
        <f t="shared" ca="1" si="2"/>
        <v>2.9836701206476614E-2</v>
      </c>
      <c r="X30" s="19">
        <f t="shared" ca="1" si="3"/>
        <v>4.337753970920314E-2</v>
      </c>
      <c r="Y30" s="37">
        <f t="shared" ca="1" si="4"/>
        <v>0.4795860993563073</v>
      </c>
      <c r="Z30" s="19">
        <f t="shared" ca="1" si="5"/>
        <v>1.4538316219685585</v>
      </c>
      <c r="AA30" s="75" t="e">
        <f ca="1">M30+'Funding-Bar'!$L$5</f>
        <v>#N/A</v>
      </c>
    </row>
    <row r="31" spans="1:27" s="1" customFormat="1" ht="15" customHeight="1" x14ac:dyDescent="0.25">
      <c r="A31" s="92" t="s">
        <v>20</v>
      </c>
      <c r="B31" s="66">
        <f ca="1">IFERROR(VLOOKUP($A31,[1]!LOOKUP_MDAPs,B$2,FALSE)/$I31,"")</f>
        <v>0.18880763895138108</v>
      </c>
      <c r="C31" s="66">
        <f ca="1">IFERROR(VLOOKUP($A31,[1]!LOOKUP_MDAPs,C$2,FALSE)/$I31,"")</f>
        <v>1.2324573803274589E-2</v>
      </c>
      <c r="D31" s="66">
        <f ca="1">IFERROR(VLOOKUP($A31,[1]!LOOKUP_MDAPs,D$2,FALSE)/$I31,"")</f>
        <v>1.1226409198850143E-4</v>
      </c>
      <c r="E31" s="66">
        <f ca="1">IFERROR(VLOOKUP($A31,[1]!LOOKUP_MDAPs,E$2,FALSE)/$I31,"")</f>
        <v>8.260029996250469E-6</v>
      </c>
      <c r="F31" s="66">
        <f ca="1">IFERROR(VLOOKUP($A31,[1]!LOOKUP_MDAPs,F$2,FALSE)/$I31,"")</f>
        <v>0</v>
      </c>
      <c r="G31" s="66">
        <f ca="1">IFERROR(VLOOKUP($A31,[1]!LOOKUP_MDAPs,G$2,FALSE)/$I31,"")</f>
        <v>0.42174496194850641</v>
      </c>
      <c r="H31" s="66">
        <f t="shared" ca="1" si="0"/>
        <v>0.37700230117485312</v>
      </c>
      <c r="I31" s="65">
        <f ca="1">IF(VLOOKUP($A31,[1]!LOOKUP_MDAPs,I$2,FALSE)&lt;&gt;0,VLOOKUP($A31,[1]!LOOKUP_MDAPs,I$2,FALSE),"")</f>
        <v>1600.2</v>
      </c>
      <c r="J31" s="62">
        <f ca="1">VLOOKUP($A31,[1]!LOOKUP_SARS_Unified2,J$2,FALSE)</f>
        <v>0.17100000000000001</v>
      </c>
      <c r="K31" s="78">
        <f t="shared" ca="1" si="6"/>
        <v>250.34400000000002</v>
      </c>
      <c r="L31" s="77">
        <f ca="1">VLOOKUP($A31,[1]!LOOKUP_SARS_Unified2,L$2,FALSE)</f>
        <v>1464</v>
      </c>
      <c r="M31" s="76" t="e">
        <f t="shared" ca="1" si="7"/>
        <v>#N/A</v>
      </c>
      <c r="N31" s="4"/>
      <c r="O31" s="12"/>
      <c r="P31" s="12"/>
      <c r="Q31" s="12"/>
      <c r="U31" s="133" t="str">
        <f t="shared" si="8"/>
        <v>Cobra Judy replacement</v>
      </c>
      <c r="V31" s="19">
        <f t="shared" ca="1" si="9"/>
        <v>0.20119247481564806</v>
      </c>
      <c r="W31" s="37">
        <f t="shared" ca="1" si="2"/>
        <v>0.62299769882514688</v>
      </c>
      <c r="X31" s="19">
        <f t="shared" ca="1" si="3"/>
        <v>0.81191760186851636</v>
      </c>
      <c r="Y31" s="37">
        <f t="shared" ca="1" si="4"/>
        <v>0.32294256494856743</v>
      </c>
      <c r="Z31" s="19">
        <f t="shared" ca="1" si="5"/>
        <v>1.3032433400631107</v>
      </c>
      <c r="AA31" s="75" t="e">
        <f ca="1">M31+'Funding-Bar'!$L$5</f>
        <v>#N/A</v>
      </c>
    </row>
    <row r="32" spans="1:27" s="1" customFormat="1" ht="15" customHeight="1" x14ac:dyDescent="0.25">
      <c r="A32" s="92" t="s">
        <v>215</v>
      </c>
      <c r="B32" s="66">
        <f ca="1">IFERROR(VLOOKUP($A32,[1]!LOOKUP_MDAPs,B$2,FALSE)/$I32,"")</f>
        <v>0</v>
      </c>
      <c r="C32" s="66">
        <f ca="1">IFERROR(VLOOKUP($A32,[1]!LOOKUP_MDAPs,C$2,FALSE)/$I32,"")</f>
        <v>0</v>
      </c>
      <c r="D32" s="66">
        <f ca="1">IFERROR(VLOOKUP($A32,[1]!LOOKUP_MDAPs,D$2,FALSE)/$I32,"")</f>
        <v>0</v>
      </c>
      <c r="E32" s="66">
        <f ca="1">IFERROR(VLOOKUP($A32,[1]!LOOKUP_MDAPs,E$2,FALSE)/$I32,"")</f>
        <v>0</v>
      </c>
      <c r="F32" s="66">
        <f ca="1">IFERROR(VLOOKUP($A32,[1]!LOOKUP_MDAPs,F$2,FALSE)/$I32,"")</f>
        <v>0</v>
      </c>
      <c r="G32" s="66">
        <f ca="1">IFERROR(VLOOKUP($A32,[1]!LOOKUP_MDAPs,G$2,FALSE)/$I32,"")</f>
        <v>0</v>
      </c>
      <c r="H32" s="66">
        <f t="shared" ca="1" si="0"/>
        <v>1</v>
      </c>
      <c r="I32" s="65">
        <f ca="1">IF(VLOOKUP($A32,[1]!LOOKUP_MDAPs,I$2,FALSE)&lt;&gt;0,VLOOKUP($A32,[1]!LOOKUP_MDAPs,I$2,FALSE),"")</f>
        <v>2309.6999999999998</v>
      </c>
      <c r="J32" s="62">
        <f ca="1">VLOOKUP($A32,[1]!LOOKUP_SARS_Unified2,J$2,FALSE)</f>
        <v>0.11</v>
      </c>
      <c r="K32" s="78">
        <f t="shared" ca="1" si="6"/>
        <v>5294.7730000000001</v>
      </c>
      <c r="L32" s="77">
        <f ca="1">VLOOKUP($A32,[1]!LOOKUP_SARS_Unified2,L$2,FALSE)</f>
        <v>48134.3</v>
      </c>
      <c r="M32" s="76" t="e">
        <f t="shared" ca="1" si="7"/>
        <v>#N/A</v>
      </c>
      <c r="N32" s="4"/>
      <c r="O32" s="12"/>
      <c r="P32" s="12"/>
      <c r="Q32" s="12"/>
      <c r="U32" s="133" t="str">
        <f t="shared" si="8"/>
        <v>Comanche</v>
      </c>
      <c r="V32" s="19">
        <f t="shared" ca="1" si="9"/>
        <v>0</v>
      </c>
      <c r="W32" s="37">
        <f t="shared" ca="1" si="2"/>
        <v>0</v>
      </c>
      <c r="X32" s="19">
        <f t="shared" ca="1" si="3"/>
        <v>0</v>
      </c>
      <c r="Y32" s="37" t="str">
        <f t="shared" ca="1" si="4"/>
        <v/>
      </c>
      <c r="Z32" s="19" t="str">
        <f t="shared" ca="1" si="5"/>
        <v/>
      </c>
      <c r="AA32" s="75" t="e">
        <f ca="1">M32+'Funding-Bar'!$L$5</f>
        <v>#N/A</v>
      </c>
    </row>
    <row r="33" spans="1:27" s="1" customFormat="1" ht="15" customHeight="1" x14ac:dyDescent="0.25">
      <c r="A33" s="92" t="s">
        <v>11</v>
      </c>
      <c r="B33" s="66">
        <f ca="1">IFERROR(VLOOKUP($A33,[1]!LOOKUP_MDAPs,B$2,FALSE)/$I33,"")</f>
        <v>2.7836642244827348E-2</v>
      </c>
      <c r="C33" s="66">
        <f ca="1">IFERROR(VLOOKUP($A33,[1]!LOOKUP_MDAPs,C$2,FALSE)/$I33,"")</f>
        <v>7.3230700975711023E-3</v>
      </c>
      <c r="D33" s="66">
        <f ca="1">IFERROR(VLOOKUP($A33,[1]!LOOKUP_MDAPs,D$2,FALSE)/$I33,"")</f>
        <v>1.4634508115701337E-2</v>
      </c>
      <c r="E33" s="66">
        <f ca="1">IFERROR(VLOOKUP($A33,[1]!LOOKUP_MDAPs,E$2,FALSE)/$I33,"")</f>
        <v>6.3663414296588481E-5</v>
      </c>
      <c r="F33" s="66">
        <f ca="1">IFERROR(VLOOKUP($A33,[1]!LOOKUP_MDAPs,F$2,FALSE)/$I33,"")</f>
        <v>0</v>
      </c>
      <c r="G33" s="66">
        <f ca="1">IFERROR(VLOOKUP($A33,[1]!LOOKUP_MDAPs,G$2,FALSE)/$I33,"")</f>
        <v>0.30485969455401013</v>
      </c>
      <c r="H33" s="66">
        <f t="shared" ca="1" si="0"/>
        <v>0.6452824215735935</v>
      </c>
      <c r="I33" s="65">
        <f ca="1">IF(VLOOKUP($A33,[1]!LOOKUP_MDAPs,I$2,FALSE)&lt;&gt;0,VLOOKUP($A33,[1]!LOOKUP_MDAPs,I$2,FALSE),"")</f>
        <v>7225.5</v>
      </c>
      <c r="J33" s="62">
        <f ca="1">VLOOKUP($A33,[1]!LOOKUP_SARS_Unified2,J$2,FALSE)</f>
        <v>-2.7000000000000003E-2</v>
      </c>
      <c r="K33" s="78">
        <f t="shared" ca="1" si="6"/>
        <v>-974.21670000000006</v>
      </c>
      <c r="L33" s="77">
        <f ca="1">VLOOKUP($A33,[1]!LOOKUP_SARS_Unified2,L$2,FALSE)</f>
        <v>36082.1</v>
      </c>
      <c r="M33" s="76" t="e">
        <f t="shared" ca="1" si="7"/>
        <v>#N/A</v>
      </c>
      <c r="N33" s="4"/>
      <c r="O33" s="12"/>
      <c r="P33" s="12"/>
      <c r="Q33" s="12"/>
      <c r="U33" s="133" t="str">
        <f t="shared" si="8"/>
        <v>CVN 21</v>
      </c>
      <c r="V33" s="19">
        <f t="shared" ca="1" si="9"/>
        <v>4.2508798107397418E-2</v>
      </c>
      <c r="W33" s="37">
        <f t="shared" ca="1" si="2"/>
        <v>0.3547175784264065</v>
      </c>
      <c r="X33" s="19">
        <f t="shared" ca="1" si="3"/>
        <v>0.39718872878693517</v>
      </c>
      <c r="Y33" s="37">
        <f t="shared" ca="1" si="4"/>
        <v>0.119838431171002</v>
      </c>
      <c r="Z33" s="19">
        <f t="shared" ca="1" si="5"/>
        <v>1.1197322967441834</v>
      </c>
      <c r="AA33" s="75" t="e">
        <f ca="1">M33+'Funding-Bar'!$L$5</f>
        <v>#N/A</v>
      </c>
    </row>
    <row r="34" spans="1:27" s="1" customFormat="1" ht="15" customHeight="1" x14ac:dyDescent="0.25">
      <c r="A34" s="92" t="s">
        <v>32</v>
      </c>
      <c r="B34" s="66">
        <f ca="1">IFERROR(VLOOKUP($A34,[1]!LOOKUP_MDAPs,B$2,FALSE)/$I34,"")</f>
        <v>1.4146369678492851E-2</v>
      </c>
      <c r="C34" s="66">
        <f ca="1">IFERROR(VLOOKUP($A34,[1]!LOOKUP_MDAPs,C$2,FALSE)/$I34,"")</f>
        <v>4.0737477799644003E-3</v>
      </c>
      <c r="D34" s="66">
        <f ca="1">IFERROR(VLOOKUP($A34,[1]!LOOKUP_MDAPs,D$2,FALSE)/$I34,"")</f>
        <v>3.3167862552377584E-10</v>
      </c>
      <c r="E34" s="66">
        <f ca="1">IFERROR(VLOOKUP($A34,[1]!LOOKUP_MDAPs,E$2,FALSE)/$I34,"")</f>
        <v>3.553936472487258E-6</v>
      </c>
      <c r="F34" s="66">
        <f ca="1">IFERROR(VLOOKUP($A34,[1]!LOOKUP_MDAPs,F$2,FALSE)/$I34,"")</f>
        <v>0</v>
      </c>
      <c r="G34" s="66">
        <f ca="1">IFERROR(VLOOKUP($A34,[1]!LOOKUP_MDAPs,G$2,FALSE)/$I34,"")</f>
        <v>0.37689374061625885</v>
      </c>
      <c r="H34" s="66">
        <f t="shared" ca="1" si="0"/>
        <v>0.60488258765713276</v>
      </c>
      <c r="I34" s="65">
        <f ca="1">IF(VLOOKUP($A34,[1]!LOOKUP_MDAPs,I$2,FALSE)&lt;&gt;0,VLOOKUP($A34,[1]!LOOKUP_MDAPs,I$2,FALSE),"")</f>
        <v>18089.8</v>
      </c>
      <c r="J34" s="62">
        <f ca="1">VLOOKUP($A34,[1]!LOOKUP_SARS_Unified2,J$2,FALSE)</f>
        <v>0.222</v>
      </c>
      <c r="K34" s="78">
        <f t="shared" ca="1" si="6"/>
        <v>8057.7786000000006</v>
      </c>
      <c r="L34" s="77">
        <f ca="1">VLOOKUP($A34,[1]!LOOKUP_SARS_Unified2,L$2,FALSE)</f>
        <v>36296.300000000003</v>
      </c>
      <c r="M34" s="76" t="e">
        <f t="shared" ca="1" si="7"/>
        <v>#N/A</v>
      </c>
      <c r="N34" s="4"/>
      <c r="O34" s="12"/>
      <c r="P34" s="12"/>
      <c r="Q34" s="12"/>
      <c r="U34" s="133" t="str">
        <f t="shared" si="8"/>
        <v>DDG 1000</v>
      </c>
      <c r="V34" s="19">
        <f t="shared" ca="1" si="9"/>
        <v>1.8221894592532806E-2</v>
      </c>
      <c r="W34" s="37">
        <f t="shared" ca="1" si="2"/>
        <v>0.39511741234286724</v>
      </c>
      <c r="X34" s="19">
        <f t="shared" ca="1" si="3"/>
        <v>0.40926378235303867</v>
      </c>
      <c r="Y34" s="37">
        <f t="shared" ca="1" si="4"/>
        <v>4.6117670402033732E-2</v>
      </c>
      <c r="Z34" s="19">
        <f t="shared" ca="1" si="5"/>
        <v>1.0358029526623236</v>
      </c>
      <c r="AA34" s="75" t="e">
        <f ca="1">M34+'Funding-Bar'!$L$5</f>
        <v>#N/A</v>
      </c>
    </row>
    <row r="35" spans="1:27" s="1" customFormat="1" ht="15" customHeight="1" x14ac:dyDescent="0.25">
      <c r="A35" s="92" t="s">
        <v>51</v>
      </c>
      <c r="B35" s="66">
        <f ca="1">IFERROR(VLOOKUP($A35,[1]!LOOKUP_MDAPs,B$2,FALSE)/$I35,"")</f>
        <v>3.7749529485584771E-2</v>
      </c>
      <c r="C35" s="66">
        <f ca="1">IFERROR(VLOOKUP($A35,[1]!LOOKUP_MDAPs,C$2,FALSE)/$I35,"")</f>
        <v>3.45838387566565E-3</v>
      </c>
      <c r="D35" s="66">
        <f ca="1">IFERROR(VLOOKUP($A35,[1]!LOOKUP_MDAPs,D$2,FALSE)/$I35,"")</f>
        <v>2.1005498998998111E-2</v>
      </c>
      <c r="E35" s="66">
        <f ca="1">IFERROR(VLOOKUP($A35,[1]!LOOKUP_MDAPs,E$2,FALSE)/$I35,"")</f>
        <v>3.3869732013616215E-4</v>
      </c>
      <c r="F35" s="66">
        <f ca="1">IFERROR(VLOOKUP($A35,[1]!LOOKUP_MDAPs,F$2,FALSE)/$I35,"")</f>
        <v>3.4857706932498769E-6</v>
      </c>
      <c r="G35" s="66">
        <f ca="1">IFERROR(VLOOKUP($A35,[1]!LOOKUP_MDAPs,G$2,FALSE)/$I35,"")</f>
        <v>1.7668309218985392E-2</v>
      </c>
      <c r="H35" s="66">
        <f t="shared" ca="1" si="0"/>
        <v>0.91977609532993665</v>
      </c>
      <c r="I35" s="65">
        <f ca="1">IF(VLOOKUP($A35,[1]!LOOKUP_MDAPs,I$2,FALSE)&lt;&gt;0,VLOOKUP($A35,[1]!LOOKUP_MDAPs,I$2,FALSE),"")</f>
        <v>67772.100000000006</v>
      </c>
      <c r="J35" s="62">
        <f ca="1">VLOOKUP($A35,[1]!LOOKUP_SARS_Unified2,J$2,FALSE)</f>
        <v>0.23600000000000002</v>
      </c>
      <c r="K35" s="78">
        <f t="shared" ca="1" si="6"/>
        <v>4747.7300000000005</v>
      </c>
      <c r="L35" s="77">
        <f ca="1">VLOOKUP($A35,[1]!LOOKUP_SARS_Unified2,L$2,FALSE)</f>
        <v>20117.5</v>
      </c>
      <c r="M35" s="76" t="e">
        <f t="shared" ca="1" si="7"/>
        <v>#N/A</v>
      </c>
      <c r="N35" s="4"/>
      <c r="O35" s="12"/>
      <c r="P35" s="12"/>
      <c r="Q35" s="12"/>
      <c r="U35" s="133" t="str">
        <f t="shared" si="8"/>
        <v>DDG 51</v>
      </c>
      <c r="V35" s="19">
        <f t="shared" ca="1" si="9"/>
        <v>5.1880011520817559E-2</v>
      </c>
      <c r="W35" s="37">
        <f t="shared" ca="1" si="2"/>
        <v>8.022041889937008E-2</v>
      </c>
      <c r="X35" s="19">
        <f t="shared" ca="1" si="3"/>
        <v>0.13897544738395295</v>
      </c>
      <c r="Y35" s="37">
        <f t="shared" ca="1" si="4"/>
        <v>0.64671828236021511</v>
      </c>
      <c r="Z35" s="19">
        <f t="shared" ca="1" si="5"/>
        <v>1.7324198662972108</v>
      </c>
      <c r="AA35" s="75" t="e">
        <f ca="1">M35+'Funding-Bar'!$L$5</f>
        <v>#N/A</v>
      </c>
    </row>
    <row r="36" spans="1:27" s="1" customFormat="1" ht="15" customHeight="1" x14ac:dyDescent="0.25">
      <c r="A36" s="92" t="s">
        <v>216</v>
      </c>
      <c r="B36" s="66">
        <f ca="1">IFERROR(VLOOKUP($A36,[1]!LOOKUP_MDAPs,B$2,FALSE)/$I36,"")</f>
        <v>3.917594671837709E-2</v>
      </c>
      <c r="C36" s="66">
        <f ca="1">IFERROR(VLOOKUP($A36,[1]!LOOKUP_MDAPs,C$2,FALSE)/$I36,"")</f>
        <v>0.28203549570405728</v>
      </c>
      <c r="D36" s="66">
        <f ca="1">IFERROR(VLOOKUP($A36,[1]!LOOKUP_MDAPs,D$2,FALSE)/$I36,"")</f>
        <v>3.8186217183770886E-3</v>
      </c>
      <c r="E36" s="66">
        <f ca="1">IFERROR(VLOOKUP($A36,[1]!LOOKUP_MDAPs,E$2,FALSE)/$I36,"")</f>
        <v>0</v>
      </c>
      <c r="F36" s="66">
        <f ca="1">IFERROR(VLOOKUP($A36,[1]!LOOKUP_MDAPs,F$2,FALSE)/$I36,"")</f>
        <v>0</v>
      </c>
      <c r="G36" s="66">
        <f ca="1">IFERROR(VLOOKUP($A36,[1]!LOOKUP_MDAPs,G$2,FALSE)/$I36,"")</f>
        <v>2.2149528281622911E-2</v>
      </c>
      <c r="H36" s="66">
        <f t="shared" ca="1" si="0"/>
        <v>0.65282040757756565</v>
      </c>
      <c r="I36" s="65">
        <f ca="1">IF(VLOOKUP($A36,[1]!LOOKUP_MDAPs,I$2,FALSE)&lt;&gt;0,VLOOKUP($A36,[1]!LOOKUP_MDAPs,I$2,FALSE),"")</f>
        <v>167.6</v>
      </c>
      <c r="J36" s="62">
        <f ca="1">VLOOKUP($A36,[1]!LOOKUP_SARS_Unified2,J$2,FALSE)</f>
        <v>-0.11199999999999999</v>
      </c>
      <c r="K36" s="78">
        <f t="shared" ca="1" si="6"/>
        <v>-103.29759999999999</v>
      </c>
      <c r="L36" s="77">
        <f ca="1">VLOOKUP($A36,[1]!LOOKUP_SARS_Unified2,L$2,FALSE)</f>
        <v>922.3</v>
      </c>
      <c r="M36" s="76" t="e">
        <f t="shared" ca="1" si="7"/>
        <v>#N/A</v>
      </c>
      <c r="N36" s="4"/>
      <c r="O36" s="12"/>
      <c r="P36" s="12"/>
      <c r="Q36" s="12"/>
      <c r="U36" s="133" t="str">
        <f t="shared" si="8"/>
        <v>DIMHRS</v>
      </c>
      <c r="V36" s="19">
        <f t="shared" ca="1" si="9"/>
        <v>0.32312075328162293</v>
      </c>
      <c r="W36" s="37">
        <f t="shared" ca="1" si="2"/>
        <v>0.3471795924224344</v>
      </c>
      <c r="X36" s="19">
        <f t="shared" ca="1" si="3"/>
        <v>0.39017416085918855</v>
      </c>
      <c r="Y36" s="37">
        <f t="shared" ca="1" si="4"/>
        <v>0.93070203529838347</v>
      </c>
      <c r="Z36" s="19">
        <f t="shared" ca="1" si="5"/>
        <v>1.1238395613542862</v>
      </c>
      <c r="AA36" s="75" t="e">
        <f ca="1">M36+'Funding-Bar'!$L$5</f>
        <v>#N/A</v>
      </c>
    </row>
    <row r="37" spans="1:27" s="1" customFormat="1" ht="15" customHeight="1" x14ac:dyDescent="0.25">
      <c r="A37" s="92" t="s">
        <v>8</v>
      </c>
      <c r="B37" s="66">
        <f ca="1">IFERROR(VLOOKUP($A37,[1]!LOOKUP_MDAPs,B$2,FALSE)/$I37,"")</f>
        <v>7.1389019949929583E-3</v>
      </c>
      <c r="C37" s="66">
        <f ca="1">IFERROR(VLOOKUP($A37,[1]!LOOKUP_MDAPs,C$2,FALSE)/$I37,"")</f>
        <v>5.5545467454232514E-3</v>
      </c>
      <c r="D37" s="66">
        <f ca="1">IFERROR(VLOOKUP($A37,[1]!LOOKUP_MDAPs,D$2,FALSE)/$I37,"")</f>
        <v>4.2023470505398213E-5</v>
      </c>
      <c r="E37" s="66">
        <f ca="1">IFERROR(VLOOKUP($A37,[1]!LOOKUP_MDAPs,E$2,FALSE)/$I37,"")</f>
        <v>0</v>
      </c>
      <c r="F37" s="66">
        <f ca="1">IFERROR(VLOOKUP($A37,[1]!LOOKUP_MDAPs,F$2,FALSE)/$I37,"")</f>
        <v>0</v>
      </c>
      <c r="G37" s="66">
        <f ca="1">IFERROR(VLOOKUP($A37,[1]!LOOKUP_MDAPs,G$2,FALSE)/$I37,"")</f>
        <v>0.16834271440932563</v>
      </c>
      <c r="H37" s="66">
        <f t="shared" ca="1" si="0"/>
        <v>0.81892181337975278</v>
      </c>
      <c r="I37" s="65">
        <f ca="1">IF(VLOOKUP($A37,[1]!LOOKUP_MDAPs,I$2,FALSE)&lt;&gt;0,VLOOKUP($A37,[1]!LOOKUP_MDAPs,I$2,FALSE),"")</f>
        <v>6391</v>
      </c>
      <c r="J37" s="62">
        <f ca="1">VLOOKUP($A37,[1]!LOOKUP_SARS_Unified2,J$2,FALSE)</f>
        <v>0.09</v>
      </c>
      <c r="K37" s="78">
        <f t="shared" ca="1" si="6"/>
        <v>1712.826</v>
      </c>
      <c r="L37" s="77">
        <f ca="1">VLOOKUP($A37,[1]!LOOKUP_SARS_Unified2,L$2,FALSE)</f>
        <v>19031.400000000001</v>
      </c>
      <c r="M37" s="76" t="e">
        <f t="shared" ca="1" si="7"/>
        <v>#N/A</v>
      </c>
      <c r="N37" s="4"/>
      <c r="O37" s="12"/>
      <c r="P37" s="12"/>
      <c r="Q37" s="12"/>
      <c r="U37" s="133" t="str">
        <f t="shared" si="8"/>
        <v>E-2D AHE</v>
      </c>
      <c r="V37" s="19">
        <f t="shared" ca="1" si="9"/>
        <v>1.2714460475668909E-2</v>
      </c>
      <c r="W37" s="37">
        <f t="shared" ca="1" si="2"/>
        <v>0.18107818662024724</v>
      </c>
      <c r="X37" s="19">
        <f t="shared" ca="1" si="3"/>
        <v>0.18825911208574558</v>
      </c>
      <c r="Y37" s="37">
        <f t="shared" ca="1" si="4"/>
        <v>7.0215307061437304E-2</v>
      </c>
      <c r="Z37" s="19">
        <f t="shared" ca="1" si="5"/>
        <v>1.039656490930948</v>
      </c>
      <c r="AA37" s="75" t="e">
        <f ca="1">M37+'Funding-Bar'!$L$5</f>
        <v>#N/A</v>
      </c>
    </row>
    <row r="38" spans="1:27" s="1" customFormat="1" ht="15" customHeight="1" x14ac:dyDescent="0.25">
      <c r="A38" s="92" t="s">
        <v>15</v>
      </c>
      <c r="B38" s="66">
        <f ca="1">IFERROR(VLOOKUP($A38,[1]!LOOKUP_MDAPs,B$2,FALSE)/$I38,"")</f>
        <v>6.2909986443741529E-3</v>
      </c>
      <c r="C38" s="66">
        <f ca="1">IFERROR(VLOOKUP($A38,[1]!LOOKUP_MDAPs,C$2,FALSE)/$I38,"")</f>
        <v>6.4124392227745146E-4</v>
      </c>
      <c r="D38" s="66">
        <f ca="1">IFERROR(VLOOKUP($A38,[1]!LOOKUP_MDAPs,D$2,FALSE)/$I38,"")</f>
        <v>4.9258563262539535E-4</v>
      </c>
      <c r="E38" s="66">
        <f ca="1">IFERROR(VLOOKUP($A38,[1]!LOOKUP_MDAPs,E$2,FALSE)/$I38,"")</f>
        <v>3.2310777225485767E-5</v>
      </c>
      <c r="F38" s="66">
        <f ca="1">IFERROR(VLOOKUP($A38,[1]!LOOKUP_MDAPs,F$2,FALSE)/$I38,"")</f>
        <v>0</v>
      </c>
      <c r="G38" s="66">
        <f ca="1">IFERROR(VLOOKUP($A38,[1]!LOOKUP_MDAPs,G$2,FALSE)/$I38,"")</f>
        <v>0.10133083901152283</v>
      </c>
      <c r="H38" s="66">
        <f t="shared" ca="1" si="0"/>
        <v>0.89121202201197469</v>
      </c>
      <c r="I38" s="65">
        <f ca="1">IF(VLOOKUP($A38,[1]!LOOKUP_MDAPs,I$2,FALSE)&lt;&gt;0,VLOOKUP($A38,[1]!LOOKUP_MDAPs,I$2,FALSE),"")</f>
        <v>8852</v>
      </c>
      <c r="J38" s="62">
        <f ca="1">VLOOKUP($A38,[1]!LOOKUP_SARS_Unified2,J$2,FALSE)</f>
        <v>2.7000000000000003E-2</v>
      </c>
      <c r="K38" s="78">
        <f t="shared" ca="1" si="6"/>
        <v>233.18280000000001</v>
      </c>
      <c r="L38" s="77">
        <f ca="1">VLOOKUP($A38,[1]!LOOKUP_SARS_Unified2,L$2,FALSE)</f>
        <v>8636.4</v>
      </c>
      <c r="M38" s="76" t="e">
        <f t="shared" ca="1" si="7"/>
        <v>#N/A</v>
      </c>
      <c r="N38" s="4"/>
      <c r="O38" s="12"/>
      <c r="P38" s="12"/>
      <c r="Q38" s="12"/>
      <c r="U38" s="133" t="str">
        <f t="shared" si="8"/>
        <v>EA-18G</v>
      </c>
      <c r="V38" s="19">
        <f t="shared" ca="1" si="9"/>
        <v>7.1946907715770446E-3</v>
      </c>
      <c r="W38" s="37">
        <f t="shared" ca="1" si="2"/>
        <v>0.10878797798802531</v>
      </c>
      <c r="X38" s="19">
        <f t="shared" ca="1" si="3"/>
        <v>0.11557156226502487</v>
      </c>
      <c r="Y38" s="37">
        <f t="shared" ca="1" si="4"/>
        <v>6.6134980212326319E-2</v>
      </c>
      <c r="Z38" s="19">
        <f t="shared" ca="1" si="5"/>
        <v>1.0623560103097629</v>
      </c>
      <c r="AA38" s="75" t="e">
        <f ca="1">M38+'Funding-Bar'!$L$5</f>
        <v>#N/A</v>
      </c>
    </row>
    <row r="39" spans="1:27" s="1" customFormat="1" ht="15" customHeight="1" x14ac:dyDescent="0.25">
      <c r="A39" s="92" t="s">
        <v>26</v>
      </c>
      <c r="B39" s="66">
        <f ca="1">IFERROR(VLOOKUP($A39,[1]!LOOKUP_MDAPs,B$2,FALSE)/$I39,"")</f>
        <v>1.0900551597789528E-2</v>
      </c>
      <c r="C39" s="66">
        <f ca="1">IFERROR(VLOOKUP($A39,[1]!LOOKUP_MDAPs,C$2,FALSE)/$I39,"")</f>
        <v>9.0952386773185975E-4</v>
      </c>
      <c r="D39" s="66">
        <f ca="1">IFERROR(VLOOKUP($A39,[1]!LOOKUP_MDAPs,D$2,FALSE)/$I39,"")</f>
        <v>7.1686067906054788E-3</v>
      </c>
      <c r="E39" s="66">
        <f ca="1">IFERROR(VLOOKUP($A39,[1]!LOOKUP_MDAPs,E$2,FALSE)/$I39,"")</f>
        <v>7.5984656715521385E-4</v>
      </c>
      <c r="F39" s="66">
        <f ca="1">IFERROR(VLOOKUP($A39,[1]!LOOKUP_MDAPs,F$2,FALSE)/$I39,"")</f>
        <v>1.6010400949062953E-3</v>
      </c>
      <c r="G39" s="66">
        <f ca="1">IFERROR(VLOOKUP($A39,[1]!LOOKUP_MDAPs,G$2,FALSE)/$I39,"")</f>
        <v>8.0510335313551187E-2</v>
      </c>
      <c r="H39" s="66">
        <f t="shared" ref="H39:H70" ca="1" si="11">1-SUM(B39:G39)</f>
        <v>0.89815009576826044</v>
      </c>
      <c r="I39" s="65">
        <f ca="1">IF(VLOOKUP($A39,[1]!LOOKUP_MDAPs,I$2,FALSE)&lt;&gt;0,VLOOKUP($A39,[1]!LOOKUP_MDAPs,I$2,FALSE),"")</f>
        <v>3329.6</v>
      </c>
      <c r="J39" s="62">
        <f ca="1">VLOOKUP($A39,[1]!LOOKUP_SARS_Unified2,J$2,FALSE)</f>
        <v>3.395</v>
      </c>
      <c r="K39" s="78">
        <f t="shared" ca="1" si="6"/>
        <v>29622.054000000004</v>
      </c>
      <c r="L39" s="77">
        <f ca="1">VLOOKUP($A39,[1]!LOOKUP_SARS_Unified2,L$2,FALSE)</f>
        <v>8725.2000000000007</v>
      </c>
      <c r="M39" s="76" t="e">
        <f t="shared" ref="M39:M74" ca="1" si="12">(VLOOKUP($B$5,$N$53:$O$59,2,FALSE)*$B39+VLOOKUP($C$5,$N$53:$O$59,2,FALSE)*$C39+VLOOKUP($D$5,$N$53:$O$59,2,FALSE)*$D39+VLOOKUP($E$5,$N$53:$O$59,2,FALSE)*$E39+VLOOKUP($G$5,$N$53:$O$59,2,FALSE)*$G39+VLOOKUP($F$5,$N$53:$O$59,2,FALSE)*$F39)/(1-$H39)</f>
        <v>#N/A</v>
      </c>
      <c r="N39" s="4"/>
      <c r="O39" s="12"/>
      <c r="P39" s="12"/>
      <c r="Q39" s="12"/>
      <c r="U39" s="133" t="str">
        <f t="shared" si="8"/>
        <v>EFV</v>
      </c>
      <c r="V39" s="19">
        <f t="shared" ref="V39:V70" ca="1" si="13">SUMPRODUCT($B39:$H39,$B$3:$H$3)</f>
        <v>1.5774302144401734E-2</v>
      </c>
      <c r="W39" s="37">
        <f t="shared" ref="W39:W70" ca="1" si="14">SUMPRODUCT($B39:$H39,$B$4:$H$4)</f>
        <v>0.10024886413683326</v>
      </c>
      <c r="X39" s="19">
        <f t="shared" ref="X39:X70" ca="1" si="15">(B39+D39)*2+C39+E39+G39</f>
        <v>0.11831802252522827</v>
      </c>
      <c r="Y39" s="37">
        <f t="shared" ref="Y39:Y70" ca="1" si="16">IFERROR(V39/W39,"")</f>
        <v>0.15735143016554107</v>
      </c>
      <c r="Z39" s="19">
        <f t="shared" ref="Z39:Z70" ca="1" si="17">IFERROR(X39/W39,"")</f>
        <v>1.1802430236389689</v>
      </c>
      <c r="AA39" s="75" t="e">
        <f ca="1">M39+'Funding-Bar'!$L$5</f>
        <v>#N/A</v>
      </c>
    </row>
    <row r="40" spans="1:27" s="1" customFormat="1" ht="15" customHeight="1" x14ac:dyDescent="0.25">
      <c r="A40" s="92" t="s">
        <v>180</v>
      </c>
      <c r="B40" s="66">
        <f ca="1">IFERROR(VLOOKUP($A40,[1]!LOOKUP_MDAPs,B$2,FALSE)/$I40,"")</f>
        <v>0</v>
      </c>
      <c r="C40" s="66">
        <f ca="1">IFERROR(VLOOKUP($A40,[1]!LOOKUP_MDAPs,C$2,FALSE)/$I40,"")</f>
        <v>0</v>
      </c>
      <c r="D40" s="66">
        <f ca="1">IFERROR(VLOOKUP($A40,[1]!LOOKUP_MDAPs,D$2,FALSE)/$I40,"")</f>
        <v>0</v>
      </c>
      <c r="E40" s="66">
        <f ca="1">IFERROR(VLOOKUP($A40,[1]!LOOKUP_MDAPs,E$2,FALSE)/$I40,"")</f>
        <v>0</v>
      </c>
      <c r="F40" s="66">
        <f ca="1">IFERROR(VLOOKUP($A40,[1]!LOOKUP_MDAPs,F$2,FALSE)/$I40,"")</f>
        <v>0</v>
      </c>
      <c r="G40" s="66">
        <f ca="1">IFERROR(VLOOKUP($A40,[1]!LOOKUP_MDAPs,G$2,FALSE)/$I40,"")</f>
        <v>0</v>
      </c>
      <c r="H40" s="66">
        <f t="shared" ca="1" si="11"/>
        <v>1</v>
      </c>
      <c r="I40" s="65">
        <f ca="1">IF(VLOOKUP($A40,[1]!LOOKUP_MDAPs,I$2,FALSE)&lt;&gt;0,VLOOKUP($A40,[1]!LOOKUP_MDAPs,I$2,FALSE),"")</f>
        <v>1182.4000000000001</v>
      </c>
      <c r="J40" s="62">
        <f ca="1">VLOOKUP($A40,[1]!LOOKUP_SARS_Unified2,J$2,FALSE)</f>
        <v>-0.19500000000000001</v>
      </c>
      <c r="K40" s="78">
        <f t="shared" ca="1" si="6"/>
        <v>-640.38</v>
      </c>
      <c r="L40" s="77">
        <f ca="1">VLOOKUP($A40,[1]!LOOKUP_SARS_Unified2,L$2,FALSE)</f>
        <v>3284</v>
      </c>
      <c r="M40" s="76" t="e">
        <f t="shared" ca="1" si="12"/>
        <v>#N/A</v>
      </c>
      <c r="N40" s="4"/>
      <c r="O40" s="12"/>
      <c r="P40" s="12"/>
      <c r="Q40" s="12"/>
      <c r="U40" s="133" t="str">
        <f t="shared" si="8"/>
        <v>E-IBCT</v>
      </c>
      <c r="V40" s="19">
        <f t="shared" ca="1" si="13"/>
        <v>0</v>
      </c>
      <c r="W40" s="37">
        <f t="shared" ca="1" si="14"/>
        <v>0</v>
      </c>
      <c r="X40" s="19">
        <f t="shared" ca="1" si="15"/>
        <v>0</v>
      </c>
      <c r="Y40" s="37" t="str">
        <f t="shared" ca="1" si="16"/>
        <v/>
      </c>
      <c r="Z40" s="19" t="str">
        <f t="shared" ca="1" si="17"/>
        <v/>
      </c>
      <c r="AA40" s="75" t="e">
        <f ca="1">M40+'Funding-Bar'!$L$5</f>
        <v>#N/A</v>
      </c>
    </row>
    <row r="41" spans="1:27" s="1" customFormat="1" ht="15" customHeight="1" x14ac:dyDescent="0.25">
      <c r="A41" s="92" t="s">
        <v>178</v>
      </c>
      <c r="B41" s="66" t="str">
        <f ca="1">IFERROR(VLOOKUP($A41,[1]!LOOKUP_MDAPs,B$2,FALSE)/$I41,"")</f>
        <v/>
      </c>
      <c r="C41" s="66" t="str">
        <f ca="1">IFERROR(VLOOKUP($A41,[1]!LOOKUP_MDAPs,C$2,FALSE)/$I41,"")</f>
        <v/>
      </c>
      <c r="D41" s="66" t="str">
        <f ca="1">IFERROR(VLOOKUP($A41,[1]!LOOKUP_MDAPs,D$2,FALSE)/$I41,"")</f>
        <v/>
      </c>
      <c r="E41" s="66" t="str">
        <f ca="1">IFERROR(VLOOKUP($A41,[1]!LOOKUP_MDAPs,E$2,FALSE)/$I41,"")</f>
        <v/>
      </c>
      <c r="F41" s="66" t="str">
        <f ca="1">IFERROR(VLOOKUP($A41,[1]!LOOKUP_MDAPs,F$2,FALSE)/$I41,"")</f>
        <v/>
      </c>
      <c r="G41" s="66" t="str">
        <f ca="1">IFERROR(VLOOKUP($A41,[1]!LOOKUP_MDAPs,G$2,FALSE)/$I41,"")</f>
        <v/>
      </c>
      <c r="H41" s="66">
        <f t="shared" ca="1" si="11"/>
        <v>1</v>
      </c>
      <c r="I41" s="65" t="e">
        <f ca="1">IF(VLOOKUP($A41,[1]!LOOKUP_MDAPs,I$2,FALSE)&lt;&gt;0,VLOOKUP($A41,[1]!LOOKUP_MDAPs,I$2,FALSE),"")</f>
        <v>#VALUE!</v>
      </c>
      <c r="J41" s="62" t="str">
        <f ca="1">VLOOKUP($A41,[1]!LOOKUP_SARS_Unified2,J$2,FALSE)</f>
        <v/>
      </c>
      <c r="K41" s="78" t="e">
        <f t="shared" ca="1" si="6"/>
        <v>#VALUE!</v>
      </c>
      <c r="L41" s="77" t="str">
        <f ca="1">VLOOKUP($A41,[1]!LOOKUP_SARS_Unified2,L$2,FALSE)</f>
        <v/>
      </c>
      <c r="M41" s="76" t="e">
        <f t="shared" ca="1" si="12"/>
        <v>#N/A</v>
      </c>
      <c r="N41" s="4"/>
      <c r="O41" s="12"/>
      <c r="P41" s="12"/>
      <c r="Q41" s="12"/>
      <c r="U41" s="133" t="str">
        <f t="shared" si="8"/>
        <v>ER/MP UAS</v>
      </c>
      <c r="V41" s="19">
        <f t="shared" ca="1" si="13"/>
        <v>0</v>
      </c>
      <c r="W41" s="37">
        <f t="shared" ca="1" si="14"/>
        <v>0</v>
      </c>
      <c r="X41" s="19" t="e">
        <f t="shared" ca="1" si="15"/>
        <v>#VALUE!</v>
      </c>
      <c r="Y41" s="37" t="str">
        <f t="shared" ca="1" si="16"/>
        <v/>
      </c>
      <c r="Z41" s="19" t="str">
        <f t="shared" ca="1" si="17"/>
        <v/>
      </c>
      <c r="AA41" s="75" t="e">
        <f ca="1">M41+'Funding-Bar'!$L$5</f>
        <v>#N/A</v>
      </c>
    </row>
    <row r="42" spans="1:27" s="1" customFormat="1" ht="15" customHeight="1" x14ac:dyDescent="0.25">
      <c r="A42" s="92" t="s">
        <v>217</v>
      </c>
      <c r="B42" s="66">
        <f ca="1">IFERROR(VLOOKUP($A42,[1]!LOOKUP_MDAPs,B$2,FALSE)/$I42,"")</f>
        <v>0</v>
      </c>
      <c r="C42" s="66">
        <f ca="1">IFERROR(VLOOKUP($A42,[1]!LOOKUP_MDAPs,C$2,FALSE)/$I42,"")</f>
        <v>0</v>
      </c>
      <c r="D42" s="66">
        <f ca="1">IFERROR(VLOOKUP($A42,[1]!LOOKUP_MDAPs,D$2,FALSE)/$I42,"")</f>
        <v>0</v>
      </c>
      <c r="E42" s="66">
        <f ca="1">IFERROR(VLOOKUP($A42,[1]!LOOKUP_MDAPs,E$2,FALSE)/$I42,"")</f>
        <v>0</v>
      </c>
      <c r="F42" s="66">
        <f ca="1">IFERROR(VLOOKUP($A42,[1]!LOOKUP_MDAPs,F$2,FALSE)/$I42,"")</f>
        <v>0</v>
      </c>
      <c r="G42" s="66">
        <f ca="1">IFERROR(VLOOKUP($A42,[1]!LOOKUP_MDAPs,G$2,FALSE)/$I42,"")</f>
        <v>0</v>
      </c>
      <c r="H42" s="66">
        <f t="shared" ca="1" si="11"/>
        <v>1</v>
      </c>
      <c r="I42" s="65">
        <f ca="1">IF(VLOOKUP($A42,[1]!LOOKUP_MDAPs,I$2,FALSE)&lt;&gt;0,VLOOKUP($A42,[1]!LOOKUP_MDAPs,I$2,FALSE),"")</f>
        <v>68.599999999999994</v>
      </c>
      <c r="J42" s="62">
        <f ca="1">VLOOKUP($A42,[1]!LOOKUP_SARS_Unified2,J$2,FALSE)</f>
        <v>2.8999999999999998E-2</v>
      </c>
      <c r="K42" s="78">
        <f t="shared" ca="1" si="6"/>
        <v>42.861999999999995</v>
      </c>
      <c r="L42" s="77">
        <f ca="1">VLOOKUP($A42,[1]!LOOKUP_SARS_Unified2,L$2,FALSE)</f>
        <v>1478</v>
      </c>
      <c r="M42" s="76" t="e">
        <f t="shared" ca="1" si="12"/>
        <v>#N/A</v>
      </c>
      <c r="N42" s="4"/>
      <c r="O42" s="12"/>
      <c r="P42" s="12"/>
      <c r="Q42" s="12"/>
      <c r="U42" s="133" t="str">
        <f t="shared" si="8"/>
        <v>ERM</v>
      </c>
      <c r="V42" s="19">
        <f t="shared" ca="1" si="13"/>
        <v>0</v>
      </c>
      <c r="W42" s="37">
        <f t="shared" ca="1" si="14"/>
        <v>0</v>
      </c>
      <c r="X42" s="19">
        <f t="shared" ca="1" si="15"/>
        <v>0</v>
      </c>
      <c r="Y42" s="37" t="str">
        <f t="shared" ca="1" si="16"/>
        <v/>
      </c>
      <c r="Z42" s="19" t="str">
        <f t="shared" ca="1" si="17"/>
        <v/>
      </c>
      <c r="AA42" s="75" t="e">
        <f ca="1">M42+'Funding-Bar'!$L$5</f>
        <v>#N/A</v>
      </c>
    </row>
    <row r="43" spans="1:27" s="1" customFormat="1" ht="15" customHeight="1" x14ac:dyDescent="0.25">
      <c r="A43" s="92" t="s">
        <v>29</v>
      </c>
      <c r="B43" s="66">
        <f ca="1">IFERROR(VLOOKUP($A43,[1]!LOOKUP_MDAPs,B$2,FALSE)/$I43,"")</f>
        <v>9.5892689774947526E-2</v>
      </c>
      <c r="C43" s="66">
        <f ca="1">IFERROR(VLOOKUP($A43,[1]!LOOKUP_MDAPs,C$2,FALSE)/$I43,"")</f>
        <v>0</v>
      </c>
      <c r="D43" s="66">
        <f ca="1">IFERROR(VLOOKUP($A43,[1]!LOOKUP_MDAPs,D$2,FALSE)/$I43,"")</f>
        <v>0</v>
      </c>
      <c r="E43" s="66">
        <f ca="1">IFERROR(VLOOKUP($A43,[1]!LOOKUP_MDAPs,E$2,FALSE)/$I43,"")</f>
        <v>0</v>
      </c>
      <c r="F43" s="66">
        <f ca="1">IFERROR(VLOOKUP($A43,[1]!LOOKUP_MDAPs,F$2,FALSE)/$I43,"")</f>
        <v>0</v>
      </c>
      <c r="G43" s="66">
        <f ca="1">IFERROR(VLOOKUP($A43,[1]!LOOKUP_MDAPs,G$2,FALSE)/$I43,"")</f>
        <v>0.39554687690860418</v>
      </c>
      <c r="H43" s="66">
        <f t="shared" ca="1" si="11"/>
        <v>0.50856043331644829</v>
      </c>
      <c r="I43" s="65">
        <f ca="1">IF(VLOOKUP($A43,[1]!LOOKUP_MDAPs,I$2,FALSE)&lt;&gt;0,VLOOKUP($A43,[1]!LOOKUP_MDAPs,I$2,FALSE),"")</f>
        <v>1381.9</v>
      </c>
      <c r="J43" s="62">
        <f ca="1">VLOOKUP($A43,[1]!LOOKUP_SARS_Unified2,J$2,FALSE)</f>
        <v>-1.1000000000000001E-2</v>
      </c>
      <c r="K43" s="78">
        <f t="shared" ca="1" si="6"/>
        <v>-18.469000000000001</v>
      </c>
      <c r="L43" s="77">
        <f ca="1">VLOOKUP($A43,[1]!LOOKUP_SARS_Unified2,L$2,FALSE)</f>
        <v>1679</v>
      </c>
      <c r="M43" s="76" t="e">
        <f t="shared" ca="1" si="12"/>
        <v>#N/A</v>
      </c>
      <c r="N43" s="4"/>
      <c r="O43" s="12"/>
      <c r="P43" s="12"/>
      <c r="Q43" s="12"/>
      <c r="U43" s="133" t="str">
        <f t="shared" si="8"/>
        <v>Excalibur</v>
      </c>
      <c r="V43" s="19">
        <f t="shared" ca="1" si="13"/>
        <v>9.5892689774947526E-2</v>
      </c>
      <c r="W43" s="37">
        <f t="shared" ca="1" si="14"/>
        <v>0.49143956668355171</v>
      </c>
      <c r="X43" s="19">
        <f t="shared" ca="1" si="15"/>
        <v>0.58733225645849929</v>
      </c>
      <c r="Y43" s="37">
        <f t="shared" ca="1" si="16"/>
        <v>0.19512610761496713</v>
      </c>
      <c r="Z43" s="19">
        <f t="shared" ca="1" si="17"/>
        <v>1.1951261076149673</v>
      </c>
      <c r="AA43" s="75" t="e">
        <f ca="1">M43+'Funding-Bar'!$L$5</f>
        <v>#N/A</v>
      </c>
    </row>
    <row r="44" spans="1:27" s="1" customFormat="1" ht="15" customHeight="1" x14ac:dyDescent="0.25">
      <c r="A44" s="92" t="s">
        <v>48</v>
      </c>
      <c r="B44" s="66">
        <f ca="1">IFERROR(VLOOKUP($A44,[1]!LOOKUP_MDAPs,B$2,FALSE)/$I44,"")</f>
        <v>9.2389937558777467E-3</v>
      </c>
      <c r="C44" s="66">
        <f ca="1">IFERROR(VLOOKUP($A44,[1]!LOOKUP_MDAPs,C$2,FALSE)/$I44,"")</f>
        <v>1.8453144818882793E-3</v>
      </c>
      <c r="D44" s="66">
        <f ca="1">IFERROR(VLOOKUP($A44,[1]!LOOKUP_MDAPs,D$2,FALSE)/$I44,"")</f>
        <v>2.3893795940032109E-4</v>
      </c>
      <c r="E44" s="66">
        <f ca="1">IFERROR(VLOOKUP($A44,[1]!LOOKUP_MDAPs,E$2,FALSE)/$I44,"")</f>
        <v>3.2135434749572173E-3</v>
      </c>
      <c r="F44" s="66">
        <f ca="1">IFERROR(VLOOKUP($A44,[1]!LOOKUP_MDAPs,F$2,FALSE)/$I44,"")</f>
        <v>1.0836286210777393E-3</v>
      </c>
      <c r="G44" s="66">
        <f ca="1">IFERROR(VLOOKUP($A44,[1]!LOOKUP_MDAPs,G$2,FALSE)/$I44,"")</f>
        <v>0.23342249467363219</v>
      </c>
      <c r="H44" s="66">
        <f t="shared" ca="1" si="11"/>
        <v>0.75095708703316655</v>
      </c>
      <c r="I44" s="65">
        <f ca="1">IF(VLOOKUP($A44,[1]!LOOKUP_MDAPs,I$2,FALSE)&lt;&gt;0,VLOOKUP($A44,[1]!LOOKUP_MDAPs,I$2,FALSE),"")</f>
        <v>45404.3</v>
      </c>
      <c r="J44" s="62">
        <f ca="1">VLOOKUP($A44,[1]!LOOKUP_SARS_Unified2,J$2,FALSE)</f>
        <v>0.05</v>
      </c>
      <c r="K44" s="78">
        <f t="shared" ca="1" si="6"/>
        <v>2081.8650000000002</v>
      </c>
      <c r="L44" s="77">
        <f ca="1">VLOOKUP($A44,[1]!LOOKUP_SARS_Unified2,L$2,FALSE)</f>
        <v>41637.300000000003</v>
      </c>
      <c r="M44" s="76" t="e">
        <f t="shared" ca="1" si="12"/>
        <v>#N/A</v>
      </c>
      <c r="N44" s="4"/>
      <c r="O44" s="12"/>
      <c r="P44" s="12"/>
      <c r="Q44" s="12"/>
      <c r="U44" s="133" t="str">
        <f t="shared" si="8"/>
        <v>F/A-18E/F</v>
      </c>
      <c r="V44" s="19">
        <f t="shared" ca="1" si="13"/>
        <v>1.2810548954944797E-2</v>
      </c>
      <c r="W44" s="37">
        <f t="shared" ca="1" si="14"/>
        <v>0.24795928434575576</v>
      </c>
      <c r="X44" s="19">
        <f t="shared" ca="1" si="15"/>
        <v>0.25743721606103381</v>
      </c>
      <c r="Y44" s="37">
        <f t="shared" ca="1" si="16"/>
        <v>5.166392131170091E-2</v>
      </c>
      <c r="Z44" s="19">
        <f t="shared" ca="1" si="17"/>
        <v>1.0382237420158946</v>
      </c>
      <c r="AA44" s="75" t="e">
        <f ca="1">M44+'Funding-Bar'!$L$5</f>
        <v>#N/A</v>
      </c>
    </row>
    <row r="45" spans="1:27" s="1" customFormat="1" ht="15" customHeight="1" x14ac:dyDescent="0.25">
      <c r="A45" s="92" t="s">
        <v>244</v>
      </c>
      <c r="B45" s="66">
        <f ca="1">IFERROR(VLOOKUP($A45,[1]!LOOKUP_MDAPs,B$2,FALSE)/$I45,"")</f>
        <v>6.6955668296569734E-5</v>
      </c>
      <c r="C45" s="66">
        <f ca="1">IFERROR(VLOOKUP($A45,[1]!LOOKUP_MDAPs,C$2,FALSE)/$I45,"")</f>
        <v>6.055458204035644E-5</v>
      </c>
      <c r="D45" s="66">
        <f ca="1">IFERROR(VLOOKUP($A45,[1]!LOOKUP_MDAPs,D$2,FALSE)/$I45,"")</f>
        <v>9.0833931656120522E-3</v>
      </c>
      <c r="E45" s="66">
        <f ca="1">IFERROR(VLOOKUP($A45,[1]!LOOKUP_MDAPs,E$2,FALSE)/$I45,"")</f>
        <v>0</v>
      </c>
      <c r="F45" s="66">
        <f ca="1">IFERROR(VLOOKUP($A45,[1]!LOOKUP_MDAPs,F$2,FALSE)/$I45,"")</f>
        <v>7.1282209052965098E-3</v>
      </c>
      <c r="G45" s="66">
        <f ca="1">IFERROR(VLOOKUP($A45,[1]!LOOKUP_MDAPs,G$2,FALSE)/$I45,"")</f>
        <v>0.31253837901284526</v>
      </c>
      <c r="H45" s="66">
        <f t="shared" ca="1" si="11"/>
        <v>0.67112249666590928</v>
      </c>
      <c r="I45" s="65">
        <f ca="1">IF(VLOOKUP($A45,[1]!LOOKUP_MDAPs,I$2,FALSE)&lt;&gt;0,VLOOKUP($A45,[1]!LOOKUP_MDAPs,I$2,FALSE),"")</f>
        <v>64257.4</v>
      </c>
      <c r="J45" s="62">
        <f ca="1">VLOOKUP($A45,[1]!LOOKUP_SARS_Unified2,J$2,FALSE)</f>
        <v>8.3000000000000004E-2</v>
      </c>
      <c r="K45" s="78">
        <f t="shared" ca="1" si="6"/>
        <v>5089.8671000000004</v>
      </c>
      <c r="L45" s="77">
        <f ca="1">VLOOKUP($A45,[1]!LOOKUP_SARS_Unified2,L$2,FALSE)</f>
        <v>61323.7</v>
      </c>
      <c r="M45" s="76" t="e">
        <f t="shared" ca="1" si="12"/>
        <v>#N/A</v>
      </c>
      <c r="N45" s="4"/>
      <c r="O45" s="12"/>
      <c r="P45" s="12"/>
      <c r="Q45" s="12"/>
      <c r="U45" s="133" t="str">
        <f t="shared" si="8"/>
        <v>F-22</v>
      </c>
      <c r="V45" s="19">
        <f t="shared" ca="1" si="13"/>
        <v>4.6692068331429526E-3</v>
      </c>
      <c r="W45" s="37">
        <f t="shared" ca="1" si="14"/>
        <v>0.32174928242879425</v>
      </c>
      <c r="X45" s="19">
        <f t="shared" ca="1" si="15"/>
        <v>0.33089963126270283</v>
      </c>
      <c r="Y45" s="37">
        <f t="shared" ca="1" si="16"/>
        <v>1.4511941714046515E-2</v>
      </c>
      <c r="Z45" s="19">
        <f t="shared" ca="1" si="17"/>
        <v>1.028439376040982</v>
      </c>
      <c r="AA45" s="75" t="e">
        <f ca="1">M45+'Funding-Bar'!$L$5</f>
        <v>#N/A</v>
      </c>
    </row>
    <row r="46" spans="1:27" s="1" customFormat="1" ht="15" customHeight="1" x14ac:dyDescent="0.25">
      <c r="A46" s="104" t="s">
        <v>10</v>
      </c>
      <c r="B46" s="66">
        <f ca="1">IFERROR(VLOOKUP($A46,[1]!LOOKUP_MDAPs,B$2,FALSE)/$I46,"")</f>
        <v>6.3076837081375966E-4</v>
      </c>
      <c r="C46" s="66">
        <f ca="1">IFERROR(VLOOKUP($A46,[1]!LOOKUP_MDAPs,C$2,FALSE)/$I46,"")</f>
        <v>2.1053976253977873E-4</v>
      </c>
      <c r="D46" s="66">
        <f ca="1">IFERROR(VLOOKUP($A46,[1]!LOOKUP_MDAPs,D$2,FALSE)/$I46,"")</f>
        <v>2.0357049401424458E-3</v>
      </c>
      <c r="E46" s="66">
        <f ca="1">IFERROR(VLOOKUP($A46,[1]!LOOKUP_MDAPs,E$2,FALSE)/$I46,"")</f>
        <v>1.3303585452341263E-4</v>
      </c>
      <c r="F46" s="66">
        <f ca="1">IFERROR(VLOOKUP($A46,[1]!LOOKUP_MDAPs,F$2,FALSE)/$I46,"")</f>
        <v>3.3533897105622067E-5</v>
      </c>
      <c r="G46" s="112">
        <f ca="1">IFERROR(VLOOKUP($A46,[1]!LOOKUP_MDAPs,G$2,FALSE)/$I46,"")</f>
        <v>0.12244796934293073</v>
      </c>
      <c r="H46" s="112">
        <f t="shared" ca="1" si="11"/>
        <v>0.87450844783194426</v>
      </c>
      <c r="I46" s="65">
        <f ca="1">IF(VLOOKUP($A46,[1]!LOOKUP_MDAPs,I$2,FALSE)&lt;&gt;0,VLOOKUP($A46,[1]!LOOKUP_MDAPs,I$2,FALSE),"")</f>
        <v>65990</v>
      </c>
      <c r="J46" s="62">
        <f ca="1">VLOOKUP($A46,[1]!LOOKUP_SARS_Unified2,J$2,FALSE)</f>
        <v>0.628</v>
      </c>
      <c r="K46" s="78">
        <f t="shared" ca="1" si="6"/>
        <v>146324</v>
      </c>
      <c r="L46" s="77">
        <f ca="1">VLOOKUP($A46,[1]!LOOKUP_SARS_Unified2,L$2,FALSE)</f>
        <v>233000</v>
      </c>
      <c r="M46" s="76" t="e">
        <f t="shared" ca="1" si="12"/>
        <v>#N/A</v>
      </c>
      <c r="N46" s="4"/>
      <c r="O46" s="12"/>
      <c r="P46" s="12"/>
      <c r="Q46" s="12"/>
      <c r="U46" s="133" t="str">
        <f t="shared" si="8"/>
        <v>F-35</v>
      </c>
      <c r="V46" s="19">
        <f t="shared" ca="1" si="13"/>
        <v>1.9256785306864678E-3</v>
      </c>
      <c r="W46" s="37">
        <f t="shared" ca="1" si="14"/>
        <v>0.12545801827095013</v>
      </c>
      <c r="X46" s="19">
        <f t="shared" ca="1" si="15"/>
        <v>0.12812449158190634</v>
      </c>
      <c r="Y46" s="37">
        <f t="shared" ca="1" si="16"/>
        <v>1.5349186582300414E-2</v>
      </c>
      <c r="Z46" s="19">
        <f t="shared" ca="1" si="17"/>
        <v>1.0212539090582273</v>
      </c>
      <c r="AA46" s="75" t="e">
        <f ca="1">M46+'Funding-Bar'!$L$5</f>
        <v>#N/A</v>
      </c>
    </row>
    <row r="47" spans="1:27" s="1" customFormat="1" ht="15" customHeight="1" x14ac:dyDescent="0.25">
      <c r="A47" s="92" t="s">
        <v>1</v>
      </c>
      <c r="B47" s="66">
        <f ca="1">IFERROR(VLOOKUP($A47,[1]!LOOKUP_MDAPs,B$2,FALSE)/$I47,"")</f>
        <v>0</v>
      </c>
      <c r="C47" s="66">
        <f ca="1">IFERROR(VLOOKUP($A47,[1]!LOOKUP_MDAPs,C$2,FALSE)/$I47,"")</f>
        <v>3.2013905395768957E-5</v>
      </c>
      <c r="D47" s="66">
        <f ca="1">IFERROR(VLOOKUP($A47,[1]!LOOKUP_MDAPs,D$2,FALSE)/$I47,"")</f>
        <v>2.971238412170193E-9</v>
      </c>
      <c r="E47" s="66">
        <f ca="1">IFERROR(VLOOKUP($A47,[1]!LOOKUP_MDAPs,E$2,FALSE)/$I47,"")</f>
        <v>0</v>
      </c>
      <c r="F47" s="66">
        <f ca="1">IFERROR(VLOOKUP($A47,[1]!LOOKUP_MDAPs,F$2,FALSE)/$I47,"")</f>
        <v>0</v>
      </c>
      <c r="G47" s="66">
        <f ca="1">IFERROR(VLOOKUP($A47,[1]!LOOKUP_MDAPs,G$2,FALSE)/$I47,"")</f>
        <v>0</v>
      </c>
      <c r="H47" s="66">
        <f t="shared" ca="1" si="11"/>
        <v>0.99996798312336577</v>
      </c>
      <c r="I47" s="65">
        <f ca="1">IF(VLOOKUP($A47,[1]!LOOKUP_MDAPs,I$2,FALSE)&lt;&gt;0,VLOOKUP($A47,[1]!LOOKUP_MDAPs,I$2,FALSE),"")</f>
        <v>1682.8</v>
      </c>
      <c r="J47" s="62">
        <f ca="1">VLOOKUP($A47,[1]!LOOKUP_SARS_Unified2,J$2,FALSE)</f>
        <v>0.39899999999999997</v>
      </c>
      <c r="K47" s="78">
        <f t="shared" ca="1" si="6"/>
        <v>1263.7926</v>
      </c>
      <c r="L47" s="77">
        <f ca="1">VLOOKUP($A47,[1]!LOOKUP_SARS_Unified2,L$2,FALSE)</f>
        <v>3167.4</v>
      </c>
      <c r="M47" s="76" t="e">
        <f t="shared" ca="1" si="12"/>
        <v>#N/A</v>
      </c>
      <c r="N47" s="4"/>
      <c r="O47" s="12"/>
      <c r="P47" s="12"/>
      <c r="Q47" s="12"/>
      <c r="U47" s="133" t="str">
        <f t="shared" si="8"/>
        <v>FAB-T</v>
      </c>
      <c r="V47" s="19">
        <f t="shared" ca="1" si="13"/>
        <v>3.2015391014975042E-5</v>
      </c>
      <c r="W47" s="37">
        <f t="shared" ca="1" si="14"/>
        <v>3.2016876634181126E-5</v>
      </c>
      <c r="X47" s="19">
        <f t="shared" ca="1" si="15"/>
        <v>3.2019847872593295E-5</v>
      </c>
      <c r="Y47" s="37">
        <f t="shared" ca="1" si="16"/>
        <v>0.99995359887152457</v>
      </c>
      <c r="Z47" s="19">
        <f t="shared" ca="1" si="17"/>
        <v>1.0000928022569509</v>
      </c>
      <c r="AA47" s="75" t="e">
        <f ca="1">M47+'Funding-Bar'!$L$5</f>
        <v>#N/A</v>
      </c>
    </row>
    <row r="48" spans="1:27" s="1" customFormat="1" ht="15" customHeight="1" x14ac:dyDescent="0.25">
      <c r="A48" s="92" t="s">
        <v>14</v>
      </c>
      <c r="B48" s="66">
        <f ca="1">IFERROR(VLOOKUP($A48,[1]!LOOKUP_MDAPs,B$2,FALSE)/$I48,"")</f>
        <v>0.1058215426472129</v>
      </c>
      <c r="C48" s="66">
        <f ca="1">IFERROR(VLOOKUP($A48,[1]!LOOKUP_MDAPs,C$2,FALSE)/$I48,"")</f>
        <v>1.6257692791282481E-2</v>
      </c>
      <c r="D48" s="66">
        <f ca="1">IFERROR(VLOOKUP($A48,[1]!LOOKUP_MDAPs,D$2,FALSE)/$I48,"")</f>
        <v>4.5388094941848284E-2</v>
      </c>
      <c r="E48" s="66">
        <f ca="1">IFERROR(VLOOKUP($A48,[1]!LOOKUP_MDAPs,E$2,FALSE)/$I48,"")</f>
        <v>6.4047477210813072E-3</v>
      </c>
      <c r="F48" s="66">
        <f ca="1">IFERROR(VLOOKUP($A48,[1]!LOOKUP_MDAPs,F$2,FALSE)/$I48,"")</f>
        <v>0</v>
      </c>
      <c r="G48" s="66">
        <f ca="1">IFERROR(VLOOKUP($A48,[1]!LOOKUP_MDAPs,G$2,FALSE)/$I48,"")</f>
        <v>0.53831753539920368</v>
      </c>
      <c r="H48" s="66">
        <f t="shared" ca="1" si="11"/>
        <v>0.2878103864993713</v>
      </c>
      <c r="I48" s="65">
        <f ca="1">IF(VLOOKUP($A48,[1]!LOOKUP_MDAPs,I$2,FALSE)&lt;&gt;0,VLOOKUP($A48,[1]!LOOKUP_MDAPs,I$2,FALSE),"")</f>
        <v>3817.6</v>
      </c>
      <c r="J48" s="62">
        <f ca="1">VLOOKUP($A48,[1]!LOOKUP_SARS_Unified2,J$2,FALSE)</f>
        <v>0.20899999999999999</v>
      </c>
      <c r="K48" s="78">
        <f t="shared" ca="1" si="6"/>
        <v>325.3503</v>
      </c>
      <c r="L48" s="77">
        <f ca="1">VLOOKUP($A48,[1]!LOOKUP_SARS_Unified2,L$2,FALSE)</f>
        <v>1556.7</v>
      </c>
      <c r="M48" s="76" t="e">
        <f t="shared" ca="1" si="12"/>
        <v>#N/A</v>
      </c>
      <c r="N48" s="4"/>
      <c r="O48" s="12"/>
      <c r="P48" s="12"/>
      <c r="Q48" s="12"/>
      <c r="U48" s="133" t="str">
        <f t="shared" si="8"/>
        <v>FBCB2</v>
      </c>
      <c r="V48" s="19">
        <f t="shared" ca="1" si="13"/>
        <v>0.14797565676996019</v>
      </c>
      <c r="W48" s="37">
        <f t="shared" ca="1" si="14"/>
        <v>0.7121896135006287</v>
      </c>
      <c r="X48" s="19">
        <f t="shared" ca="1" si="15"/>
        <v>0.86339925108968985</v>
      </c>
      <c r="Y48" s="37">
        <f t="shared" ca="1" si="16"/>
        <v>0.20777564564949888</v>
      </c>
      <c r="Z48" s="19">
        <f t="shared" ca="1" si="17"/>
        <v>1.2123165442498098</v>
      </c>
      <c r="AA48" s="75" t="e">
        <f ca="1">M48+'Funding-Bar'!$L$5</f>
        <v>#N/A</v>
      </c>
    </row>
    <row r="49" spans="1:27" s="1" customFormat="1" ht="15" customHeight="1" x14ac:dyDescent="0.25">
      <c r="A49" s="104" t="s">
        <v>218</v>
      </c>
      <c r="B49" s="66">
        <f ca="1">IFERROR(VLOOKUP($A49,[1]!LOOKUP_MDAPs,B$2,FALSE)/$I49,"")</f>
        <v>9.4058539785974778E-3</v>
      </c>
      <c r="C49" s="66">
        <f ca="1">IFERROR(VLOOKUP($A49,[1]!LOOKUP_MDAPs,C$2,FALSE)/$I49,"")</f>
        <v>9.1434355981347539E-4</v>
      </c>
      <c r="D49" s="66">
        <f ca="1">IFERROR(VLOOKUP($A49,[1]!LOOKUP_MDAPs,D$2,FALSE)/$I49,"")</f>
        <v>6.6540249297542898E-4</v>
      </c>
      <c r="E49" s="66">
        <f ca="1">IFERROR(VLOOKUP($A49,[1]!LOOKUP_MDAPs,E$2,FALSE)/$I49,"")</f>
        <v>6.9760312668141339E-4</v>
      </c>
      <c r="F49" s="66">
        <f ca="1">IFERROR(VLOOKUP($A49,[1]!LOOKUP_MDAPs,F$2,FALSE)/$I49,"")</f>
        <v>0</v>
      </c>
      <c r="G49" s="112">
        <f ca="1">IFERROR(VLOOKUP($A49,[1]!LOOKUP_MDAPs,G$2,FALSE)/$I49,"")</f>
        <v>0.64357098274047941</v>
      </c>
      <c r="H49" s="112">
        <f t="shared" ca="1" si="11"/>
        <v>0.34474581410145277</v>
      </c>
      <c r="I49" s="65">
        <f ca="1">IF(VLOOKUP($A49,[1]!LOOKUP_MDAPs,I$2,FALSE)&lt;&gt;0,VLOOKUP($A49,[1]!LOOKUP_MDAPs,I$2,FALSE),"")</f>
        <v>6690.7999999999993</v>
      </c>
      <c r="J49" s="62">
        <f ca="1">VLOOKUP($A49,[1]!LOOKUP_SARS_Unified2,J$2,FALSE)</f>
        <v>0.72799999999999998</v>
      </c>
      <c r="K49" s="78">
        <f t="shared" ca="1" si="6"/>
        <v>67121.599999999991</v>
      </c>
      <c r="L49" s="77">
        <f ca="1">VLOOKUP($A49,[1]!LOOKUP_SARS_Unified2,L$2,FALSE)</f>
        <v>92200</v>
      </c>
      <c r="M49" s="76" t="e">
        <f t="shared" ca="1" si="12"/>
        <v>#N/A</v>
      </c>
      <c r="N49" s="4"/>
      <c r="O49" s="12"/>
      <c r="P49" s="12"/>
      <c r="Q49" s="12"/>
      <c r="U49" s="133" t="str">
        <f t="shared" si="8"/>
        <v>FCS</v>
      </c>
      <c r="V49" s="19">
        <f t="shared" ca="1" si="13"/>
        <v>1.1001700348239375E-2</v>
      </c>
      <c r="W49" s="37">
        <f t="shared" ca="1" si="14"/>
        <v>0.65525418589854723</v>
      </c>
      <c r="X49" s="19">
        <f t="shared" ca="1" si="15"/>
        <v>0.66532544237012015</v>
      </c>
      <c r="Y49" s="37">
        <f t="shared" ca="1" si="16"/>
        <v>1.6789973395061629E-2</v>
      </c>
      <c r="Z49" s="19">
        <f t="shared" ca="1" si="17"/>
        <v>1.0153699994419148</v>
      </c>
      <c r="AA49" s="75" t="e">
        <f ca="1">M49+'Funding-Bar'!$L$5</f>
        <v>#N/A</v>
      </c>
    </row>
    <row r="50" spans="1:27" s="1" customFormat="1" ht="15" customHeight="1" x14ac:dyDescent="0.25">
      <c r="A50" s="92" t="s">
        <v>7</v>
      </c>
      <c r="B50" s="66">
        <f ca="1">IFERROR(VLOOKUP($A50,[1]!LOOKUP_MDAPs,B$2,FALSE)/$I50,"")</f>
        <v>5.9011573858807143E-3</v>
      </c>
      <c r="C50" s="66">
        <f ca="1">IFERROR(VLOOKUP($A50,[1]!LOOKUP_MDAPs,C$2,FALSE)/$I50,"")</f>
        <v>3.4935921121414097E-3</v>
      </c>
      <c r="D50" s="66">
        <f ca="1">IFERROR(VLOOKUP($A50,[1]!LOOKUP_MDAPs,D$2,FALSE)/$I50,"")</f>
        <v>2.4318127657670893E-3</v>
      </c>
      <c r="E50" s="66">
        <f ca="1">IFERROR(VLOOKUP($A50,[1]!LOOKUP_MDAPs,E$2,FALSE)/$I50,"")</f>
        <v>5.0927740045117291E-4</v>
      </c>
      <c r="F50" s="66">
        <f ca="1">IFERROR(VLOOKUP($A50,[1]!LOOKUP_MDAPs,F$2,FALSE)/$I50,"")</f>
        <v>2.8525622919076436E-4</v>
      </c>
      <c r="G50" s="66">
        <f ca="1">IFERROR(VLOOKUP($A50,[1]!LOOKUP_MDAPs,G$2,FALSE)/$I50,"")</f>
        <v>3.5066781493599861E-2</v>
      </c>
      <c r="H50" s="66">
        <f t="shared" ca="1" si="11"/>
        <v>0.95231212261296894</v>
      </c>
      <c r="I50" s="65">
        <f ca="1">IF(VLOOKUP($A50,[1]!LOOKUP_MDAPs,I$2,FALSE)&lt;&gt;0,VLOOKUP($A50,[1]!LOOKUP_MDAPs,I$2,FALSE),"")</f>
        <v>15648.1</v>
      </c>
      <c r="J50" s="62">
        <f ca="1">VLOOKUP($A50,[1]!LOOKUP_SARS_Unified2,J$2,FALSE)</f>
        <v>-0.06</v>
      </c>
      <c r="K50" s="78">
        <f t="shared" ca="1" si="6"/>
        <v>-1135.278</v>
      </c>
      <c r="L50" s="77">
        <f ca="1">VLOOKUP($A50,[1]!LOOKUP_SARS_Unified2,L$2,FALSE)</f>
        <v>18921.3</v>
      </c>
      <c r="M50" s="76" t="e">
        <f t="shared" ca="1" si="12"/>
        <v>#N/A</v>
      </c>
      <c r="N50" s="4"/>
      <c r="O50" s="12"/>
      <c r="P50" s="12"/>
      <c r="Q50" s="12"/>
      <c r="U50" s="133" t="str">
        <f t="shared" si="8"/>
        <v>FMTV</v>
      </c>
      <c r="V50" s="19">
        <f t="shared" ca="1" si="13"/>
        <v>1.0865294581131255E-2</v>
      </c>
      <c r="W50" s="37">
        <f t="shared" ca="1" si="14"/>
        <v>4.7402621157840247E-2</v>
      </c>
      <c r="X50" s="19">
        <f t="shared" ca="1" si="15"/>
        <v>5.5735591309488054E-2</v>
      </c>
      <c r="Y50" s="37">
        <f t="shared" ca="1" si="16"/>
        <v>0.22921294889901186</v>
      </c>
      <c r="Z50" s="19">
        <f t="shared" ca="1" si="17"/>
        <v>1.1757913370212347</v>
      </c>
      <c r="AA50" s="75" t="e">
        <f ca="1">M50+'Funding-Bar'!$L$5</f>
        <v>#N/A</v>
      </c>
    </row>
    <row r="51" spans="1:27" s="1" customFormat="1" ht="15" customHeight="1" x14ac:dyDescent="0.25">
      <c r="A51" s="92" t="s">
        <v>54</v>
      </c>
      <c r="B51" s="66">
        <f ca="1">IFERROR(VLOOKUP($A51,[1]!LOOKUP_MDAPs,B$2,FALSE)/$I51,"")</f>
        <v>0.10810554080115138</v>
      </c>
      <c r="C51" s="66">
        <f ca="1">IFERROR(VLOOKUP($A51,[1]!LOOKUP_MDAPs,C$2,FALSE)/$I51,"")</f>
        <v>3.6600680882705683E-2</v>
      </c>
      <c r="D51" s="66">
        <f ca="1">IFERROR(VLOOKUP($A51,[1]!LOOKUP_MDAPs,D$2,FALSE)/$I51,"")</f>
        <v>2.4507943151834974E-4</v>
      </c>
      <c r="E51" s="66">
        <f ca="1">IFERROR(VLOOKUP($A51,[1]!LOOKUP_MDAPs,E$2,FALSE)/$I51,"")</f>
        <v>0</v>
      </c>
      <c r="F51" s="66">
        <f ca="1">IFERROR(VLOOKUP($A51,[1]!LOOKUP_MDAPs,F$2,FALSE)/$I51,"")</f>
        <v>0</v>
      </c>
      <c r="G51" s="66">
        <f ca="1">IFERROR(VLOOKUP($A51,[1]!LOOKUP_MDAPs,G$2,FALSE)/$I51,"")</f>
        <v>0.11806086271288078</v>
      </c>
      <c r="H51" s="66">
        <f t="shared" ca="1" si="11"/>
        <v>0.73698783617174379</v>
      </c>
      <c r="I51" s="65">
        <f ca="1">IF(VLOOKUP($A51,[1]!LOOKUP_MDAPs,I$2,FALSE)&lt;&gt;0,VLOOKUP($A51,[1]!LOOKUP_MDAPs,I$2,FALSE),"")</f>
        <v>833.8</v>
      </c>
      <c r="J51" s="62">
        <f ca="1">VLOOKUP($A51,[1]!LOOKUP_SARS_Unified2,J$2,FALSE)</f>
        <v>0.218</v>
      </c>
      <c r="K51" s="78">
        <f t="shared" ca="1" si="6"/>
        <v>108.3678</v>
      </c>
      <c r="L51" s="77">
        <f ca="1">VLOOKUP($A51,[1]!LOOKUP_SARS_Unified2,L$2,FALSE)</f>
        <v>497.1</v>
      </c>
      <c r="M51" s="76" t="e">
        <f t="shared" ca="1" si="12"/>
        <v>#N/A</v>
      </c>
      <c r="N51" s="4"/>
      <c r="O51" s="12"/>
      <c r="P51" s="12"/>
      <c r="Q51" s="12"/>
      <c r="U51" s="133" t="str">
        <f t="shared" si="8"/>
        <v>GBS</v>
      </c>
      <c r="V51" s="19">
        <f t="shared" ca="1" si="13"/>
        <v>0.14482876139961623</v>
      </c>
      <c r="W51" s="37">
        <f t="shared" ca="1" si="14"/>
        <v>0.26301216382825621</v>
      </c>
      <c r="X51" s="19">
        <f t="shared" ca="1" si="15"/>
        <v>0.37136278406092593</v>
      </c>
      <c r="Y51" s="37">
        <f t="shared" ca="1" si="16"/>
        <v>0.55065423321709062</v>
      </c>
      <c r="Z51" s="19">
        <f t="shared" ca="1" si="17"/>
        <v>1.4119604913156085</v>
      </c>
      <c r="AA51" s="75" t="e">
        <f ca="1">M51+'Funding-Bar'!$L$5</f>
        <v>#N/A</v>
      </c>
    </row>
    <row r="52" spans="1:27" s="1" customFormat="1" ht="15" customHeight="1" x14ac:dyDescent="0.25">
      <c r="A52" s="92" t="s">
        <v>53</v>
      </c>
      <c r="B52" s="66">
        <f ca="1">IFERROR(VLOOKUP($A52,[1]!LOOKUP_MDAPs,B$2,FALSE)/$I52,"")</f>
        <v>1.6838258395958051E-3</v>
      </c>
      <c r="C52" s="66">
        <f ca="1">IFERROR(VLOOKUP($A52,[1]!LOOKUP_MDAPs,C$2,FALSE)/$I52,"")</f>
        <v>-1.006509574151913E-5</v>
      </c>
      <c r="D52" s="66">
        <f ca="1">IFERROR(VLOOKUP($A52,[1]!LOOKUP_MDAPs,D$2,FALSE)/$I52,"")</f>
        <v>1.7263961703392348E-4</v>
      </c>
      <c r="E52" s="66">
        <f ca="1">IFERROR(VLOOKUP($A52,[1]!LOOKUP_MDAPs,E$2,FALSE)/$I52,"")</f>
        <v>4.9124909777947606E-4</v>
      </c>
      <c r="F52" s="66">
        <f ca="1">IFERROR(VLOOKUP($A52,[1]!LOOKUP_MDAPs,F$2,FALSE)/$I52,"")</f>
        <v>9.9668322506687029E-3</v>
      </c>
      <c r="G52" s="66">
        <f ca="1">IFERROR(VLOOKUP($A52,[1]!LOOKUP_MDAPs,G$2,FALSE)/$I52,"")</f>
        <v>0.18773983907782446</v>
      </c>
      <c r="H52" s="66">
        <f t="shared" ca="1" si="11"/>
        <v>0.79995567921283917</v>
      </c>
      <c r="I52" s="65">
        <f ca="1">IF(VLOOKUP($A52,[1]!LOOKUP_MDAPs,I$2,FALSE)&lt;&gt;0,VLOOKUP($A52,[1]!LOOKUP_MDAPs,I$2,FALSE),"")</f>
        <v>2355.3000000000002</v>
      </c>
      <c r="J52" s="62">
        <f ca="1">VLOOKUP($A52,[1]!LOOKUP_SARS_Unified2,J$2,FALSE)</f>
        <v>1.054</v>
      </c>
      <c r="K52" s="78">
        <f t="shared" ca="1" si="6"/>
        <v>12488.740600000001</v>
      </c>
      <c r="L52" s="77">
        <f ca="1">VLOOKUP($A52,[1]!LOOKUP_SARS_Unified2,L$2,FALSE)</f>
        <v>11848.9</v>
      </c>
      <c r="M52" s="76" t="e">
        <f t="shared" ca="1" si="12"/>
        <v>#N/A</v>
      </c>
      <c r="N52" s="4"/>
      <c r="O52" s="12"/>
      <c r="P52" s="12"/>
      <c r="Q52" s="12"/>
      <c r="U52" s="133" t="str">
        <f t="shared" si="8"/>
        <v>GMLRS</v>
      </c>
      <c r="V52" s="19">
        <f t="shared" ca="1" si="13"/>
        <v>2.0057051012609857E-3</v>
      </c>
      <c r="W52" s="37">
        <f t="shared" ca="1" si="14"/>
        <v>0.19007748853649215</v>
      </c>
      <c r="X52" s="19">
        <f t="shared" ca="1" si="15"/>
        <v>0.19193395399312188</v>
      </c>
      <c r="Y52" s="37">
        <f t="shared" ca="1" si="16"/>
        <v>1.0552039153631385E-2</v>
      </c>
      <c r="Z52" s="19">
        <f t="shared" ca="1" si="17"/>
        <v>1.0097668875516173</v>
      </c>
      <c r="AA52" s="75" t="e">
        <f ca="1">M52+'Funding-Bar'!$L$5</f>
        <v>#N/A</v>
      </c>
    </row>
    <row r="53" spans="1:27" s="1" customFormat="1" ht="15" customHeight="1" x14ac:dyDescent="0.25">
      <c r="A53" s="92" t="s">
        <v>4</v>
      </c>
      <c r="B53" s="66">
        <f ca="1">IFERROR(VLOOKUP($A53,[1]!LOOKUP_MDAPs,B$2,FALSE)/$I53,"")</f>
        <v>5.4621288688801355E-3</v>
      </c>
      <c r="C53" s="66">
        <f ca="1">IFERROR(VLOOKUP($A53,[1]!LOOKUP_MDAPs,C$2,FALSE)/$I53,"")</f>
        <v>4.7507429375351719E-2</v>
      </c>
      <c r="D53" s="66">
        <f ca="1">IFERROR(VLOOKUP($A53,[1]!LOOKUP_MDAPs,D$2,FALSE)/$I53,"")</f>
        <v>0</v>
      </c>
      <c r="E53" s="66">
        <f ca="1">IFERROR(VLOOKUP($A53,[1]!LOOKUP_MDAPs,E$2,FALSE)/$I53,"")</f>
        <v>0</v>
      </c>
      <c r="F53" s="66">
        <f ca="1">IFERROR(VLOOKUP($A53,[1]!LOOKUP_MDAPs,F$2,FALSE)/$I53,"")</f>
        <v>0</v>
      </c>
      <c r="G53" s="66">
        <f ca="1">IFERROR(VLOOKUP($A53,[1]!LOOKUP_MDAPs,G$2,FALSE)/$I53,"")</f>
        <v>2.6401838210467084E-3</v>
      </c>
      <c r="H53" s="66">
        <f t="shared" ca="1" si="11"/>
        <v>0.94439025793472142</v>
      </c>
      <c r="I53" s="65">
        <f ca="1">IF(VLOOKUP($A53,[1]!LOOKUP_MDAPs,I$2,FALSE)&lt;&gt;0,VLOOKUP($A53,[1]!LOOKUP_MDAPs,I$2,FALSE),"")</f>
        <v>1777</v>
      </c>
      <c r="J53" s="62">
        <f ca="1">VLOOKUP($A53,[1]!LOOKUP_SARS_Unified2,J$2,FALSE)</f>
        <v>-2.4E-2</v>
      </c>
      <c r="K53" s="78">
        <f t="shared" ca="1" si="6"/>
        <v>-102.4752</v>
      </c>
      <c r="L53" s="77">
        <f ca="1">VLOOKUP($A53,[1]!LOOKUP_SARS_Unified2,L$2,FALSE)</f>
        <v>4269.8</v>
      </c>
      <c r="M53" s="76" t="e">
        <f t="shared" ca="1" si="12"/>
        <v>#N/A</v>
      </c>
      <c r="N53" s="4" t="s">
        <v>152</v>
      </c>
      <c r="O53" s="74">
        <v>1</v>
      </c>
      <c r="P53" s="12"/>
      <c r="Q53" s="12"/>
      <c r="U53" s="133" t="str">
        <f t="shared" si="8"/>
        <v>GPS IIIA</v>
      </c>
      <c r="V53" s="19">
        <f t="shared" ca="1" si="13"/>
        <v>5.2969558244231857E-2</v>
      </c>
      <c r="W53" s="37">
        <f t="shared" ca="1" si="14"/>
        <v>5.5609742065278564E-2</v>
      </c>
      <c r="X53" s="19">
        <f t="shared" ca="1" si="15"/>
        <v>6.1071870934158695E-2</v>
      </c>
      <c r="Y53" s="37">
        <f t="shared" ca="1" si="16"/>
        <v>0.95252299825545894</v>
      </c>
      <c r="Z53" s="19">
        <f t="shared" ca="1" si="17"/>
        <v>1.0982225176025509</v>
      </c>
      <c r="AA53" s="75" t="e">
        <f ca="1">M53+'Funding-Bar'!$L$5</f>
        <v>#N/A</v>
      </c>
    </row>
    <row r="54" spans="1:27" s="1" customFormat="1" ht="15" customHeight="1" x14ac:dyDescent="0.25">
      <c r="A54" s="92" t="s">
        <v>39</v>
      </c>
      <c r="B54" s="66">
        <f ca="1">IFERROR(VLOOKUP($A54,[1]!LOOKUP_MDAPs,B$2,FALSE)/$I54,"")</f>
        <v>1.5782200335617641E-2</v>
      </c>
      <c r="C54" s="66">
        <f ca="1">IFERROR(VLOOKUP($A54,[1]!LOOKUP_MDAPs,C$2,FALSE)/$I54,"")</f>
        <v>1.1633763990511333E-2</v>
      </c>
      <c r="D54" s="66">
        <f ca="1">IFERROR(VLOOKUP($A54,[1]!LOOKUP_MDAPs,D$2,FALSE)/$I54,"")</f>
        <v>4.4889108416798452E-3</v>
      </c>
      <c r="E54" s="66">
        <f ca="1">IFERROR(VLOOKUP($A54,[1]!LOOKUP_MDAPs,E$2,FALSE)/$I54,"")</f>
        <v>0.16946918470391847</v>
      </c>
      <c r="F54" s="66">
        <f ca="1">IFERROR(VLOOKUP($A54,[1]!LOOKUP_MDAPs,F$2,FALSE)/$I54,"")</f>
        <v>5.0405904059040589E-6</v>
      </c>
      <c r="G54" s="66">
        <f ca="1">IFERROR(VLOOKUP($A54,[1]!LOOKUP_MDAPs,G$2,FALSE)/$I54,"")</f>
        <v>0.13744799436478652</v>
      </c>
      <c r="H54" s="66">
        <f t="shared" ca="1" si="11"/>
        <v>0.66117290517308025</v>
      </c>
      <c r="I54" s="65">
        <f ca="1">IF(VLOOKUP($A54,[1]!LOOKUP_MDAPs,I$2,FALSE)&lt;&gt;0,VLOOKUP($A54,[1]!LOOKUP_MDAPs,I$2,FALSE),"")</f>
        <v>5691</v>
      </c>
      <c r="J54" s="62">
        <f ca="1">VLOOKUP($A54,[1]!LOOKUP_SARS_Unified2,J$2,FALSE)</f>
        <v>5.4000000000000006E-2</v>
      </c>
      <c r="K54" s="78">
        <f t="shared" ca="1" si="6"/>
        <v>658.08720000000005</v>
      </c>
      <c r="L54" s="77">
        <f ca="1">VLOOKUP($A54,[1]!LOOKUP_SARS_Unified2,L$2,FALSE)</f>
        <v>12186.8</v>
      </c>
      <c r="M54" s="76" t="e">
        <f t="shared" ca="1" si="12"/>
        <v>#N/A</v>
      </c>
      <c r="N54" s="4" t="s">
        <v>151</v>
      </c>
      <c r="O54" s="74">
        <v>0.5</v>
      </c>
      <c r="P54" s="12"/>
      <c r="Q54" s="12"/>
      <c r="U54" s="133" t="str">
        <f t="shared" si="8"/>
        <v>H-1 Upgrades</v>
      </c>
      <c r="V54" s="19">
        <f t="shared" ca="1" si="13"/>
        <v>0.11439501209892813</v>
      </c>
      <c r="W54" s="37">
        <f t="shared" ca="1" si="14"/>
        <v>0.33882205423651379</v>
      </c>
      <c r="X54" s="19">
        <f t="shared" ca="1" si="15"/>
        <v>0.35909316541381131</v>
      </c>
      <c r="Y54" s="37">
        <f t="shared" ca="1" si="16"/>
        <v>0.33762563761293712</v>
      </c>
      <c r="Z54" s="19">
        <f t="shared" ca="1" si="17"/>
        <v>1.059828192775041</v>
      </c>
      <c r="AA54" s="75" t="e">
        <f ca="1">M54+'Funding-Bar'!$L$5</f>
        <v>#N/A</v>
      </c>
    </row>
    <row r="55" spans="1:27" s="1" customFormat="1" ht="15" customHeight="1" x14ac:dyDescent="0.25">
      <c r="A55" s="92" t="s">
        <v>3</v>
      </c>
      <c r="B55" s="66">
        <f ca="1">IFERROR(VLOOKUP($A55,[1]!LOOKUP_MDAPs,B$2,FALSE)/$I55,"")</f>
        <v>1.2371134020618555E-4</v>
      </c>
      <c r="C55" s="66">
        <f ca="1">IFERROR(VLOOKUP($A55,[1]!LOOKUP_MDAPs,C$2,FALSE)/$I55,"")</f>
        <v>2.0312247422680412E-3</v>
      </c>
      <c r="D55" s="66">
        <f ca="1">IFERROR(VLOOKUP($A55,[1]!LOOKUP_MDAPs,D$2,FALSE)/$I55,"")</f>
        <v>0</v>
      </c>
      <c r="E55" s="66">
        <f ca="1">IFERROR(VLOOKUP($A55,[1]!LOOKUP_MDAPs,E$2,FALSE)/$I55,"")</f>
        <v>0</v>
      </c>
      <c r="F55" s="66">
        <f ca="1">IFERROR(VLOOKUP($A55,[1]!LOOKUP_MDAPs,F$2,FALSE)/$I55,"")</f>
        <v>0</v>
      </c>
      <c r="G55" s="66">
        <f ca="1">IFERROR(VLOOKUP($A55,[1]!LOOKUP_MDAPs,G$2,FALSE)/$I55,"")</f>
        <v>0.12744842839175258</v>
      </c>
      <c r="H55" s="66">
        <f t="shared" ca="1" si="11"/>
        <v>0.87039663552577318</v>
      </c>
      <c r="I55" s="65">
        <f ca="1">IF(VLOOKUP($A55,[1]!LOOKUP_MDAPs,I$2,FALSE)&lt;&gt;0,VLOOKUP($A55,[1]!LOOKUP_MDAPs,I$2,FALSE),"")</f>
        <v>1940</v>
      </c>
      <c r="J55" s="62">
        <f ca="1">VLOOKUP($A55,[1]!LOOKUP_SARS_Unified2,J$2,FALSE)</f>
        <v>-3.2000000000000001E-2</v>
      </c>
      <c r="K55" s="78">
        <f t="shared" ca="1" si="6"/>
        <v>-140.4288</v>
      </c>
      <c r="L55" s="77">
        <f ca="1">VLOOKUP($A55,[1]!LOOKUP_SARS_Unified2,L$2,FALSE)</f>
        <v>4388.3999999999996</v>
      </c>
      <c r="M55" s="76" t="e">
        <f t="shared" ca="1" si="12"/>
        <v>#N/A</v>
      </c>
      <c r="N55" s="4" t="s">
        <v>150</v>
      </c>
      <c r="O55" s="74">
        <v>1</v>
      </c>
      <c r="P55" s="12"/>
      <c r="Q55" s="12"/>
      <c r="U55" s="133" t="str">
        <f t="shared" si="8"/>
        <v>HIMARS</v>
      </c>
      <c r="V55" s="19">
        <f t="shared" ca="1" si="13"/>
        <v>2.1549360824742268E-3</v>
      </c>
      <c r="W55" s="37">
        <f t="shared" ca="1" si="14"/>
        <v>0.1296033644742268</v>
      </c>
      <c r="X55" s="19">
        <f t="shared" ca="1" si="15"/>
        <v>0.12972707581443299</v>
      </c>
      <c r="Y55" s="37">
        <f t="shared" ca="1" si="16"/>
        <v>1.6627161580382906E-2</v>
      </c>
      <c r="Z55" s="19">
        <f t="shared" ca="1" si="17"/>
        <v>1.0009545380299969</v>
      </c>
      <c r="AA55" s="75" t="e">
        <f ca="1">M55+'Funding-Bar'!$L$5</f>
        <v>#N/A</v>
      </c>
    </row>
    <row r="56" spans="1:27" s="1" customFormat="1" ht="15" customHeight="1" x14ac:dyDescent="0.25">
      <c r="A56" s="92" t="s">
        <v>179</v>
      </c>
      <c r="B56" s="66">
        <f ca="1">IFERROR(VLOOKUP($A56,[1]!LOOKUP_MDAPs,B$2,FALSE)/$I56,"")</f>
        <v>0</v>
      </c>
      <c r="C56" s="66">
        <f ca="1">IFERROR(VLOOKUP($A56,[1]!LOOKUP_MDAPs,C$2,FALSE)/$I56,"")</f>
        <v>0</v>
      </c>
      <c r="D56" s="66">
        <f ca="1">IFERROR(VLOOKUP($A56,[1]!LOOKUP_MDAPs,D$2,FALSE)/$I56,"")</f>
        <v>0</v>
      </c>
      <c r="E56" s="66">
        <f ca="1">IFERROR(VLOOKUP($A56,[1]!LOOKUP_MDAPs,E$2,FALSE)/$I56,"")</f>
        <v>0</v>
      </c>
      <c r="F56" s="66">
        <f ca="1">IFERROR(VLOOKUP($A56,[1]!LOOKUP_MDAPs,F$2,FALSE)/$I56,"")</f>
        <v>0</v>
      </c>
      <c r="G56" s="66">
        <f ca="1">IFERROR(VLOOKUP($A56,[1]!LOOKUP_MDAPs,G$2,FALSE)/$I56,"")</f>
        <v>0</v>
      </c>
      <c r="H56" s="66">
        <f t="shared" ca="1" si="11"/>
        <v>1</v>
      </c>
      <c r="I56" s="65">
        <f ca="1">IF(VLOOKUP($A56,[1]!LOOKUP_MDAPs,I$2,FALSE)&lt;&gt;0,VLOOKUP($A56,[1]!LOOKUP_MDAPs,I$2,FALSE),"")</f>
        <v>634.1</v>
      </c>
      <c r="J56" s="62">
        <f ca="1">VLOOKUP($A56,[1]!LOOKUP_SARS_Unified2,J$2,FALSE)</f>
        <v>-0.14800000000000002</v>
      </c>
      <c r="K56" s="78">
        <f t="shared" ca="1" si="6"/>
        <v>-857.1568000000002</v>
      </c>
      <c r="L56" s="77">
        <f ca="1">VLOOKUP($A56,[1]!LOOKUP_SARS_Unified2,L$2,FALSE)</f>
        <v>5791.6</v>
      </c>
      <c r="M56" s="76" t="e">
        <f t="shared" ca="1" si="12"/>
        <v>#N/A</v>
      </c>
      <c r="N56" s="4" t="s">
        <v>149</v>
      </c>
      <c r="O56" s="74">
        <v>0.5</v>
      </c>
      <c r="P56" s="12"/>
      <c r="Q56" s="12"/>
      <c r="U56" s="133" t="str">
        <f t="shared" si="8"/>
        <v>IAMD</v>
      </c>
      <c r="V56" s="19">
        <f t="shared" ca="1" si="13"/>
        <v>0</v>
      </c>
      <c r="W56" s="37">
        <f t="shared" ca="1" si="14"/>
        <v>0</v>
      </c>
      <c r="X56" s="19">
        <f t="shared" ca="1" si="15"/>
        <v>0</v>
      </c>
      <c r="Y56" s="37" t="str">
        <f t="shared" ca="1" si="16"/>
        <v/>
      </c>
      <c r="Z56" s="19" t="str">
        <f t="shared" ca="1" si="17"/>
        <v/>
      </c>
      <c r="AA56" s="75" t="e">
        <f ca="1">M56+'Funding-Bar'!$L$5</f>
        <v>#N/A</v>
      </c>
    </row>
    <row r="57" spans="1:27" s="1" customFormat="1" ht="15" customHeight="1" x14ac:dyDescent="0.25">
      <c r="A57" s="92" t="s">
        <v>2</v>
      </c>
      <c r="B57" s="66" t="str">
        <f ca="1">IFERROR(VLOOKUP($A57,[1]!LOOKUP_MDAPs,B$2,FALSE)/$I57,"")</f>
        <v/>
      </c>
      <c r="C57" s="66" t="str">
        <f ca="1">IFERROR(VLOOKUP($A57,[1]!LOOKUP_MDAPs,C$2,FALSE)/$I57,"")</f>
        <v/>
      </c>
      <c r="D57" s="66" t="str">
        <f ca="1">IFERROR(VLOOKUP($A57,[1]!LOOKUP_MDAPs,D$2,FALSE)/$I57,"")</f>
        <v/>
      </c>
      <c r="E57" s="66" t="str">
        <f ca="1">IFERROR(VLOOKUP($A57,[1]!LOOKUP_MDAPs,E$2,FALSE)/$I57,"")</f>
        <v/>
      </c>
      <c r="F57" s="66" t="str">
        <f ca="1">IFERROR(VLOOKUP($A57,[1]!LOOKUP_MDAPs,F$2,FALSE)/$I57,"")</f>
        <v/>
      </c>
      <c r="G57" s="66" t="str">
        <f ca="1">IFERROR(VLOOKUP($A57,[1]!LOOKUP_MDAPs,G$2,FALSE)/$I57,"")</f>
        <v/>
      </c>
      <c r="H57" s="66">
        <f t="shared" ca="1" si="11"/>
        <v>1</v>
      </c>
      <c r="I57" s="65" t="e">
        <f ca="1">IF(VLOOKUP($A57,[1]!LOOKUP_MDAPs,I$2,FALSE)&lt;&gt;0,VLOOKUP($A57,[1]!LOOKUP_MDAPs,I$2,FALSE),"")</f>
        <v>#VALUE!</v>
      </c>
      <c r="J57" s="62" t="str">
        <f ca="1">VLOOKUP($A57,[1]!LOOKUP_SARS_Unified2,J$2,FALSE)</f>
        <v/>
      </c>
      <c r="K57" s="78" t="e">
        <f t="shared" ca="1" si="6"/>
        <v>#VALUE!</v>
      </c>
      <c r="L57" s="77" t="str">
        <f ca="1">VLOOKUP($A57,[1]!LOOKUP_SARS_Unified2,L$2,FALSE)</f>
        <v/>
      </c>
      <c r="M57" s="76" t="e">
        <f t="shared" ca="1" si="12"/>
        <v>#N/A</v>
      </c>
      <c r="N57" s="4" t="s">
        <v>148</v>
      </c>
      <c r="O57" s="74">
        <v>0.75</v>
      </c>
      <c r="P57" s="12"/>
      <c r="Q57" s="12"/>
      <c r="U57" s="133" t="str">
        <f t="shared" si="8"/>
        <v>IDECM</v>
      </c>
      <c r="V57" s="19">
        <f t="shared" ca="1" si="13"/>
        <v>0</v>
      </c>
      <c r="W57" s="37">
        <f t="shared" ca="1" si="14"/>
        <v>0</v>
      </c>
      <c r="X57" s="19" t="e">
        <f t="shared" ca="1" si="15"/>
        <v>#VALUE!</v>
      </c>
      <c r="Y57" s="37" t="str">
        <f t="shared" ca="1" si="16"/>
        <v/>
      </c>
      <c r="Z57" s="19" t="str">
        <f t="shared" ca="1" si="17"/>
        <v/>
      </c>
      <c r="AA57" s="75" t="e">
        <f ca="1">M57+'Funding-Bar'!$L$5</f>
        <v>#N/A</v>
      </c>
    </row>
    <row r="58" spans="1:27" s="1" customFormat="1" ht="15" customHeight="1" x14ac:dyDescent="0.25">
      <c r="A58" s="92" t="s">
        <v>61</v>
      </c>
      <c r="B58" s="66">
        <f ca="1">IFERROR(VLOOKUP($A58,[1]!LOOKUP_MDAPs,B$2,FALSE)/$I58,"")</f>
        <v>0.1027241486393109</v>
      </c>
      <c r="C58" s="66">
        <f ca="1">IFERROR(VLOOKUP($A58,[1]!LOOKUP_MDAPs,C$2,FALSE)/$I58,"")</f>
        <v>2.086290799375266E-2</v>
      </c>
      <c r="D58" s="66">
        <f ca="1">IFERROR(VLOOKUP($A58,[1]!LOOKUP_MDAPs,D$2,FALSE)/$I58,"")</f>
        <v>1.8691315253916421E-5</v>
      </c>
      <c r="E58" s="66">
        <f ca="1">IFERROR(VLOOKUP($A58,[1]!LOOKUP_MDAPs,E$2,FALSE)/$I58,"")</f>
        <v>0.12118946971461025</v>
      </c>
      <c r="F58" s="66">
        <f ca="1">IFERROR(VLOOKUP($A58,[1]!LOOKUP_MDAPs,F$2,FALSE)/$I58,"")</f>
        <v>0</v>
      </c>
      <c r="G58" s="66">
        <f ca="1">IFERROR(VLOOKUP($A58,[1]!LOOKUP_MDAPs,G$2,FALSE)/$I58,"")</f>
        <v>0.41624307402148697</v>
      </c>
      <c r="H58" s="66">
        <f t="shared" ca="1" si="11"/>
        <v>0.33896170831558536</v>
      </c>
      <c r="I58" s="65">
        <f ca="1">IF(VLOOKUP($A58,[1]!LOOKUP_MDAPs,I$2,FALSE)&lt;&gt;0,VLOOKUP($A58,[1]!LOOKUP_MDAPs,I$2,FALSE),"")</f>
        <v>2112.9</v>
      </c>
      <c r="J58" s="62">
        <f ca="1">VLOOKUP($A58,[1]!LOOKUP_SARS_Unified2,J$2,FALSE)</f>
        <v>0.64</v>
      </c>
      <c r="K58" s="78">
        <f t="shared" ca="1" si="6"/>
        <v>3187.9040000000005</v>
      </c>
      <c r="L58" s="77">
        <f ca="1">VLOOKUP($A58,[1]!LOOKUP_SARS_Unified2,L$2,FALSE)</f>
        <v>4981.1000000000004</v>
      </c>
      <c r="M58" s="76" t="e">
        <f t="shared" ca="1" si="12"/>
        <v>#N/A</v>
      </c>
      <c r="N58" s="4" t="s">
        <v>147</v>
      </c>
      <c r="O58" s="74">
        <v>0</v>
      </c>
      <c r="P58" s="12"/>
      <c r="Q58" s="12"/>
      <c r="U58" s="133" t="str">
        <f t="shared" si="8"/>
        <v>JASSM</v>
      </c>
      <c r="V58" s="19">
        <f t="shared" ca="1" si="13"/>
        <v>0.18419113714799565</v>
      </c>
      <c r="W58" s="37">
        <f t="shared" ca="1" si="14"/>
        <v>0.66103829168441464</v>
      </c>
      <c r="X58" s="19">
        <f t="shared" ca="1" si="15"/>
        <v>0.76378113163897954</v>
      </c>
      <c r="Y58" s="37">
        <f t="shared" ca="1" si="16"/>
        <v>0.2786391340184724</v>
      </c>
      <c r="Z58" s="19">
        <f t="shared" ca="1" si="17"/>
        <v>1.1554264575093862</v>
      </c>
      <c r="AA58" s="75" t="e">
        <f ca="1">M58+'Funding-Bar'!$L$5</f>
        <v>#N/A</v>
      </c>
    </row>
    <row r="59" spans="1:27" s="1" customFormat="1" ht="15" customHeight="1" x14ac:dyDescent="0.25">
      <c r="A59" s="92" t="s">
        <v>5</v>
      </c>
      <c r="B59" s="66">
        <f ca="1">IFERROR(VLOOKUP($A59,[1]!LOOKUP_MDAPs,B$2,FALSE)/$I59,"")</f>
        <v>0.12794541625328973</v>
      </c>
      <c r="C59" s="66">
        <f ca="1">IFERROR(VLOOKUP($A59,[1]!LOOKUP_MDAPs,C$2,FALSE)/$I59,"")</f>
        <v>0</v>
      </c>
      <c r="D59" s="66">
        <f ca="1">IFERROR(VLOOKUP($A59,[1]!LOOKUP_MDAPs,D$2,FALSE)/$I59,"")</f>
        <v>0</v>
      </c>
      <c r="E59" s="66">
        <f ca="1">IFERROR(VLOOKUP($A59,[1]!LOOKUP_MDAPs,E$2,FALSE)/$I59,"")</f>
        <v>0</v>
      </c>
      <c r="F59" s="66">
        <f ca="1">IFERROR(VLOOKUP($A59,[1]!LOOKUP_MDAPs,F$2,FALSE)/$I59,"")</f>
        <v>0</v>
      </c>
      <c r="G59" s="66">
        <f ca="1">IFERROR(VLOOKUP($A59,[1]!LOOKUP_MDAPs,G$2,FALSE)/$I59,"")</f>
        <v>1.2842424037004547E-3</v>
      </c>
      <c r="H59" s="66">
        <f t="shared" ca="1" si="11"/>
        <v>0.87077034134300979</v>
      </c>
      <c r="I59" s="65">
        <f ca="1">IF(VLOOKUP($A59,[1]!LOOKUP_MDAPs,I$2,FALSE)&lt;&gt;0,VLOOKUP($A59,[1]!LOOKUP_MDAPs,I$2,FALSE),"")</f>
        <v>1253.9000000000001</v>
      </c>
      <c r="J59" s="62">
        <f ca="1">VLOOKUP($A59,[1]!LOOKUP_SARS_Unified2,J$2,FALSE)</f>
        <v>-0.158</v>
      </c>
      <c r="K59" s="78">
        <f t="shared" ca="1" si="6"/>
        <v>-645.87240000000008</v>
      </c>
      <c r="L59" s="77">
        <f ca="1">VLOOKUP($A59,[1]!LOOKUP_SARS_Unified2,L$2,FALSE)</f>
        <v>4087.8</v>
      </c>
      <c r="M59" s="76" t="e">
        <f t="shared" ca="1" si="12"/>
        <v>#N/A</v>
      </c>
      <c r="N59" s="4" t="s">
        <v>146</v>
      </c>
      <c r="O59" s="74">
        <v>0</v>
      </c>
      <c r="P59" s="12"/>
      <c r="Q59" s="12"/>
      <c r="U59" s="133" t="str">
        <f t="shared" si="8"/>
        <v>JCA</v>
      </c>
      <c r="V59" s="19">
        <f t="shared" ca="1" si="13"/>
        <v>0.12794541625328973</v>
      </c>
      <c r="W59" s="37">
        <f t="shared" ca="1" si="14"/>
        <v>0.12922965865699018</v>
      </c>
      <c r="X59" s="19">
        <f t="shared" ca="1" si="15"/>
        <v>0.25717507491027991</v>
      </c>
      <c r="Y59" s="37">
        <f t="shared" ca="1" si="16"/>
        <v>0.99006232456970911</v>
      </c>
      <c r="Z59" s="19">
        <f t="shared" ca="1" si="17"/>
        <v>1.9900623245697091</v>
      </c>
      <c r="AA59" s="75" t="e">
        <f ca="1">M59+'Funding-Bar'!$L$5</f>
        <v>#N/A</v>
      </c>
    </row>
    <row r="60" spans="1:27" s="1" customFormat="1" ht="15" customHeight="1" x14ac:dyDescent="0.25">
      <c r="A60" s="92" t="s">
        <v>219</v>
      </c>
      <c r="B60" s="66">
        <f ca="1">IFERROR(VLOOKUP($A60,[1]!LOOKUP_MDAPs,B$2,FALSE)/$I60,"")</f>
        <v>0.25975058787626915</v>
      </c>
      <c r="C60" s="66">
        <f ca="1">IFERROR(VLOOKUP($A60,[1]!LOOKUP_MDAPs,C$2,FALSE)/$I60,"")</f>
        <v>2.0480882934040554E-3</v>
      </c>
      <c r="D60" s="66">
        <f ca="1">IFERROR(VLOOKUP($A60,[1]!LOOKUP_MDAPs,D$2,FALSE)/$I60,"")</f>
        <v>7.805611037070817E-4</v>
      </c>
      <c r="E60" s="66">
        <f ca="1">IFERROR(VLOOKUP($A60,[1]!LOOKUP_MDAPs,E$2,FALSE)/$I60,"")</f>
        <v>2.8237795906856382E-4</v>
      </c>
      <c r="F60" s="112">
        <f ca="1">IFERROR(VLOOKUP($A60,[1]!LOOKUP_MDAPs,F$2,FALSE)/$I60,"")</f>
        <v>2.8537807767707531E-4</v>
      </c>
      <c r="G60" s="66">
        <f ca="1">IFERROR(VLOOKUP($A60,[1]!LOOKUP_MDAPs,G$2,FALSE)/$I60,"")</f>
        <v>0.76438175793687158</v>
      </c>
      <c r="H60" s="66">
        <f t="shared" ca="1" si="11"/>
        <v>-2.7528751246997496E-2</v>
      </c>
      <c r="I60" s="65">
        <f ca="1">IF(VLOOKUP($A60,[1]!LOOKUP_MDAPs,I$2,FALSE)&lt;&gt;0,VLOOKUP($A60,[1]!LOOKUP_MDAPs,I$2,FALSE),"")</f>
        <v>776.96928161000005</v>
      </c>
      <c r="J60" s="62">
        <f ca="1">VLOOKUP($A60,[1]!LOOKUP_SARS_Unified2,J$2,FALSE)</f>
        <v>-0.71099999999999997</v>
      </c>
      <c r="K60" s="78">
        <f t="shared" ca="1" si="6"/>
        <v>-5788.4642999999996</v>
      </c>
      <c r="L60" s="77">
        <f ca="1">VLOOKUP($A60,[1]!LOOKUP_SARS_Unified2,L$2,FALSE)</f>
        <v>8141.3</v>
      </c>
      <c r="M60" s="76" t="e">
        <f t="shared" ca="1" si="12"/>
        <v>#N/A</v>
      </c>
      <c r="N60" s="4"/>
      <c r="O60" s="12"/>
      <c r="P60" s="12"/>
      <c r="Q60" s="12"/>
      <c r="U60" s="133" t="str">
        <f t="shared" si="8"/>
        <v>JCM</v>
      </c>
      <c r="V60" s="19">
        <f t="shared" ca="1" si="13"/>
        <v>0.26233014570106106</v>
      </c>
      <c r="W60" s="37">
        <f t="shared" ca="1" si="14"/>
        <v>1.0272433731693205</v>
      </c>
      <c r="X60" s="19">
        <f t="shared" ca="1" si="15"/>
        <v>1.2877745221492967</v>
      </c>
      <c r="Y60" s="37">
        <f t="shared" ca="1" si="16"/>
        <v>0.25537292578651777</v>
      </c>
      <c r="Z60" s="19">
        <f t="shared" ca="1" si="17"/>
        <v>1.2536216399977036</v>
      </c>
      <c r="AA60" s="75" t="e">
        <f ca="1">M60+'Funding-Bar'!$L$5</f>
        <v>#N/A</v>
      </c>
    </row>
    <row r="61" spans="1:27" s="1" customFormat="1" ht="15" customHeight="1" x14ac:dyDescent="0.25">
      <c r="A61" s="92" t="s">
        <v>34</v>
      </c>
      <c r="B61" s="66">
        <f ca="1">IFERROR(VLOOKUP($A61,[1]!LOOKUP_MDAPs,B$2,FALSE)/$I61,"")</f>
        <v>5.50084089156538E-4</v>
      </c>
      <c r="C61" s="66">
        <f ca="1">IFERROR(VLOOKUP($A61,[1]!LOOKUP_MDAPs,C$2,FALSE)/$I61,"")</f>
        <v>8.5302207606580235E-2</v>
      </c>
      <c r="D61" s="66">
        <f ca="1">IFERROR(VLOOKUP($A61,[1]!LOOKUP_MDAPs,D$2,FALSE)/$I61,"")</f>
        <v>6.9889655932141157E-5</v>
      </c>
      <c r="E61" s="66">
        <f ca="1">IFERROR(VLOOKUP($A61,[1]!LOOKUP_MDAPs,E$2,FALSE)/$I61,"")</f>
        <v>1.968393388535967E-3</v>
      </c>
      <c r="F61" s="66">
        <f ca="1">IFERROR(VLOOKUP($A61,[1]!LOOKUP_MDAPs,F$2,FALSE)/$I61,"")</f>
        <v>0.11851898548085045</v>
      </c>
      <c r="G61" s="66">
        <f ca="1">IFERROR(VLOOKUP($A61,[1]!LOOKUP_MDAPs,G$2,FALSE)/$I61,"")</f>
        <v>0.17493549360151286</v>
      </c>
      <c r="H61" s="66">
        <f t="shared" ca="1" si="11"/>
        <v>0.61865494617743177</v>
      </c>
      <c r="I61" s="65">
        <f ca="1">IF(VLOOKUP($A61,[1]!LOOKUP_MDAPs,I$2,FALSE)&lt;&gt;0,VLOOKUP($A61,[1]!LOOKUP_MDAPs,I$2,FALSE),"")</f>
        <v>5446.6</v>
      </c>
      <c r="J61" s="62">
        <f ca="1">VLOOKUP($A61,[1]!LOOKUP_SARS_Unified2,J$2,FALSE)</f>
        <v>0.28000000000000003</v>
      </c>
      <c r="K61" s="78">
        <f t="shared" ca="1" si="6"/>
        <v>729.87599999999998</v>
      </c>
      <c r="L61" s="77">
        <f ca="1">VLOOKUP($A61,[1]!LOOKUP_SARS_Unified2,L$2,FALSE)</f>
        <v>2606.6999999999998</v>
      </c>
      <c r="M61" s="76" t="e">
        <f t="shared" ca="1" si="12"/>
        <v>#N/A</v>
      </c>
      <c r="U61" s="133" t="str">
        <f t="shared" si="8"/>
        <v>JDAM</v>
      </c>
      <c r="V61" s="19">
        <f t="shared" ca="1" si="13"/>
        <v>8.687143321797082E-2</v>
      </c>
      <c r="W61" s="37">
        <f t="shared" ca="1" si="14"/>
        <v>0.26282606834171773</v>
      </c>
      <c r="X61" s="19">
        <f t="shared" ca="1" si="15"/>
        <v>0.26344604208680644</v>
      </c>
      <c r="Y61" s="37">
        <f t="shared" ca="1" si="16"/>
        <v>0.33052822258492054</v>
      </c>
      <c r="Z61" s="19">
        <f t="shared" ca="1" si="17"/>
        <v>1.002358874631426</v>
      </c>
      <c r="AA61" s="75" t="e">
        <f ca="1">M61+'Funding-Bar'!$L$5</f>
        <v>#N/A</v>
      </c>
    </row>
    <row r="62" spans="1:27" s="1" customFormat="1" ht="15" customHeight="1" x14ac:dyDescent="0.25">
      <c r="A62" s="92" t="s">
        <v>181</v>
      </c>
      <c r="B62" s="66">
        <f ca="1">IFERROR(VLOOKUP($A62,[1]!LOOKUP_MDAPs,B$2,FALSE)/$I62,"")</f>
        <v>0</v>
      </c>
      <c r="C62" s="66">
        <f ca="1">IFERROR(VLOOKUP($A62,[1]!LOOKUP_MDAPs,C$2,FALSE)/$I62,"")</f>
        <v>0</v>
      </c>
      <c r="D62" s="66">
        <f ca="1">IFERROR(VLOOKUP($A62,[1]!LOOKUP_MDAPs,D$2,FALSE)/$I62,"")</f>
        <v>0</v>
      </c>
      <c r="E62" s="66">
        <f ca="1">IFERROR(VLOOKUP($A62,[1]!LOOKUP_MDAPs,E$2,FALSE)/$I62,"")</f>
        <v>0</v>
      </c>
      <c r="F62" s="66">
        <f ca="1">IFERROR(VLOOKUP($A62,[1]!LOOKUP_MDAPs,F$2,FALSE)/$I62,"")</f>
        <v>0</v>
      </c>
      <c r="G62" s="66">
        <f ca="1">IFERROR(VLOOKUP($A62,[1]!LOOKUP_MDAPs,G$2,FALSE)/$I62,"")</f>
        <v>0</v>
      </c>
      <c r="H62" s="66">
        <f t="shared" ca="1" si="11"/>
        <v>1</v>
      </c>
      <c r="I62" s="65">
        <f ca="1">IF(VLOOKUP($A62,[1]!LOOKUP_MDAPs,I$2,FALSE)&lt;&gt;0,VLOOKUP($A62,[1]!LOOKUP_MDAPs,I$2,FALSE),"")</f>
        <v>1450</v>
      </c>
      <c r="J62" s="62">
        <f ca="1">VLOOKUP($A62,[1]!LOOKUP_SARS_Unified2,J$2,FALSE)</f>
        <v>-4.4000000000000004E-2</v>
      </c>
      <c r="K62" s="78">
        <f t="shared" ca="1" si="6"/>
        <v>-171.26120000000003</v>
      </c>
      <c r="L62" s="77">
        <f ca="1">VLOOKUP($A62,[1]!LOOKUP_SARS_Unified2,L$2,FALSE)</f>
        <v>3892.3</v>
      </c>
      <c r="M62" s="76" t="e">
        <f t="shared" ca="1" si="12"/>
        <v>#N/A</v>
      </c>
      <c r="U62" s="133" t="str">
        <f t="shared" si="8"/>
        <v>JHSV</v>
      </c>
      <c r="V62" s="19">
        <f t="shared" ca="1" si="13"/>
        <v>0</v>
      </c>
      <c r="W62" s="37">
        <f t="shared" ca="1" si="14"/>
        <v>0</v>
      </c>
      <c r="X62" s="19">
        <f t="shared" ca="1" si="15"/>
        <v>0</v>
      </c>
      <c r="Y62" s="37" t="str">
        <f t="shared" ca="1" si="16"/>
        <v/>
      </c>
      <c r="Z62" s="19" t="str">
        <f t="shared" ca="1" si="17"/>
        <v/>
      </c>
      <c r="AA62" s="75" t="e">
        <f ca="1">M62+'Funding-Bar'!$L$5</f>
        <v>#N/A</v>
      </c>
    </row>
    <row r="63" spans="1:27" s="1" customFormat="1" ht="15" customHeight="1" x14ac:dyDescent="0.25">
      <c r="A63" s="92" t="s">
        <v>78</v>
      </c>
      <c r="B63" s="66">
        <f ca="1">IFERROR(VLOOKUP($A63,[1]!LOOKUP_MDAPs,B$2,FALSE)/$I63,"")</f>
        <v>1.3208778727243776E-3</v>
      </c>
      <c r="C63" s="66">
        <f ca="1">IFERROR(VLOOKUP($A63,[1]!LOOKUP_MDAPs,C$2,FALSE)/$I63,"")</f>
        <v>8.0643851175627619E-3</v>
      </c>
      <c r="D63" s="66">
        <f ca="1">IFERROR(VLOOKUP($A63,[1]!LOOKUP_MDAPs,D$2,FALSE)/$I63,"")</f>
        <v>3.7683774746563348E-8</v>
      </c>
      <c r="E63" s="66">
        <f ca="1">IFERROR(VLOOKUP($A63,[1]!LOOKUP_MDAPs,E$2,FALSE)/$I63,"")</f>
        <v>0</v>
      </c>
      <c r="F63" s="66">
        <f ca="1">IFERROR(VLOOKUP($A63,[1]!LOOKUP_MDAPs,F$2,FALSE)/$I63,"")</f>
        <v>0</v>
      </c>
      <c r="G63" s="66">
        <f ca="1">IFERROR(VLOOKUP($A63,[1]!LOOKUP_MDAPs,G$2,FALSE)/$I63,"")</f>
        <v>6.6862657916246487E-2</v>
      </c>
      <c r="H63" s="66">
        <f t="shared" ca="1" si="11"/>
        <v>0.92375204140969158</v>
      </c>
      <c r="I63" s="65">
        <f ca="1">IF(VLOOKUP($A63,[1]!LOOKUP_MDAPs,I$2,FALSE)&lt;&gt;0,VLOOKUP($A63,[1]!LOOKUP_MDAPs,I$2,FALSE),"")</f>
        <v>1884.1</v>
      </c>
      <c r="J63" s="62">
        <f ca="1">VLOOKUP($A63,[1]!LOOKUP_SARS_Unified2,J$2,FALSE)</f>
        <v>-0.223</v>
      </c>
      <c r="K63" s="78">
        <f t="shared" ca="1" si="6"/>
        <v>-1594.673</v>
      </c>
      <c r="L63" s="77">
        <f ca="1">VLOOKUP($A63,[1]!LOOKUP_SARS_Unified2,L$2,FALSE)</f>
        <v>7151</v>
      </c>
      <c r="M63" s="76" t="e">
        <f t="shared" ca="1" si="12"/>
        <v>#N/A</v>
      </c>
      <c r="U63" s="133" t="str">
        <f t="shared" si="8"/>
        <v>JLENS</v>
      </c>
      <c r="V63" s="19">
        <f t="shared" ca="1" si="13"/>
        <v>9.3852818321745121E-3</v>
      </c>
      <c r="W63" s="37">
        <f t="shared" ca="1" si="14"/>
        <v>7.6247958590308376E-2</v>
      </c>
      <c r="X63" s="19">
        <f t="shared" ca="1" si="15"/>
        <v>7.7568874146807493E-2</v>
      </c>
      <c r="Y63" s="37">
        <f t="shared" ca="1" si="16"/>
        <v>0.12308895878252987</v>
      </c>
      <c r="Z63" s="19">
        <f t="shared" ca="1" si="17"/>
        <v>1.0173239465150352</v>
      </c>
      <c r="AA63" s="75" t="e">
        <f ca="1">M63+'Funding-Bar'!$L$5</f>
        <v>#N/A</v>
      </c>
    </row>
    <row r="64" spans="1:27" s="1" customFormat="1" ht="15" customHeight="1" x14ac:dyDescent="0.25">
      <c r="A64" s="92" t="s">
        <v>6</v>
      </c>
      <c r="B64" s="66">
        <f ca="1">IFERROR(VLOOKUP($A64,[1]!LOOKUP_MDAPs,B$2,FALSE)/$I64,"")</f>
        <v>0</v>
      </c>
      <c r="C64" s="66">
        <f ca="1">IFERROR(VLOOKUP($A64,[1]!LOOKUP_MDAPs,C$2,FALSE)/$I64,"")</f>
        <v>0</v>
      </c>
      <c r="D64" s="66">
        <f ca="1">IFERROR(VLOOKUP($A64,[1]!LOOKUP_MDAPs,D$2,FALSE)/$I64,"")</f>
        <v>0</v>
      </c>
      <c r="E64" s="66">
        <f ca="1">IFERROR(VLOOKUP($A64,[1]!LOOKUP_MDAPs,E$2,FALSE)/$I64,"")</f>
        <v>0</v>
      </c>
      <c r="F64" s="66">
        <f ca="1">IFERROR(VLOOKUP($A64,[1]!LOOKUP_MDAPs,F$2,FALSE)/$I64,"")</f>
        <v>0</v>
      </c>
      <c r="G64" s="66">
        <f ca="1">IFERROR(VLOOKUP($A64,[1]!LOOKUP_MDAPs,G$2,FALSE)/$I64,"")</f>
        <v>0</v>
      </c>
      <c r="H64" s="66">
        <f t="shared" ca="1" si="11"/>
        <v>1</v>
      </c>
      <c r="I64" s="65">
        <f ca="1">IF(VLOOKUP($A64,[1]!LOOKUP_MDAPs,I$2,FALSE)&lt;&gt;0,VLOOKUP($A64,[1]!LOOKUP_MDAPs,I$2,FALSE),"")</f>
        <v>35532.699999999997</v>
      </c>
      <c r="J64" s="62">
        <f ca="1">VLOOKUP($A64,[1]!LOOKUP_SARS_Unified2,J$2,FALSE)</f>
        <v>0.27399999999999997</v>
      </c>
      <c r="K64" s="78">
        <f t="shared" ca="1" si="6"/>
        <v>6141.7099999999991</v>
      </c>
      <c r="L64" s="77">
        <f ca="1">VLOOKUP($A64,[1]!LOOKUP_SARS_Unified2,L$2,FALSE)</f>
        <v>22415</v>
      </c>
      <c r="M64" s="76" t="e">
        <f t="shared" ca="1" si="12"/>
        <v>#N/A</v>
      </c>
      <c r="U64" s="133" t="str">
        <f t="shared" si="8"/>
        <v>Joint MRAP</v>
      </c>
      <c r="V64" s="19">
        <f t="shared" ca="1" si="13"/>
        <v>0</v>
      </c>
      <c r="W64" s="37">
        <f t="shared" ca="1" si="14"/>
        <v>0</v>
      </c>
      <c r="X64" s="19">
        <f t="shared" ca="1" si="15"/>
        <v>0</v>
      </c>
      <c r="Y64" s="37" t="str">
        <f t="shared" ca="1" si="16"/>
        <v/>
      </c>
      <c r="Z64" s="19" t="str">
        <f t="shared" ca="1" si="17"/>
        <v/>
      </c>
      <c r="AA64" s="75" t="e">
        <f ca="1">M64+'Funding-Bar'!$L$5</f>
        <v>#N/A</v>
      </c>
    </row>
    <row r="65" spans="1:27" s="1" customFormat="1" ht="15" customHeight="1" x14ac:dyDescent="0.25">
      <c r="A65" s="92" t="s">
        <v>182</v>
      </c>
      <c r="B65" s="66">
        <f ca="1">IFERROR(VLOOKUP($A65,[1]!LOOKUP_MDAPs,B$2,FALSE)/$I65,"")</f>
        <v>1.4917646769790718E-3</v>
      </c>
      <c r="C65" s="66">
        <f ca="1">IFERROR(VLOOKUP($A65,[1]!LOOKUP_MDAPs,C$2,FALSE)/$I65,"")</f>
        <v>9.1642229208371256E-2</v>
      </c>
      <c r="D65" s="66">
        <f ca="1">IFERROR(VLOOKUP($A65,[1]!LOOKUP_MDAPs,D$2,FALSE)/$I65,"")</f>
        <v>0</v>
      </c>
      <c r="E65" s="66">
        <f ca="1">IFERROR(VLOOKUP($A65,[1]!LOOKUP_MDAPs,E$2,FALSE)/$I65,"")</f>
        <v>0</v>
      </c>
      <c r="F65" s="66">
        <f ca="1">IFERROR(VLOOKUP($A65,[1]!LOOKUP_MDAPs,F$2,FALSE)/$I65,"")</f>
        <v>0</v>
      </c>
      <c r="G65" s="66">
        <f ca="1">IFERROR(VLOOKUP($A65,[1]!LOOKUP_MDAPs,G$2,FALSE)/$I65,"")</f>
        <v>3.7961783439490444E-5</v>
      </c>
      <c r="H65" s="66">
        <f t="shared" ca="1" si="11"/>
        <v>0.90682804433121023</v>
      </c>
      <c r="I65" s="65">
        <f ca="1">IF(VLOOKUP($A65,[1]!LOOKUP_MDAPs,I$2,FALSE)&lt;&gt;0,VLOOKUP($A65,[1]!LOOKUP_MDAPs,I$2,FALSE),"")</f>
        <v>549.5</v>
      </c>
      <c r="J65" s="62">
        <f ca="1">VLOOKUP($A65,[1]!LOOKUP_SARS_Unified2,J$2,FALSE)</f>
        <v>-3.6000000000000004E-2</v>
      </c>
      <c r="K65" s="78">
        <f t="shared" ca="1" si="6"/>
        <v>-37.148400000000009</v>
      </c>
      <c r="L65" s="77">
        <f ca="1">VLOOKUP($A65,[1]!LOOKUP_SARS_Unified2,L$2,FALSE)</f>
        <v>1031.9000000000001</v>
      </c>
      <c r="M65" s="76" t="e">
        <f t="shared" ca="1" si="12"/>
        <v>#N/A</v>
      </c>
      <c r="U65" s="133" t="str">
        <f t="shared" si="8"/>
        <v>JPALS</v>
      </c>
      <c r="V65" s="19">
        <f t="shared" ca="1" si="13"/>
        <v>9.3133993885350333E-2</v>
      </c>
      <c r="W65" s="37">
        <f t="shared" ca="1" si="14"/>
        <v>9.317195566878983E-2</v>
      </c>
      <c r="X65" s="19">
        <f t="shared" ca="1" si="15"/>
        <v>9.4663720345768892E-2</v>
      </c>
      <c r="Y65" s="37">
        <f t="shared" ca="1" si="16"/>
        <v>0.99959256212701553</v>
      </c>
      <c r="Z65" s="19">
        <f t="shared" ca="1" si="17"/>
        <v>1.0160108765161271</v>
      </c>
      <c r="AA65" s="75" t="e">
        <f ca="1">M65+'Funding-Bar'!$L$5</f>
        <v>#N/A</v>
      </c>
    </row>
    <row r="66" spans="1:27" s="1" customFormat="1" ht="15" customHeight="1" x14ac:dyDescent="0.25">
      <c r="A66" s="92" t="s">
        <v>21</v>
      </c>
      <c r="B66" s="66">
        <f ca="1">IFERROR(VLOOKUP($A66,[1]!LOOKUP_MDAPs,B$2,FALSE)/$I66,"")</f>
        <v>4.0185115260787045E-2</v>
      </c>
      <c r="C66" s="66">
        <f ca="1">IFERROR(VLOOKUP($A66,[1]!LOOKUP_MDAPs,C$2,FALSE)/$I66,"")</f>
        <v>0.11387867968810737</v>
      </c>
      <c r="D66" s="66">
        <f ca="1">IFERROR(VLOOKUP($A66,[1]!LOOKUP_MDAPs,D$2,FALSE)/$I66,"")</f>
        <v>1.0697093727848535E-4</v>
      </c>
      <c r="E66" s="66">
        <f ca="1">IFERROR(VLOOKUP($A66,[1]!LOOKUP_MDAPs,E$2,FALSE)/$I66,"")</f>
        <v>7.2361901996204236E-2</v>
      </c>
      <c r="F66" s="66">
        <f ca="1">IFERROR(VLOOKUP($A66,[1]!LOOKUP_MDAPs,F$2,FALSE)/$I66,"")</f>
        <v>9.8866302334621448E-5</v>
      </c>
      <c r="G66" s="66">
        <f ca="1">IFERROR(VLOOKUP($A66,[1]!LOOKUP_MDAPs,G$2,FALSE)/$I66,"")</f>
        <v>0.38089800662200168</v>
      </c>
      <c r="H66" s="66">
        <f t="shared" ca="1" si="11"/>
        <v>0.3924704591932866</v>
      </c>
      <c r="I66" s="65">
        <f ca="1">IF(VLOOKUP($A66,[1]!LOOKUP_MDAPs,I$2,FALSE)&lt;&gt;0,VLOOKUP($A66,[1]!LOOKUP_MDAPs,I$2,FALSE),"")</f>
        <v>4373.3</v>
      </c>
      <c r="J66" s="62">
        <f ca="1">VLOOKUP($A66,[1]!LOOKUP_SARS_Unified2,J$2,FALSE)</f>
        <v>9.4E-2</v>
      </c>
      <c r="K66" s="78">
        <f t="shared" ca="1" si="6"/>
        <v>473.86340000000001</v>
      </c>
      <c r="L66" s="77">
        <f ca="1">VLOOKUP($A66,[1]!LOOKUP_SARS_Unified2,L$2,FALSE)</f>
        <v>5041.1000000000004</v>
      </c>
      <c r="M66" s="76" t="e">
        <f t="shared" ca="1" si="12"/>
        <v>#N/A</v>
      </c>
      <c r="U66" s="133" t="str">
        <f t="shared" si="8"/>
        <v>JPATS</v>
      </c>
      <c r="V66" s="19">
        <f t="shared" ca="1" si="13"/>
        <v>0.19029823141563576</v>
      </c>
      <c r="W66" s="37">
        <f t="shared" ca="1" si="14"/>
        <v>0.60743067450437882</v>
      </c>
      <c r="X66" s="19">
        <f t="shared" ca="1" si="15"/>
        <v>0.64772276070244428</v>
      </c>
      <c r="Y66" s="37">
        <f t="shared" ca="1" si="16"/>
        <v>0.31328386827172644</v>
      </c>
      <c r="Z66" s="19">
        <f t="shared" ca="1" si="17"/>
        <v>1.0663319912695239</v>
      </c>
      <c r="AA66" s="75" t="e">
        <f ca="1">M66+'Funding-Bar'!$L$5</f>
        <v>#N/A</v>
      </c>
    </row>
    <row r="67" spans="1:27" s="1" customFormat="1" ht="15" customHeight="1" x14ac:dyDescent="0.25">
      <c r="A67" s="92" t="s">
        <v>220</v>
      </c>
      <c r="B67" s="66">
        <f ca="1">IFERROR(VLOOKUP($A67,[1]!LOOKUP_MDAPs,B$2,FALSE)/$I67,"")</f>
        <v>0</v>
      </c>
      <c r="C67" s="66">
        <f ca="1">IFERROR(VLOOKUP($A67,[1]!LOOKUP_MDAPs,C$2,FALSE)/$I67,"")</f>
        <v>0</v>
      </c>
      <c r="D67" s="66">
        <f ca="1">IFERROR(VLOOKUP($A67,[1]!LOOKUP_MDAPs,D$2,FALSE)/$I67,"")</f>
        <v>1.3649906992406122</v>
      </c>
      <c r="E67" s="66">
        <f ca="1">IFERROR(VLOOKUP($A67,[1]!LOOKUP_MDAPs,E$2,FALSE)/$I67,"")</f>
        <v>0</v>
      </c>
      <c r="F67" s="66">
        <f ca="1">IFERROR(VLOOKUP($A67,[1]!LOOKUP_MDAPs,F$2,FALSE)/$I67,"")</f>
        <v>0</v>
      </c>
      <c r="G67" s="66">
        <f ca="1">IFERROR(VLOOKUP($A67,[1]!LOOKUP_MDAPs,G$2,FALSE)/$I67,"")</f>
        <v>0</v>
      </c>
      <c r="H67" s="66">
        <f t="shared" ca="1" si="11"/>
        <v>-0.36499069924061223</v>
      </c>
      <c r="I67" s="65">
        <f ca="1">IF(VLOOKUP($A67,[1]!LOOKUP_MDAPs,I$2,FALSE)&lt;&gt;0,VLOOKUP($A67,[1]!LOOKUP_MDAPs,I$2,FALSE),"")</f>
        <v>0.86121999999999999</v>
      </c>
      <c r="J67" s="62">
        <f ca="1">VLOOKUP($A67,[1]!LOOKUP_SARS_Unified2,J$2,FALSE)</f>
        <v>-0.29299999999999998</v>
      </c>
      <c r="K67" s="78">
        <f t="shared" ca="1" si="6"/>
        <v>-385.79309999999998</v>
      </c>
      <c r="L67" s="77">
        <f ca="1">VLOOKUP($A67,[1]!LOOKUP_SARS_Unified2,L$2,FALSE)</f>
        <v>1316.7</v>
      </c>
      <c r="M67" s="76" t="e">
        <f t="shared" ca="1" si="12"/>
        <v>#N/A</v>
      </c>
      <c r="U67" s="133" t="str">
        <f t="shared" si="8"/>
        <v>JSIMS</v>
      </c>
      <c r="V67" s="19">
        <f t="shared" ca="1" si="13"/>
        <v>0.68249534962030611</v>
      </c>
      <c r="W67" s="37">
        <f t="shared" ca="1" si="14"/>
        <v>1.3649906992406122</v>
      </c>
      <c r="X67" s="19">
        <f t="shared" ca="1" si="15"/>
        <v>2.7299813984812245</v>
      </c>
      <c r="Y67" s="37">
        <f t="shared" ca="1" si="16"/>
        <v>0.5</v>
      </c>
      <c r="Z67" s="19">
        <f t="shared" ca="1" si="17"/>
        <v>2</v>
      </c>
      <c r="AA67" s="75" t="e">
        <f ca="1">M67+'Funding-Bar'!$L$5</f>
        <v>#N/A</v>
      </c>
    </row>
    <row r="68" spans="1:27" s="1" customFormat="1" ht="15" customHeight="1" x14ac:dyDescent="0.25">
      <c r="A68" s="92" t="s">
        <v>33</v>
      </c>
      <c r="B68" s="66">
        <f ca="1">IFERROR(VLOOKUP($A68,[1]!LOOKUP_MDAPs,B$2,FALSE)/$I68,"")</f>
        <v>3.3689317880350946E-3</v>
      </c>
      <c r="C68" s="66">
        <f ca="1">IFERROR(VLOOKUP($A68,[1]!LOOKUP_MDAPs,C$2,FALSE)/$I68,"")</f>
        <v>2.5692100539074283E-4</v>
      </c>
      <c r="D68" s="66">
        <f ca="1">IFERROR(VLOOKUP($A68,[1]!LOOKUP_MDAPs,D$2,FALSE)/$I68,"")</f>
        <v>6.0190403871800136E-3</v>
      </c>
      <c r="E68" s="66">
        <f ca="1">IFERROR(VLOOKUP($A68,[1]!LOOKUP_MDAPs,E$2,FALSE)/$I68,"")</f>
        <v>2.1448396919852911E-3</v>
      </c>
      <c r="F68" s="66">
        <f ca="1">IFERROR(VLOOKUP($A68,[1]!LOOKUP_MDAPs,F$2,FALSE)/$I68,"")</f>
        <v>0</v>
      </c>
      <c r="G68" s="66">
        <f ca="1">IFERROR(VLOOKUP($A68,[1]!LOOKUP_MDAPs,G$2,FALSE)/$I68,"")</f>
        <v>1.321146656224341</v>
      </c>
      <c r="H68" s="66">
        <f t="shared" ca="1" si="11"/>
        <v>-0.33293638909693213</v>
      </c>
      <c r="I68" s="65">
        <f ca="1">IF(VLOOKUP($A68,[1]!LOOKUP_MDAPs,I$2,FALSE)&lt;&gt;0,VLOOKUP($A68,[1]!LOOKUP_MDAPs,I$2,FALSE),"")</f>
        <v>507.89541244999992</v>
      </c>
      <c r="J68" s="62">
        <f ca="1">VLOOKUP($A68,[1]!LOOKUP_SARS_Unified2,J$2,FALSE)</f>
        <v>-1.2E-2</v>
      </c>
      <c r="K68" s="78">
        <f t="shared" ca="1" si="6"/>
        <v>-94.481999999999999</v>
      </c>
      <c r="L68" s="77">
        <f ca="1">VLOOKUP($A68,[1]!LOOKUP_SARS_Unified2,L$2,FALSE)</f>
        <v>7873.5</v>
      </c>
      <c r="M68" s="76" t="e">
        <f t="shared" ca="1" si="12"/>
        <v>#N/A</v>
      </c>
      <c r="U68" s="133" t="str">
        <f t="shared" si="8"/>
        <v>JSOW</v>
      </c>
      <c r="V68" s="19">
        <f t="shared" ca="1" si="13"/>
        <v>7.7077928330084901E-3</v>
      </c>
      <c r="W68" s="37">
        <f t="shared" ca="1" si="14"/>
        <v>1.3329363890969321</v>
      </c>
      <c r="X68" s="19">
        <f t="shared" ca="1" si="15"/>
        <v>1.3423243612721474</v>
      </c>
      <c r="Y68" s="37">
        <f t="shared" ca="1" si="16"/>
        <v>5.7825661419826195E-3</v>
      </c>
      <c r="Z68" s="19">
        <f t="shared" ca="1" si="17"/>
        <v>1.007043075912704</v>
      </c>
      <c r="AA68" s="75" t="e">
        <f ca="1">M68+'Funding-Bar'!$L$5</f>
        <v>#N/A</v>
      </c>
    </row>
    <row r="69" spans="1:27" s="1" customFormat="1" ht="15" customHeight="1" x14ac:dyDescent="0.25">
      <c r="A69" s="92" t="s">
        <v>68</v>
      </c>
      <c r="B69" s="66">
        <f ca="1">IFERROR(VLOOKUP($A69,[1]!LOOKUP_MDAPs,B$2,FALSE)/$I69,"")</f>
        <v>0.24244465344664182</v>
      </c>
      <c r="C69" s="66">
        <f ca="1">IFERROR(VLOOKUP($A69,[1]!LOOKUP_MDAPs,C$2,FALSE)/$I69,"")</f>
        <v>7.1673722120427111E-5</v>
      </c>
      <c r="D69" s="66">
        <f ca="1">IFERROR(VLOOKUP($A69,[1]!LOOKUP_MDAPs,D$2,FALSE)/$I69,"")</f>
        <v>1.8647314968092501E-3</v>
      </c>
      <c r="E69" s="66">
        <f ca="1">IFERROR(VLOOKUP($A69,[1]!LOOKUP_MDAPs,E$2,FALSE)/$I69,"")</f>
        <v>3.4619473052378848E-3</v>
      </c>
      <c r="F69" s="66">
        <f ca="1">IFERROR(VLOOKUP($A69,[1]!LOOKUP_MDAPs,F$2,FALSE)/$I69,"")</f>
        <v>6.2212674543501601E-5</v>
      </c>
      <c r="G69" s="66">
        <f ca="1">IFERROR(VLOOKUP($A69,[1]!LOOKUP_MDAPs,G$2,FALSE)/$I69,"")</f>
        <v>0.41193050153535093</v>
      </c>
      <c r="H69" s="66">
        <f t="shared" ca="1" si="11"/>
        <v>0.3401642798192962</v>
      </c>
      <c r="I69" s="65">
        <f ca="1">IF(VLOOKUP($A69,[1]!LOOKUP_MDAPs,I$2,FALSE)&lt;&gt;0,VLOOKUP($A69,[1]!LOOKUP_MDAPs,I$2,FALSE),"")</f>
        <v>1582.7</v>
      </c>
      <c r="J69" s="62">
        <f ca="1">VLOOKUP($A69,[1]!LOOKUP_SARS_Unified2,J$2,FALSE)</f>
        <v>-0.252</v>
      </c>
      <c r="K69" s="78">
        <f t="shared" ca="1" si="6"/>
        <v>-4816.4508000000005</v>
      </c>
      <c r="L69" s="77">
        <f ca="1">VLOOKUP($A69,[1]!LOOKUP_SARS_Unified2,L$2,FALSE)</f>
        <v>19112.900000000001</v>
      </c>
      <c r="M69" s="76" t="e">
        <f t="shared" ca="1" si="12"/>
        <v>#N/A</v>
      </c>
      <c r="U69" s="133" t="str">
        <f t="shared" si="8"/>
        <v>JTRS GMR</v>
      </c>
      <c r="V69" s="19">
        <f t="shared" ca="1" si="13"/>
        <v>0.24517966656978582</v>
      </c>
      <c r="W69" s="37">
        <f t="shared" ca="1" si="14"/>
        <v>0.65977350750616026</v>
      </c>
      <c r="X69" s="19">
        <f t="shared" ca="1" si="15"/>
        <v>0.90408289244961137</v>
      </c>
      <c r="Y69" s="37">
        <f t="shared" ca="1" si="16"/>
        <v>0.37161186949825598</v>
      </c>
      <c r="Z69" s="19">
        <f t="shared" ca="1" si="17"/>
        <v>1.3702928083106913</v>
      </c>
      <c r="AA69" s="75" t="e">
        <f ca="1">M69+'Funding-Bar'!$L$5</f>
        <v>#N/A</v>
      </c>
    </row>
    <row r="70" spans="1:27" s="1" customFormat="1" ht="15" customHeight="1" x14ac:dyDescent="0.25">
      <c r="A70" s="92" t="s">
        <v>76</v>
      </c>
      <c r="B70" s="66">
        <f ca="1">IFERROR(VLOOKUP($A70,[1]!LOOKUP_MDAPs,B$2,FALSE)/$I70,"")</f>
        <v>0</v>
      </c>
      <c r="C70" s="66">
        <f ca="1">IFERROR(VLOOKUP($A70,[1]!LOOKUP_MDAPs,C$2,FALSE)/$I70,"")</f>
        <v>0</v>
      </c>
      <c r="D70" s="66">
        <f ca="1">IFERROR(VLOOKUP($A70,[1]!LOOKUP_MDAPs,D$2,FALSE)/$I70,"")</f>
        <v>0</v>
      </c>
      <c r="E70" s="66">
        <f ca="1">IFERROR(VLOOKUP($A70,[1]!LOOKUP_MDAPs,E$2,FALSE)/$I70,"")</f>
        <v>0</v>
      </c>
      <c r="F70" s="66">
        <f ca="1">IFERROR(VLOOKUP($A70,[1]!LOOKUP_MDAPs,F$2,FALSE)/$I70,"")</f>
        <v>0</v>
      </c>
      <c r="G70" s="66">
        <f ca="1">IFERROR(VLOOKUP($A70,[1]!LOOKUP_MDAPs,G$2,FALSE)/$I70,"")</f>
        <v>0</v>
      </c>
      <c r="H70" s="66">
        <f t="shared" ca="1" si="11"/>
        <v>1</v>
      </c>
      <c r="I70" s="65">
        <f ca="1">IF(VLOOKUP($A70,[1]!LOOKUP_MDAPs,I$2,FALSE)&lt;&gt;0,VLOOKUP($A70,[1]!LOOKUP_MDAPs,I$2,FALSE),"")</f>
        <v>951</v>
      </c>
      <c r="J70" s="62">
        <f ca="1">VLOOKUP($A70,[1]!LOOKUP_SARS_Unified2,J$2,FALSE)</f>
        <v>-0.25800000000000001</v>
      </c>
      <c r="K70" s="78">
        <f t="shared" ca="1" si="6"/>
        <v>-2764.9859999999999</v>
      </c>
      <c r="L70" s="77">
        <f ca="1">VLOOKUP($A70,[1]!LOOKUP_SARS_Unified2,L$2,FALSE)</f>
        <v>10717</v>
      </c>
      <c r="M70" s="76" t="e">
        <f t="shared" ca="1" si="12"/>
        <v>#N/A</v>
      </c>
      <c r="U70" s="133" t="str">
        <f t="shared" si="8"/>
        <v>JTRS HMS</v>
      </c>
      <c r="V70" s="19">
        <f t="shared" ca="1" si="13"/>
        <v>0</v>
      </c>
      <c r="W70" s="37">
        <f t="shared" ca="1" si="14"/>
        <v>0</v>
      </c>
      <c r="X70" s="19">
        <f t="shared" ca="1" si="15"/>
        <v>0</v>
      </c>
      <c r="Y70" s="37" t="str">
        <f t="shared" ca="1" si="16"/>
        <v/>
      </c>
      <c r="Z70" s="19" t="str">
        <f t="shared" ca="1" si="17"/>
        <v/>
      </c>
      <c r="AA70" s="75" t="e">
        <f ca="1">M70+'Funding-Bar'!$L$5</f>
        <v>#N/A</v>
      </c>
    </row>
    <row r="71" spans="1:27" s="1" customFormat="1" ht="15" customHeight="1" x14ac:dyDescent="0.25">
      <c r="A71" s="92" t="s">
        <v>70</v>
      </c>
      <c r="B71" s="66">
        <f ca="1">IFERROR(VLOOKUP($A71,[1]!LOOKUP_MDAPs,B$2,FALSE)/$I71,"")</f>
        <v>0.25277361916970409</v>
      </c>
      <c r="C71" s="66">
        <f ca="1">IFERROR(VLOOKUP($A71,[1]!LOOKUP_MDAPs,C$2,FALSE)/$I71,"")</f>
        <v>0.11468010417619076</v>
      </c>
      <c r="D71" s="66">
        <f ca="1">IFERROR(VLOOKUP($A71,[1]!LOOKUP_MDAPs,D$2,FALSE)/$I71,"")</f>
        <v>1.5053075369123371E-3</v>
      </c>
      <c r="E71" s="66">
        <f ca="1">IFERROR(VLOOKUP($A71,[1]!LOOKUP_MDAPs,E$2,FALSE)/$I71,"")</f>
        <v>4.9616332056588624E-3</v>
      </c>
      <c r="F71" s="66">
        <f ca="1">IFERROR(VLOOKUP($A71,[1]!LOOKUP_MDAPs,F$2,FALSE)/$I71,"")</f>
        <v>0</v>
      </c>
      <c r="G71" s="66">
        <f ca="1">IFERROR(VLOOKUP($A71,[1]!LOOKUP_MDAPs,G$2,FALSE)/$I71,"")</f>
        <v>1.1993157904491259E-2</v>
      </c>
      <c r="H71" s="66">
        <f t="shared" ref="H71:H91" ca="1" si="18">1-SUM(B71:G71)</f>
        <v>0.61408617800704268</v>
      </c>
      <c r="I71" s="65">
        <f ca="1">IF(VLOOKUP($A71,[1]!LOOKUP_MDAPs,I$2,FALSE)&lt;&gt;0,VLOOKUP($A71,[1]!LOOKUP_MDAPs,I$2,FALSE),"")</f>
        <v>1618.7</v>
      </c>
      <c r="J71" s="62">
        <f ca="1">VLOOKUP($A71,[1]!LOOKUP_SARS_Unified2,J$2,FALSE)</f>
        <v>1.179</v>
      </c>
      <c r="K71" s="78">
        <f t="shared" ca="1" si="6"/>
        <v>1078.0776000000001</v>
      </c>
      <c r="L71" s="77">
        <f ca="1">VLOOKUP($A71,[1]!LOOKUP_SARS_Unified2,L$2,FALSE)</f>
        <v>914.4</v>
      </c>
      <c r="M71" s="76" t="e">
        <f t="shared" ca="1" si="12"/>
        <v>#N/A</v>
      </c>
      <c r="U71" s="133" t="str">
        <f t="shared" si="8"/>
        <v>JTRS NED</v>
      </c>
      <c r="V71" s="19">
        <f t="shared" ref="V71:V110" ca="1" si="19">SUMPRODUCT($B71:$H71,$B$3:$H$3)</f>
        <v>0.37068719371718051</v>
      </c>
      <c r="W71" s="37">
        <f t="shared" ref="W71:W110" ca="1" si="20">SUMPRODUCT($B71:$H71,$B$4:$H$4)</f>
        <v>0.38591382199295732</v>
      </c>
      <c r="X71" s="19">
        <f t="shared" ref="X71:X90" ca="1" si="21">(B71+D71)*2+C71+E71+G71</f>
        <v>0.64019274869957388</v>
      </c>
      <c r="Y71" s="37">
        <f t="shared" ref="Y71:Y90" ca="1" si="22">IFERROR(V71/W71,"")</f>
        <v>0.96054396756990301</v>
      </c>
      <c r="Z71" s="19">
        <f t="shared" ref="Z71:Z90" ca="1" si="23">IFERROR(X71/W71,"")</f>
        <v>1.6589008017216262</v>
      </c>
      <c r="AA71" s="75" t="e">
        <f ca="1">M71+'Funding-Bar'!$L$5</f>
        <v>#N/A</v>
      </c>
    </row>
    <row r="72" spans="1:27" s="1" customFormat="1" ht="15" customHeight="1" x14ac:dyDescent="0.25">
      <c r="A72" s="92" t="s">
        <v>45</v>
      </c>
      <c r="B72" s="66">
        <f ca="1">IFERROR(VLOOKUP($A72,[1]!LOOKUP_MDAPs,B$2,FALSE)/$I72,"")</f>
        <v>3.8575301947251666E-4</v>
      </c>
      <c r="C72" s="66">
        <f ca="1">IFERROR(VLOOKUP($A72,[1]!LOOKUP_MDAPs,C$2,FALSE)/$I72,"")</f>
        <v>0</v>
      </c>
      <c r="D72" s="66">
        <f ca="1">IFERROR(VLOOKUP($A72,[1]!LOOKUP_MDAPs,D$2,FALSE)/$I72,"")</f>
        <v>0</v>
      </c>
      <c r="E72" s="66">
        <f ca="1">IFERROR(VLOOKUP($A72,[1]!LOOKUP_MDAPs,E$2,FALSE)/$I72,"")</f>
        <v>0</v>
      </c>
      <c r="F72" s="66">
        <f ca="1">IFERROR(VLOOKUP($A72,[1]!LOOKUP_MDAPs,F$2,FALSE)/$I72,"")</f>
        <v>0</v>
      </c>
      <c r="G72" s="66">
        <f ca="1">IFERROR(VLOOKUP($A72,[1]!LOOKUP_MDAPs,G$2,FALSE)/$I72,"")</f>
        <v>0</v>
      </c>
      <c r="H72" s="66">
        <f t="shared" ca="1" si="18"/>
        <v>0.99961424698052748</v>
      </c>
      <c r="I72" s="65">
        <f ca="1">IF(VLOOKUP($A72,[1]!LOOKUP_MDAPs,I$2,FALSE)&lt;&gt;0,VLOOKUP($A72,[1]!LOOKUP_MDAPs,I$2,FALSE),"")</f>
        <v>405.7</v>
      </c>
      <c r="J72" s="62">
        <f ca="1">VLOOKUP($A72,[1]!LOOKUP_SARS_Unified2,J$2,FALSE)</f>
        <v>0.129</v>
      </c>
      <c r="K72" s="78">
        <f t="shared" ref="K72:K110" ca="1" si="24">J72*L72</f>
        <v>47.213999999999999</v>
      </c>
      <c r="L72" s="77">
        <f ca="1">VLOOKUP($A72,[1]!LOOKUP_SARS_Unified2,L$2,FALSE)</f>
        <v>366</v>
      </c>
      <c r="M72" s="76" t="e">
        <f t="shared" ca="1" si="12"/>
        <v>#N/A</v>
      </c>
      <c r="U72" s="133" t="str">
        <f t="shared" ref="U72:U110" si="25">A72</f>
        <v>LAIRCM</v>
      </c>
      <c r="V72" s="19">
        <f t="shared" ca="1" si="19"/>
        <v>3.8575301947251666E-4</v>
      </c>
      <c r="W72" s="37">
        <f t="shared" ca="1" si="20"/>
        <v>3.8575301947251666E-4</v>
      </c>
      <c r="X72" s="19">
        <f t="shared" ca="1" si="21"/>
        <v>7.7150603894503332E-4</v>
      </c>
      <c r="Y72" s="37">
        <f t="shared" ca="1" si="22"/>
        <v>1</v>
      </c>
      <c r="Z72" s="19">
        <f t="shared" ca="1" si="23"/>
        <v>2</v>
      </c>
      <c r="AA72" s="75" t="e">
        <f ca="1">M72+'Funding-Bar'!$L$5</f>
        <v>#N/A</v>
      </c>
    </row>
    <row r="73" spans="1:27" s="1" customFormat="1" ht="15" customHeight="1" x14ac:dyDescent="0.25">
      <c r="A73" s="92" t="s">
        <v>221</v>
      </c>
      <c r="B73" s="66">
        <f ca="1">IFERROR(VLOOKUP($A73,[1]!LOOKUP_MDAPs,B$2,FALSE)/$I73,"")</f>
        <v>0</v>
      </c>
      <c r="C73" s="66">
        <f ca="1">IFERROR(VLOOKUP($A73,[1]!LOOKUP_MDAPs,C$2,FALSE)/$I73,"")</f>
        <v>0</v>
      </c>
      <c r="D73" s="66">
        <f ca="1">IFERROR(VLOOKUP($A73,[1]!LOOKUP_MDAPs,D$2,FALSE)/$I73,"")</f>
        <v>0</v>
      </c>
      <c r="E73" s="66">
        <f ca="1">IFERROR(VLOOKUP($A73,[1]!LOOKUP_MDAPs,E$2,FALSE)/$I73,"")</f>
        <v>0</v>
      </c>
      <c r="F73" s="66">
        <f ca="1">IFERROR(VLOOKUP($A73,[1]!LOOKUP_MDAPs,F$2,FALSE)/$I73,"")</f>
        <v>0</v>
      </c>
      <c r="G73" s="66">
        <f ca="1">IFERROR(VLOOKUP($A73,[1]!LOOKUP_MDAPs,G$2,FALSE)/$I73,"")</f>
        <v>0</v>
      </c>
      <c r="H73" s="66">
        <f t="shared" ca="1" si="18"/>
        <v>1</v>
      </c>
      <c r="I73" s="65">
        <f ca="1">IF(VLOOKUP($A73,[1]!LOOKUP_MDAPs,I$2,FALSE)&lt;&gt;0,VLOOKUP($A73,[1]!LOOKUP_MDAPs,I$2,FALSE),"")</f>
        <v>671.4</v>
      </c>
      <c r="J73" s="62">
        <f ca="1">VLOOKUP($A73,[1]!LOOKUP_SARS_Unified2,J$2,FALSE)</f>
        <v>-0.92900000000000005</v>
      </c>
      <c r="K73" s="78">
        <f t="shared" ca="1" si="24"/>
        <v>-2642.4476000000004</v>
      </c>
      <c r="L73" s="77">
        <f ca="1">VLOOKUP($A73,[1]!LOOKUP_SARS_Unified2,L$2,FALSE)</f>
        <v>2844.4</v>
      </c>
      <c r="M73" s="76" t="e">
        <f t="shared" ca="1" si="12"/>
        <v>#N/A</v>
      </c>
      <c r="U73" s="133" t="str">
        <f t="shared" si="25"/>
        <v>LAND WARRIOR</v>
      </c>
      <c r="V73" s="19">
        <f t="shared" ca="1" si="19"/>
        <v>0</v>
      </c>
      <c r="W73" s="37">
        <f t="shared" ca="1" si="20"/>
        <v>0</v>
      </c>
      <c r="X73" s="19">
        <f t="shared" ca="1" si="21"/>
        <v>0</v>
      </c>
      <c r="Y73" s="37" t="str">
        <f t="shared" ca="1" si="22"/>
        <v/>
      </c>
      <c r="Z73" s="19" t="str">
        <f t="shared" ca="1" si="23"/>
        <v/>
      </c>
      <c r="AA73" s="75" t="e">
        <f ca="1">M73+'Funding-Bar'!$L$5</f>
        <v>#N/A</v>
      </c>
    </row>
    <row r="74" spans="1:27" s="1" customFormat="1" ht="15" customHeight="1" x14ac:dyDescent="0.25">
      <c r="A74" s="92" t="s">
        <v>62</v>
      </c>
      <c r="B74" s="66">
        <f ca="1">IFERROR(VLOOKUP($A74,[1]!LOOKUP_MDAPs,B$2,FALSE)/$I74,"")</f>
        <v>1.0123155683325962E-3</v>
      </c>
      <c r="C74" s="66">
        <f ca="1">IFERROR(VLOOKUP($A74,[1]!LOOKUP_MDAPs,C$2,FALSE)/$I74,"")</f>
        <v>3.4458204334365324E-6</v>
      </c>
      <c r="D74" s="66">
        <f ca="1">IFERROR(VLOOKUP($A74,[1]!LOOKUP_MDAPs,D$2,FALSE)/$I74,"")</f>
        <v>3.319740030959752E-3</v>
      </c>
      <c r="E74" s="66">
        <f ca="1">IFERROR(VLOOKUP($A74,[1]!LOOKUP_MDAPs,E$2,FALSE)/$I74,"")</f>
        <v>0</v>
      </c>
      <c r="F74" s="66">
        <f ca="1">IFERROR(VLOOKUP($A74,[1]!LOOKUP_MDAPs,F$2,FALSE)/$I74,"")</f>
        <v>0</v>
      </c>
      <c r="G74" s="66">
        <f ca="1">IFERROR(VLOOKUP($A74,[1]!LOOKUP_MDAPs,G$2,FALSE)/$I74,"")</f>
        <v>0.22668967337461302</v>
      </c>
      <c r="H74" s="66">
        <f t="shared" ca="1" si="18"/>
        <v>0.76897482520566118</v>
      </c>
      <c r="I74" s="65">
        <f ca="1">IF(VLOOKUP($A74,[1]!LOOKUP_MDAPs,I$2,FALSE)&lt;&gt;0,VLOOKUP($A74,[1]!LOOKUP_MDAPs,I$2,FALSE),"")</f>
        <v>4522</v>
      </c>
      <c r="J74" s="62">
        <f ca="1">VLOOKUP($A74,[1]!LOOKUP_SARS_Unified2,J$2,FALSE)</f>
        <v>3.9E-2</v>
      </c>
      <c r="K74" s="78">
        <f t="shared" ca="1" si="24"/>
        <v>120.6465</v>
      </c>
      <c r="L74" s="77">
        <f ca="1">VLOOKUP($A74,[1]!LOOKUP_SARS_Unified2,L$2,FALSE)</f>
        <v>3093.5</v>
      </c>
      <c r="M74" s="76" t="e">
        <f t="shared" ca="1" si="12"/>
        <v>#N/A</v>
      </c>
      <c r="U74" s="133" t="str">
        <f t="shared" si="25"/>
        <v>LHA Replacement</v>
      </c>
      <c r="V74" s="19">
        <f t="shared" ca="1" si="19"/>
        <v>2.6756314042459088E-3</v>
      </c>
      <c r="W74" s="37">
        <f t="shared" ca="1" si="20"/>
        <v>0.23102517479433879</v>
      </c>
      <c r="X74" s="19">
        <f t="shared" ca="1" si="21"/>
        <v>0.23535723039363116</v>
      </c>
      <c r="Y74" s="37">
        <f t="shared" ca="1" si="22"/>
        <v>1.1581557752863019E-2</v>
      </c>
      <c r="Z74" s="19">
        <f t="shared" ca="1" si="23"/>
        <v>1.0187514438768364</v>
      </c>
      <c r="AA74" s="75" t="e">
        <f ca="1">M74+'Funding-Bar'!$L$5</f>
        <v>#N/A</v>
      </c>
    </row>
    <row r="75" spans="1:27" s="1" customFormat="1" ht="15" customHeight="1" x14ac:dyDescent="0.25">
      <c r="A75" s="92" t="s">
        <v>245</v>
      </c>
      <c r="B75" s="66">
        <f ca="1">IFERROR(VLOOKUP($A75,[1]!LOOKUP_MDAPs,B$2,FALSE)/$I75,"")</f>
        <v>6.475349622430589E-5</v>
      </c>
      <c r="C75" s="66">
        <f ca="1">IFERROR(VLOOKUP($A75,[1]!LOOKUP_MDAPs,C$2,FALSE)/$I75,"")</f>
        <v>9.5939893079034812E-6</v>
      </c>
      <c r="D75" s="66">
        <f ca="1">IFERROR(VLOOKUP($A75,[1]!LOOKUP_MDAPs,D$2,FALSE)/$I75,"")</f>
        <v>2.7616483775542017E-5</v>
      </c>
      <c r="E75" s="66">
        <f ca="1">IFERROR(VLOOKUP($A75,[1]!LOOKUP_MDAPs,E$2,FALSE)/$I75,"")</f>
        <v>0</v>
      </c>
      <c r="F75" s="66">
        <f ca="1">IFERROR(VLOOKUP($A75,[1]!LOOKUP_MDAPs,F$2,FALSE)/$I75,"")</f>
        <v>0</v>
      </c>
      <c r="G75" s="66">
        <f ca="1">IFERROR(VLOOKUP($A75,[1]!LOOKUP_MDAPs,G$2,FALSE)/$I75,"")</f>
        <v>1.3925728712765879E-3</v>
      </c>
      <c r="H75" s="66">
        <f t="shared" ca="1" si="18"/>
        <v>0.99850546315941568</v>
      </c>
      <c r="I75" s="65">
        <f ca="1">IF(VLOOKUP($A75,[1]!LOOKUP_MDAPs,I$2,FALSE)&lt;&gt;0,VLOOKUP($A75,[1]!LOOKUP_MDAPs,I$2,FALSE),"")</f>
        <v>13149.9</v>
      </c>
      <c r="J75" s="62">
        <f ca="1">VLOOKUP($A75,[1]!LOOKUP_SARS_Unified2,J$2,FALSE)</f>
        <v>69.7</v>
      </c>
      <c r="K75" s="78">
        <f t="shared" ca="1" si="24"/>
        <v>489837.66000000003</v>
      </c>
      <c r="L75" s="77">
        <f ca="1">VLOOKUP($A75,[1]!LOOKUP_SARS_Unified2,L$2,FALSE)</f>
        <v>7027.8</v>
      </c>
      <c r="M75" s="76" t="str">
        <f ca="1">IFERROR((VLOOKUP($B$5,$N$53:$O$59,2,FALSE)*$B75+VLOOKUP($C$5,$N$53:$O$59,2,FALSE)*$C75+VLOOKUP($D$5,$N$53:$O$59,2,FALSE)*$D75+VLOOKUP($E$5,$N$53:$O$59,2,FALSE)*$E75+VLOOKUP($G$5,$N$53:$O$59,2,FALSE)*$G75+VLOOKUP($F$5,$N$53:$O$59,2,FALSE)*$F75)/(1-$H75),"")</f>
        <v/>
      </c>
      <c r="U75" s="133" t="str">
        <f t="shared" si="25"/>
        <v>LONGBOW APACHE</v>
      </c>
      <c r="V75" s="19">
        <f t="shared" ca="1" si="19"/>
        <v>8.8155727419980369E-5</v>
      </c>
      <c r="W75" s="37">
        <f t="shared" ca="1" si="20"/>
        <v>1.4945368405843392E-3</v>
      </c>
      <c r="X75" s="19">
        <f t="shared" ca="1" si="21"/>
        <v>1.5869068205841873E-3</v>
      </c>
      <c r="Y75" s="37">
        <f t="shared" ca="1" si="22"/>
        <v>5.8985315735350451E-2</v>
      </c>
      <c r="Z75" s="19">
        <f t="shared" ca="1" si="23"/>
        <v>1.0618050873632081</v>
      </c>
      <c r="AA75" s="75" t="e">
        <f ca="1">M75+'Funding-Bar'!$L$5</f>
        <v>#VALUE!</v>
      </c>
    </row>
    <row r="76" spans="1:27" s="1" customFormat="1" ht="15" customHeight="1" x14ac:dyDescent="0.25">
      <c r="A76" s="92" t="s">
        <v>37</v>
      </c>
      <c r="B76" s="66">
        <f ca="1">IFERROR(VLOOKUP($A76,[1]!LOOKUP_MDAPs,B$2,FALSE)/$I76,"")</f>
        <v>4.8832016925740344E-2</v>
      </c>
      <c r="C76" s="66">
        <f ca="1">IFERROR(VLOOKUP($A76,[1]!LOOKUP_MDAPs,C$2,FALSE)/$I76,"")</f>
        <v>4.5133676932080031E-3</v>
      </c>
      <c r="D76" s="66">
        <f ca="1">IFERROR(VLOOKUP($A76,[1]!LOOKUP_MDAPs,D$2,FALSE)/$I76,"")</f>
        <v>1.194780732233642E-5</v>
      </c>
      <c r="E76" s="66">
        <f ca="1">IFERROR(VLOOKUP($A76,[1]!LOOKUP_MDAPs,E$2,FALSE)/$I76,"")</f>
        <v>6.3433427209441265E-7</v>
      </c>
      <c r="F76" s="66">
        <f ca="1">IFERROR(VLOOKUP($A76,[1]!LOOKUP_MDAPs,F$2,FALSE)/$I76,"")</f>
        <v>0</v>
      </c>
      <c r="G76" s="66">
        <f ca="1">IFERROR(VLOOKUP($A76,[1]!LOOKUP_MDAPs,G$2,FALSE)/$I76,"")</f>
        <v>0.1751776195036758</v>
      </c>
      <c r="H76" s="66">
        <f t="shared" ca="1" si="18"/>
        <v>0.77146441373578145</v>
      </c>
      <c r="I76" s="65">
        <f ca="1">IF(VLOOKUP($A76,[1]!LOOKUP_MDAPs,I$2,FALSE)&lt;&gt;0,VLOOKUP($A76,[1]!LOOKUP_MDAPs,I$2,FALSE),"")</f>
        <v>16404.599999999999</v>
      </c>
      <c r="J76" s="62">
        <f ca="1">VLOOKUP($A76,[1]!LOOKUP_SARS_Unified2,J$2,FALSE)</f>
        <v>1.0270000000000001</v>
      </c>
      <c r="K76" s="78">
        <f t="shared" ca="1" si="24"/>
        <v>11052.368600000002</v>
      </c>
      <c r="L76" s="77">
        <f ca="1">VLOOKUP($A76,[1]!LOOKUP_SARS_Unified2,L$2,FALSE)</f>
        <v>10761.8</v>
      </c>
      <c r="M76" s="76" t="e">
        <f t="shared" ref="M76:M110" ca="1" si="26">(VLOOKUP($B$5,$N$53:$O$59,2,FALSE)*$B76+VLOOKUP($C$5,$N$53:$O$59,2,FALSE)*$C76+VLOOKUP($D$5,$N$53:$O$59,2,FALSE)*$D76+VLOOKUP($E$5,$N$53:$O$59,2,FALSE)*$E76+VLOOKUP($G$5,$N$53:$O$59,2,FALSE)*$G76+VLOOKUP($F$5,$N$53:$O$59,2,FALSE)*$F76)/(1-$H76)</f>
        <v>#N/A</v>
      </c>
      <c r="U76" s="133" t="str">
        <f t="shared" si="25"/>
        <v>LPD 17</v>
      </c>
      <c r="V76" s="19">
        <f t="shared" ca="1" si="19"/>
        <v>5.335167568974556E-2</v>
      </c>
      <c r="W76" s="37">
        <f t="shared" ca="1" si="20"/>
        <v>0.22853558626421858</v>
      </c>
      <c r="X76" s="19">
        <f t="shared" ca="1" si="21"/>
        <v>0.27737955099728129</v>
      </c>
      <c r="Y76" s="37">
        <f t="shared" ca="1" si="22"/>
        <v>0.23345018848864826</v>
      </c>
      <c r="Z76" s="19">
        <f t="shared" ca="1" si="23"/>
        <v>1.2137258600793679</v>
      </c>
      <c r="AA76" s="75" t="e">
        <f ca="1">M76+'Funding-Bar'!$L$5</f>
        <v>#N/A</v>
      </c>
    </row>
    <row r="77" spans="1:27" s="1" customFormat="1" ht="15" customHeight="1" x14ac:dyDescent="0.25">
      <c r="A77" s="92" t="s">
        <v>58</v>
      </c>
      <c r="B77" s="66">
        <f ca="1">IFERROR(VLOOKUP($A77,[1]!LOOKUP_MDAPs,B$2,FALSE)/$I77,"")</f>
        <v>0.4740739840489846</v>
      </c>
      <c r="C77" s="66">
        <f ca="1">IFERROR(VLOOKUP($A77,[1]!LOOKUP_MDAPs,C$2,FALSE)/$I77,"")</f>
        <v>0</v>
      </c>
      <c r="D77" s="66">
        <f ca="1">IFERROR(VLOOKUP($A77,[1]!LOOKUP_MDAPs,D$2,FALSE)/$I77,"")</f>
        <v>0</v>
      </c>
      <c r="E77" s="66">
        <f ca="1">IFERROR(VLOOKUP($A77,[1]!LOOKUP_MDAPs,E$2,FALSE)/$I77,"")</f>
        <v>0</v>
      </c>
      <c r="F77" s="66">
        <f ca="1">IFERROR(VLOOKUP($A77,[1]!LOOKUP_MDAPs,F$2,FALSE)/$I77,"")</f>
        <v>0</v>
      </c>
      <c r="G77" s="66">
        <f ca="1">IFERROR(VLOOKUP($A77,[1]!LOOKUP_MDAPs,G$2,FALSE)/$I77,"")</f>
        <v>0</v>
      </c>
      <c r="H77" s="66">
        <f t="shared" ca="1" si="18"/>
        <v>0.5259260159510154</v>
      </c>
      <c r="I77" s="65">
        <f ca="1">IF(VLOOKUP($A77,[1]!LOOKUP_MDAPs,I$2,FALSE)&lt;&gt;0,VLOOKUP($A77,[1]!LOOKUP_MDAPs,I$2,FALSE),"")</f>
        <v>1290.2</v>
      </c>
      <c r="J77" s="62">
        <f ca="1">VLOOKUP($A77,[1]!LOOKUP_SARS_Unified2,J$2,FALSE)</f>
        <v>-9.0000000000000011E-3</v>
      </c>
      <c r="K77" s="78">
        <f t="shared" ca="1" si="24"/>
        <v>-16.947000000000003</v>
      </c>
      <c r="L77" s="77">
        <f ca="1">VLOOKUP($A77,[1]!LOOKUP_SARS_Unified2,L$2,FALSE)</f>
        <v>1883</v>
      </c>
      <c r="M77" s="76" t="e">
        <f t="shared" ca="1" si="26"/>
        <v>#N/A</v>
      </c>
      <c r="U77" s="133" t="str">
        <f t="shared" si="25"/>
        <v>LUH</v>
      </c>
      <c r="V77" s="19">
        <f t="shared" ca="1" si="19"/>
        <v>0.4740739840489846</v>
      </c>
      <c r="W77" s="37">
        <f t="shared" ca="1" si="20"/>
        <v>0.4740739840489846</v>
      </c>
      <c r="X77" s="19">
        <f t="shared" ca="1" si="21"/>
        <v>0.9481479680979692</v>
      </c>
      <c r="Y77" s="37">
        <f t="shared" ca="1" si="22"/>
        <v>1</v>
      </c>
      <c r="Z77" s="19">
        <f t="shared" ca="1" si="23"/>
        <v>2</v>
      </c>
      <c r="AA77" s="75" t="e">
        <f ca="1">M77+'Funding-Bar'!$L$5</f>
        <v>#N/A</v>
      </c>
    </row>
    <row r="78" spans="1:27" s="1" customFormat="1" ht="15" customHeight="1" x14ac:dyDescent="0.25">
      <c r="A78" s="92" t="s">
        <v>41</v>
      </c>
      <c r="B78" s="66">
        <f ca="1">IFERROR(VLOOKUP($A78,[1]!LOOKUP_MDAPs,B$2,FALSE)/$I78,"")</f>
        <v>1.3361642296889867E-2</v>
      </c>
      <c r="C78" s="66">
        <f ca="1">IFERROR(VLOOKUP($A78,[1]!LOOKUP_MDAPs,C$2,FALSE)/$I78,"")</f>
        <v>2.964568466485538E-3</v>
      </c>
      <c r="D78" s="66">
        <f ca="1">IFERROR(VLOOKUP($A78,[1]!LOOKUP_MDAPs,D$2,FALSE)/$I78,"")</f>
        <v>3.1364946074216734E-3</v>
      </c>
      <c r="E78" s="66">
        <f ca="1">IFERROR(VLOOKUP($A78,[1]!LOOKUP_MDAPs,E$2,FALSE)/$I78,"")</f>
        <v>3.2657583966709085E-3</v>
      </c>
      <c r="F78" s="66">
        <f ca="1">IFERROR(VLOOKUP($A78,[1]!LOOKUP_MDAPs,F$2,FALSE)/$I78,"")</f>
        <v>2.8492737673533488E-5</v>
      </c>
      <c r="G78" s="66">
        <f ca="1">IFERROR(VLOOKUP($A78,[1]!LOOKUP_MDAPs,G$2,FALSE)/$I78,"")</f>
        <v>0.28148960210475632</v>
      </c>
      <c r="H78" s="66">
        <f t="shared" ca="1" si="18"/>
        <v>0.69575344139010209</v>
      </c>
      <c r="I78" s="65">
        <f ca="1">IF(VLOOKUP($A78,[1]!LOOKUP_MDAPs,I$2,FALSE)&lt;&gt;0,VLOOKUP($A78,[1]!LOOKUP_MDAPs,I$2,FALSE),"")</f>
        <v>8723.1</v>
      </c>
      <c r="J78" s="62">
        <f ca="1">VLOOKUP($A78,[1]!LOOKUP_SARS_Unified2,J$2,FALSE)</f>
        <v>0.14000000000000001</v>
      </c>
      <c r="K78" s="78">
        <f t="shared" ca="1" si="24"/>
        <v>1599.4580000000003</v>
      </c>
      <c r="L78" s="77">
        <f ca="1">VLOOKUP($A78,[1]!LOOKUP_SARS_Unified2,L$2,FALSE)</f>
        <v>11424.7</v>
      </c>
      <c r="M78" s="76" t="e">
        <f t="shared" ca="1" si="26"/>
        <v>#N/A</v>
      </c>
      <c r="N78" s="4"/>
      <c r="O78" s="12"/>
      <c r="P78" s="12"/>
      <c r="Q78" s="9"/>
      <c r="U78" s="133" t="str">
        <f t="shared" si="25"/>
        <v>MH-60R</v>
      </c>
      <c r="V78" s="19">
        <f t="shared" ca="1" si="19"/>
        <v>1.9527337265421697E-2</v>
      </c>
      <c r="W78" s="37">
        <f t="shared" ca="1" si="20"/>
        <v>0.30421806587222433</v>
      </c>
      <c r="X78" s="19">
        <f t="shared" ca="1" si="21"/>
        <v>0.32071620277653584</v>
      </c>
      <c r="Y78" s="37">
        <f t="shared" ca="1" si="22"/>
        <v>6.418861815268867E-2</v>
      </c>
      <c r="Z78" s="19">
        <f t="shared" ca="1" si="23"/>
        <v>1.0542312858935898</v>
      </c>
      <c r="AA78" s="75" t="e">
        <f ca="1">M78+'Funding-Bar'!$L$5</f>
        <v>#N/A</v>
      </c>
    </row>
    <row r="79" spans="1:27" s="1" customFormat="1" ht="15" customHeight="1" x14ac:dyDescent="0.25">
      <c r="A79" s="92" t="s">
        <v>44</v>
      </c>
      <c r="B79" s="66">
        <f ca="1">IFERROR(VLOOKUP($A79,[1]!LOOKUP_MDAPs,B$2,FALSE)/$I79,"")</f>
        <v>9.8177367557369857E-3</v>
      </c>
      <c r="C79" s="66">
        <f ca="1">IFERROR(VLOOKUP($A79,[1]!LOOKUP_MDAPs,C$2,FALSE)/$I79,"")</f>
        <v>1.5350577655439361E-2</v>
      </c>
      <c r="D79" s="66">
        <f ca="1">IFERROR(VLOOKUP($A79,[1]!LOOKUP_MDAPs,D$2,FALSE)/$I79,"")</f>
        <v>3.0712499767430516E-2</v>
      </c>
      <c r="E79" s="66">
        <f ca="1">IFERROR(VLOOKUP($A79,[1]!LOOKUP_MDAPs,E$2,FALSE)/$I79,"")</f>
        <v>3.4492119472408801E-2</v>
      </c>
      <c r="F79" s="66">
        <f ca="1">IFERROR(VLOOKUP($A79,[1]!LOOKUP_MDAPs,F$2,FALSE)/$I79,"")</f>
        <v>3.8468879600565977E-4</v>
      </c>
      <c r="G79" s="66">
        <f ca="1">IFERROR(VLOOKUP($A79,[1]!LOOKUP_MDAPs,G$2,FALSE)/$I79,"")</f>
        <v>0.13622914869484604</v>
      </c>
      <c r="H79" s="66">
        <f t="shared" ca="1" si="18"/>
        <v>0.77301322885813262</v>
      </c>
      <c r="I79" s="65">
        <f ca="1">IF(VLOOKUP($A79,[1]!LOOKUP_MDAPs,I$2,FALSE)&lt;&gt;0,VLOOKUP($A79,[1]!LOOKUP_MDAPs,I$2,FALSE),"")</f>
        <v>6148.7</v>
      </c>
      <c r="J79" s="62">
        <f ca="1">VLOOKUP($A79,[1]!LOOKUP_SARS_Unified2,J$2,FALSE)</f>
        <v>0.161</v>
      </c>
      <c r="K79" s="78">
        <f t="shared" ca="1" si="24"/>
        <v>981.10180000000003</v>
      </c>
      <c r="L79" s="77">
        <f ca="1">VLOOKUP($A79,[1]!LOOKUP_SARS_Unified2,L$2,FALSE)</f>
        <v>6093.8</v>
      </c>
      <c r="M79" s="76" t="e">
        <f t="shared" ca="1" si="26"/>
        <v>#N/A</v>
      </c>
      <c r="N79" s="4"/>
      <c r="O79" s="12"/>
      <c r="P79" s="12"/>
      <c r="Q79" s="12"/>
      <c r="U79" s="133" t="str">
        <f t="shared" si="25"/>
        <v>MH-60S</v>
      </c>
      <c r="V79" s="19">
        <f t="shared" ca="1" si="19"/>
        <v>5.7770624031096007E-2</v>
      </c>
      <c r="W79" s="37">
        <f t="shared" ca="1" si="20"/>
        <v>0.22660208234586171</v>
      </c>
      <c r="X79" s="19">
        <f t="shared" ca="1" si="21"/>
        <v>0.26713231886902922</v>
      </c>
      <c r="Y79" s="37">
        <f t="shared" ca="1" si="22"/>
        <v>0.25494304126879547</v>
      </c>
      <c r="Z79" s="19">
        <f t="shared" ca="1" si="23"/>
        <v>1.1788608299781924</v>
      </c>
      <c r="AA79" s="75" t="e">
        <f ca="1">M79+'Funding-Bar'!$L$5</f>
        <v>#N/A</v>
      </c>
    </row>
    <row r="80" spans="1:27" s="1" customFormat="1" ht="15" customHeight="1" x14ac:dyDescent="0.25">
      <c r="A80" s="92" t="s">
        <v>183</v>
      </c>
      <c r="B80" s="66">
        <f ca="1">IFERROR(VLOOKUP($A80,[1]!LOOKUP_MDAPs,B$2,FALSE)/$I80,"")</f>
        <v>6.1050144808836727E-2</v>
      </c>
      <c r="C80" s="66">
        <f ca="1">IFERROR(VLOOKUP($A80,[1]!LOOKUP_MDAPs,C$2,FALSE)/$I80,"")</f>
        <v>4.4116767853275271E-2</v>
      </c>
      <c r="D80" s="66">
        <f ca="1">IFERROR(VLOOKUP($A80,[1]!LOOKUP_MDAPs,D$2,FALSE)/$I80,"")</f>
        <v>1.0330276744609315E-4</v>
      </c>
      <c r="E80" s="66">
        <f ca="1">IFERROR(VLOOKUP($A80,[1]!LOOKUP_MDAPs,E$2,FALSE)/$I80,"")</f>
        <v>8.7431106648458562E-5</v>
      </c>
      <c r="F80" s="66">
        <f ca="1">IFERROR(VLOOKUP($A80,[1]!LOOKUP_MDAPs,F$2,FALSE)/$I80,"")</f>
        <v>0</v>
      </c>
      <c r="G80" s="66">
        <f ca="1">IFERROR(VLOOKUP($A80,[1]!LOOKUP_MDAPs,G$2,FALSE)/$I80,"")</f>
        <v>0.94673534382990288</v>
      </c>
      <c r="H80" s="66">
        <f t="shared" ca="1" si="18"/>
        <v>-5.2092990366109371E-2</v>
      </c>
      <c r="I80" s="65">
        <f ca="1">IF(VLOOKUP($A80,[1]!LOOKUP_MDAPs,I$2,FALSE)&lt;&gt;0,VLOOKUP($A80,[1]!LOOKUP_MDAPs,I$2,FALSE),"")</f>
        <v>2803.4873330100004</v>
      </c>
      <c r="J80" s="62">
        <f ca="1">VLOOKUP($A80,[1]!LOOKUP_SARS_Unified2,J$2,FALSE)</f>
        <v>0.17499999999999999</v>
      </c>
      <c r="K80" s="78">
        <f t="shared" ca="1" si="24"/>
        <v>318.3075</v>
      </c>
      <c r="L80" s="77">
        <f ca="1">VLOOKUP($A80,[1]!LOOKUP_SARS_Unified2,L$2,FALSE)</f>
        <v>1818.9</v>
      </c>
      <c r="M80" s="76" t="e">
        <f t="shared" ca="1" si="26"/>
        <v>#N/A</v>
      </c>
      <c r="N80" s="4"/>
      <c r="O80" s="12"/>
      <c r="P80" s="12"/>
      <c r="Q80" s="12"/>
      <c r="U80" s="133" t="str">
        <f t="shared" si="25"/>
        <v>MIDS JTRS</v>
      </c>
      <c r="V80" s="19">
        <f t="shared" ca="1" si="19"/>
        <v>0.10526227959915929</v>
      </c>
      <c r="W80" s="37">
        <f t="shared" ca="1" si="20"/>
        <v>1.0520929903661094</v>
      </c>
      <c r="X80" s="19">
        <f t="shared" ca="1" si="21"/>
        <v>1.1132464379423923</v>
      </c>
      <c r="Y80" s="37">
        <f t="shared" ca="1" si="22"/>
        <v>0.10005035730019446</v>
      </c>
      <c r="Z80" s="19">
        <f t="shared" ca="1" si="23"/>
        <v>1.0581255156495271</v>
      </c>
      <c r="AA80" s="75" t="e">
        <f ca="1">M80+'Funding-Bar'!$L$5</f>
        <v>#N/A</v>
      </c>
    </row>
    <row r="81" spans="1:27" s="1" customFormat="1" ht="15" customHeight="1" x14ac:dyDescent="0.25">
      <c r="A81" s="92" t="s">
        <v>66</v>
      </c>
      <c r="B81" s="66">
        <f ca="1">IFERROR(VLOOKUP($A81,[1]!LOOKUP_MDAPs,B$2,FALSE)/$I81,"")</f>
        <v>0</v>
      </c>
      <c r="C81" s="66">
        <f ca="1">IFERROR(VLOOKUP($A81,[1]!LOOKUP_MDAPs,C$2,FALSE)/$I81,"")</f>
        <v>0</v>
      </c>
      <c r="D81" s="66">
        <f ca="1">IFERROR(VLOOKUP($A81,[1]!LOOKUP_MDAPs,D$2,FALSE)/$I81,"")</f>
        <v>0</v>
      </c>
      <c r="E81" s="66">
        <f ca="1">IFERROR(VLOOKUP($A81,[1]!LOOKUP_MDAPs,E$2,FALSE)/$I81,"")</f>
        <v>0</v>
      </c>
      <c r="F81" s="66">
        <f ca="1">IFERROR(VLOOKUP($A81,[1]!LOOKUP_MDAPs,F$2,FALSE)/$I81,"")</f>
        <v>0</v>
      </c>
      <c r="G81" s="66">
        <f ca="1">IFERROR(VLOOKUP($A81,[1]!LOOKUP_MDAPs,G$2,FALSE)/$I81,"")</f>
        <v>3.4777033480838271E-2</v>
      </c>
      <c r="H81" s="66">
        <f t="shared" ca="1" si="18"/>
        <v>0.96522296651916173</v>
      </c>
      <c r="I81" s="65">
        <f ca="1">IF(VLOOKUP($A81,[1]!LOOKUP_MDAPs,I$2,FALSE)&lt;&gt;0,VLOOKUP($A81,[1]!LOOKUP_MDAPs,I$2,FALSE),"")</f>
        <v>1197.7</v>
      </c>
      <c r="J81" s="62">
        <f ca="1">VLOOKUP($A81,[1]!LOOKUP_SARS_Unified2,J$2,FALSE)</f>
        <v>-16.899999999999999</v>
      </c>
      <c r="K81" s="78">
        <f t="shared" ca="1" si="24"/>
        <v>-26505.96</v>
      </c>
      <c r="L81" s="77">
        <f ca="1">VLOOKUP($A81,[1]!LOOKUP_SARS_Unified2,L$2,FALSE)</f>
        <v>1568.4</v>
      </c>
      <c r="M81" s="76" t="e">
        <f t="shared" ca="1" si="26"/>
        <v>#N/A</v>
      </c>
      <c r="N81" s="4"/>
      <c r="O81" s="12"/>
      <c r="P81" s="12"/>
      <c r="Q81" s="12"/>
      <c r="U81" s="133" t="str">
        <f t="shared" si="25"/>
        <v>MP RTIP</v>
      </c>
      <c r="V81" s="19">
        <f t="shared" ca="1" si="19"/>
        <v>0</v>
      </c>
      <c r="W81" s="37">
        <f t="shared" ca="1" si="20"/>
        <v>3.4777033480838271E-2</v>
      </c>
      <c r="X81" s="19">
        <f t="shared" ca="1" si="21"/>
        <v>3.4777033480838271E-2</v>
      </c>
      <c r="Y81" s="37">
        <f t="shared" ca="1" si="22"/>
        <v>0</v>
      </c>
      <c r="Z81" s="19">
        <f t="shared" ca="1" si="23"/>
        <v>1</v>
      </c>
      <c r="AA81" s="75" t="e">
        <f ca="1">M81+'Funding-Bar'!$L$5</f>
        <v>#N/A</v>
      </c>
    </row>
    <row r="82" spans="1:27" s="1" customFormat="1" ht="15" customHeight="1" x14ac:dyDescent="0.25">
      <c r="A82" s="92" t="s">
        <v>65</v>
      </c>
      <c r="B82" s="66">
        <f ca="1">IFERROR(VLOOKUP($A82,[1]!LOOKUP_MDAPs,B$2,FALSE)/$I82,"")</f>
        <v>3.8602341078982439E-3</v>
      </c>
      <c r="C82" s="66">
        <f ca="1">IFERROR(VLOOKUP($A82,[1]!LOOKUP_MDAPs,C$2,FALSE)/$I82,"")</f>
        <v>5.7837352807556357E-2</v>
      </c>
      <c r="D82" s="66">
        <f ca="1">IFERROR(VLOOKUP($A82,[1]!LOOKUP_MDAPs,D$2,FALSE)/$I82,"")</f>
        <v>0.33101291172857389</v>
      </c>
      <c r="E82" s="66">
        <f ca="1">IFERROR(VLOOKUP($A82,[1]!LOOKUP_MDAPs,E$2,FALSE)/$I82,"")</f>
        <v>2.3845396071159529E-6</v>
      </c>
      <c r="F82" s="66">
        <f ca="1">IFERROR(VLOOKUP($A82,[1]!LOOKUP_MDAPs,F$2,FALSE)/$I82,"")</f>
        <v>0</v>
      </c>
      <c r="G82" s="66">
        <f ca="1">IFERROR(VLOOKUP($A82,[1]!LOOKUP_MDAPs,G$2,FALSE)/$I82,"")</f>
        <v>6.2834781634505798E-4</v>
      </c>
      <c r="H82" s="66">
        <f t="shared" ca="1" si="18"/>
        <v>0.60665876900001936</v>
      </c>
      <c r="I82" s="65">
        <f ca="1">IF(VLOOKUP($A82,[1]!LOOKUP_MDAPs,I$2,FALSE)&lt;&gt;0,VLOOKUP($A82,[1]!LOOKUP_MDAPs,I$2,FALSE),"")</f>
        <v>5177.1000000000004</v>
      </c>
      <c r="J82" s="62">
        <f ca="1">VLOOKUP($A82,[1]!LOOKUP_SARS_Unified2,J$2,FALSE)</f>
        <v>3.3000000000000002E-2</v>
      </c>
      <c r="K82" s="78">
        <f t="shared" ca="1" si="24"/>
        <v>224.74980000000002</v>
      </c>
      <c r="L82" s="77">
        <f ca="1">VLOOKUP($A82,[1]!LOOKUP_SARS_Unified2,L$2,FALSE)</f>
        <v>6810.6</v>
      </c>
      <c r="M82" s="76" t="e">
        <f t="shared" ca="1" si="26"/>
        <v>#N/A</v>
      </c>
      <c r="N82" s="4"/>
      <c r="O82" s="12"/>
      <c r="P82" s="12"/>
      <c r="Q82" s="12"/>
      <c r="U82" s="133" t="str">
        <f t="shared" si="25"/>
        <v>MUOS</v>
      </c>
      <c r="V82" s="19">
        <f t="shared" ca="1" si="19"/>
        <v>0.2272052350495451</v>
      </c>
      <c r="W82" s="37">
        <f t="shared" ca="1" si="20"/>
        <v>0.3933412309999807</v>
      </c>
      <c r="X82" s="19">
        <f t="shared" ca="1" si="21"/>
        <v>0.72821437683645274</v>
      </c>
      <c r="Y82" s="37">
        <f t="shared" ca="1" si="22"/>
        <v>0.57762882999050824</v>
      </c>
      <c r="Z82" s="19">
        <f t="shared" ca="1" si="23"/>
        <v>1.8513553104644869</v>
      </c>
      <c r="AA82" s="75" t="e">
        <f ca="1">M82+'Funding-Bar'!$L$5</f>
        <v>#N/A</v>
      </c>
    </row>
    <row r="83" spans="1:27" s="1" customFormat="1" ht="15" customHeight="1" x14ac:dyDescent="0.25">
      <c r="A83" s="92" t="s">
        <v>46</v>
      </c>
      <c r="B83" s="66">
        <f ca="1">IFERROR(VLOOKUP($A83,[1]!LOOKUP_MDAPs,B$2,FALSE)/$I83,"")</f>
        <v>2.5556472115234066E-2</v>
      </c>
      <c r="C83" s="66">
        <f ca="1">IFERROR(VLOOKUP($A83,[1]!LOOKUP_MDAPs,C$2,FALSE)/$I83,"")</f>
        <v>2.2373231485830593E-3</v>
      </c>
      <c r="D83" s="66">
        <f ca="1">IFERROR(VLOOKUP($A83,[1]!LOOKUP_MDAPs,D$2,FALSE)/$I83,"")</f>
        <v>1.7744296445905746E-2</v>
      </c>
      <c r="E83" s="66">
        <f ca="1">IFERROR(VLOOKUP($A83,[1]!LOOKUP_MDAPs,E$2,FALSE)/$I83,"")</f>
        <v>2.3694348677000154E-4</v>
      </c>
      <c r="F83" s="66">
        <f ca="1">IFERROR(VLOOKUP($A83,[1]!LOOKUP_MDAPs,F$2,FALSE)/$I83,"")</f>
        <v>0</v>
      </c>
      <c r="G83" s="66">
        <f ca="1">IFERROR(VLOOKUP($A83,[1]!LOOKUP_MDAPs,G$2,FALSE)/$I83,"")</f>
        <v>9.6467143572882413E-3</v>
      </c>
      <c r="H83" s="66">
        <f t="shared" ca="1" si="18"/>
        <v>0.9445782504462189</v>
      </c>
      <c r="I83" s="65">
        <f ca="1">IF(VLOOKUP($A83,[1]!LOOKUP_MDAPs,I$2,FALSE)&lt;&gt;0,VLOOKUP($A83,[1]!LOOKUP_MDAPs,I$2,FALSE),"")</f>
        <v>1277.4000000000001</v>
      </c>
      <c r="J83" s="62">
        <f ca="1">VLOOKUP($A83,[1]!LOOKUP_SARS_Unified2,J$2,FALSE)</f>
        <v>4.4999999999999998E-2</v>
      </c>
      <c r="K83" s="78">
        <f t="shared" ca="1" si="24"/>
        <v>63.949499999999993</v>
      </c>
      <c r="L83" s="77">
        <f ca="1">VLOOKUP($A83,[1]!LOOKUP_SARS_Unified2,L$2,FALSE)</f>
        <v>1421.1</v>
      </c>
      <c r="M83" s="76" t="e">
        <f t="shared" ca="1" si="26"/>
        <v>#N/A</v>
      </c>
      <c r="N83" s="4"/>
      <c r="O83" s="12"/>
      <c r="P83" s="12"/>
      <c r="Q83" s="12"/>
      <c r="U83" s="133" t="str">
        <f t="shared" si="25"/>
        <v>NAS</v>
      </c>
      <c r="V83" s="19">
        <f t="shared" ca="1" si="19"/>
        <v>3.6784415230155E-2</v>
      </c>
      <c r="W83" s="37">
        <f t="shared" ca="1" si="20"/>
        <v>5.5421749553781111E-2</v>
      </c>
      <c r="X83" s="19">
        <f t="shared" ca="1" si="21"/>
        <v>9.8722518114920929E-2</v>
      </c>
      <c r="Y83" s="37">
        <f t="shared" ca="1" si="22"/>
        <v>0.66371804438363147</v>
      </c>
      <c r="Z83" s="19">
        <f t="shared" ca="1" si="23"/>
        <v>1.7812955908062931</v>
      </c>
      <c r="AA83" s="75" t="e">
        <f ca="1">M83+'Funding-Bar'!$L$5</f>
        <v>#N/A</v>
      </c>
    </row>
    <row r="84" spans="1:27" s="1" customFormat="1" ht="15" customHeight="1" x14ac:dyDescent="0.25">
      <c r="A84" s="92" t="s">
        <v>63</v>
      </c>
      <c r="B84" s="66">
        <f ca="1">IFERROR(VLOOKUP($A84,[1]!LOOKUP_MDAPs,B$2,FALSE)/$I84,"")</f>
        <v>1.1890716424700178</v>
      </c>
      <c r="C84" s="66">
        <f ca="1">IFERROR(VLOOKUP($A84,[1]!LOOKUP_MDAPs,C$2,FALSE)/$I84,"")</f>
        <v>0.12672713028460006</v>
      </c>
      <c r="D84" s="66">
        <f ca="1">IFERROR(VLOOKUP($A84,[1]!LOOKUP_MDAPs,D$2,FALSE)/$I84,"")</f>
        <v>4.3635439196832333E-3</v>
      </c>
      <c r="E84" s="66">
        <f ca="1">IFERROR(VLOOKUP($A84,[1]!LOOKUP_MDAPs,E$2,FALSE)/$I84,"")</f>
        <v>1.0706623641965451E-2</v>
      </c>
      <c r="F84" s="66">
        <f ca="1">IFERROR(VLOOKUP($A84,[1]!LOOKUP_MDAPs,F$2,FALSE)/$I84,"")</f>
        <v>0</v>
      </c>
      <c r="G84" s="66">
        <f ca="1">IFERROR(VLOOKUP($A84,[1]!LOOKUP_MDAPs,G$2,FALSE)/$I84,"")</f>
        <v>0.26834135400404474</v>
      </c>
      <c r="H84" s="66">
        <f t="shared" ca="1" si="18"/>
        <v>-0.59921029432031125</v>
      </c>
      <c r="I84" s="65">
        <f ca="1">IF(VLOOKUP($A84,[1]!LOOKUP_MDAPs,I$2,FALSE)&lt;&gt;0,VLOOKUP($A84,[1]!LOOKUP_MDAPs,I$2,FALSE),"")</f>
        <v>1685.5687659799999</v>
      </c>
      <c r="J84" s="62">
        <f ca="1">VLOOKUP($A84,[1]!LOOKUP_SARS_Unified2,J$2,FALSE)</f>
        <v>0.28899999999999998</v>
      </c>
      <c r="K84" s="78">
        <f t="shared" ca="1" si="24"/>
        <v>1732.6416999999999</v>
      </c>
      <c r="L84" s="77">
        <f ca="1">VLOOKUP($A84,[1]!LOOKUP_SARS_Unified2,L$2,FALSE)</f>
        <v>5995.3</v>
      </c>
      <c r="M84" s="76" t="e">
        <f t="shared" ca="1" si="26"/>
        <v>#N/A</v>
      </c>
      <c r="N84" s="4"/>
      <c r="O84" s="12"/>
      <c r="P84" s="12"/>
      <c r="Q84" s="12"/>
      <c r="U84" s="133" t="str">
        <f t="shared" si="25"/>
        <v>Navstar GPS</v>
      </c>
      <c r="V84" s="19">
        <f t="shared" ca="1" si="19"/>
        <v>1.3233338565354422</v>
      </c>
      <c r="W84" s="37">
        <f t="shared" ca="1" si="20"/>
        <v>1.5992102943203113</v>
      </c>
      <c r="X84" s="19">
        <f t="shared" ca="1" si="21"/>
        <v>2.7926454807100125</v>
      </c>
      <c r="Y84" s="37">
        <f t="shared" ca="1" si="22"/>
        <v>0.82749208233297378</v>
      </c>
      <c r="Z84" s="19">
        <f t="shared" ca="1" si="23"/>
        <v>1.7462653227210054</v>
      </c>
      <c r="AA84" s="75" t="e">
        <f ca="1">M84+'Funding-Bar'!$L$5</f>
        <v>#N/A</v>
      </c>
    </row>
    <row r="85" spans="1:27" s="1" customFormat="1" ht="15" customHeight="1" x14ac:dyDescent="0.25">
      <c r="A85" s="92" t="s">
        <v>71</v>
      </c>
      <c r="B85" s="66">
        <f ca="1">IFERROR(VLOOKUP($A85,[1]!LOOKUP_MDAPs,B$2,FALSE)/$I85,"")</f>
        <v>0</v>
      </c>
      <c r="C85" s="66">
        <f ca="1">IFERROR(VLOOKUP($A85,[1]!LOOKUP_MDAPs,C$2,FALSE)/$I85,"")</f>
        <v>0</v>
      </c>
      <c r="D85" s="66">
        <f ca="1">IFERROR(VLOOKUP($A85,[1]!LOOKUP_MDAPs,D$2,FALSE)/$I85,"")</f>
        <v>0</v>
      </c>
      <c r="E85" s="66">
        <f ca="1">IFERROR(VLOOKUP($A85,[1]!LOOKUP_MDAPs,E$2,FALSE)/$I85,"")</f>
        <v>0</v>
      </c>
      <c r="F85" s="66">
        <f ca="1">IFERROR(VLOOKUP($A85,[1]!LOOKUP_MDAPs,F$2,FALSE)/$I85,"")</f>
        <v>0</v>
      </c>
      <c r="G85" s="66">
        <f ca="1">IFERROR(VLOOKUP($A85,[1]!LOOKUP_MDAPs,G$2,FALSE)/$I85,"")</f>
        <v>0</v>
      </c>
      <c r="H85" s="66">
        <f t="shared" ca="1" si="18"/>
        <v>1</v>
      </c>
      <c r="I85" s="65">
        <f ca="1">IF(VLOOKUP($A85,[1]!LOOKUP_MDAPs,I$2,FALSE)&lt;&gt;0,VLOOKUP($A85,[1]!LOOKUP_MDAPs,I$2,FALSE),"")</f>
        <v>761.3</v>
      </c>
      <c r="J85" s="62">
        <f ca="1">VLOOKUP($A85,[1]!LOOKUP_SARS_Unified2,J$2,FALSE)</f>
        <v>7.0000000000000007E-2</v>
      </c>
      <c r="K85" s="78">
        <f t="shared" ca="1" si="24"/>
        <v>129.71</v>
      </c>
      <c r="L85" s="77">
        <f ca="1">VLOOKUP($A85,[1]!LOOKUP_SARS_Unified2,L$2,FALSE)</f>
        <v>1853</v>
      </c>
      <c r="M85" s="76" t="e">
        <f t="shared" ca="1" si="26"/>
        <v>#N/A</v>
      </c>
      <c r="N85" s="4"/>
      <c r="O85" s="12"/>
      <c r="P85" s="12"/>
      <c r="Q85" s="12"/>
      <c r="U85" s="133" t="str">
        <f t="shared" si="25"/>
        <v>NMT</v>
      </c>
      <c r="V85" s="19">
        <f t="shared" ca="1" si="19"/>
        <v>0</v>
      </c>
      <c r="W85" s="37">
        <f t="shared" ca="1" si="20"/>
        <v>0</v>
      </c>
      <c r="X85" s="19">
        <f t="shared" ca="1" si="21"/>
        <v>0</v>
      </c>
      <c r="Y85" s="37" t="str">
        <f t="shared" ca="1" si="22"/>
        <v/>
      </c>
      <c r="Z85" s="19" t="str">
        <f t="shared" ca="1" si="23"/>
        <v/>
      </c>
      <c r="AA85" s="75" t="e">
        <f ca="1">M85+'Funding-Bar'!$L$5</f>
        <v>#N/A</v>
      </c>
    </row>
    <row r="86" spans="1:27" s="1" customFormat="1" ht="15" customHeight="1" x14ac:dyDescent="0.25">
      <c r="A86" s="92" t="s">
        <v>69</v>
      </c>
      <c r="B86" s="66">
        <f ca="1">IFERROR(VLOOKUP($A86,[1]!LOOKUP_MDAPs,B$2,FALSE)/$I86,"")</f>
        <v>3.595323150667185E-3</v>
      </c>
      <c r="C86" s="66">
        <f ca="1">IFERROR(VLOOKUP($A86,[1]!LOOKUP_MDAPs,C$2,FALSE)/$I86,"")</f>
        <v>3.0737822256769016E-4</v>
      </c>
      <c r="D86" s="66">
        <f ca="1">IFERROR(VLOOKUP($A86,[1]!LOOKUP_MDAPs,D$2,FALSE)/$I86,"")</f>
        <v>3.6307066977587767E-4</v>
      </c>
      <c r="E86" s="66">
        <f ca="1">IFERROR(VLOOKUP($A86,[1]!LOOKUP_MDAPs,E$2,FALSE)/$I86,"")</f>
        <v>0</v>
      </c>
      <c r="F86" s="66">
        <f ca="1">IFERROR(VLOOKUP($A86,[1]!LOOKUP_MDAPs,F$2,FALSE)/$I86,"")</f>
        <v>0</v>
      </c>
      <c r="G86" s="66">
        <f ca="1">IFERROR(VLOOKUP($A86,[1]!LOOKUP_MDAPs,G$2,FALSE)/$I86,"")</f>
        <v>3.5022477004793371E-6</v>
      </c>
      <c r="H86" s="66">
        <f t="shared" ca="1" si="18"/>
        <v>0.99573072570928878</v>
      </c>
      <c r="I86" s="65">
        <f ca="1">IF(VLOOKUP($A86,[1]!LOOKUP_MDAPs,I$2,FALSE)&lt;&gt;0,VLOOKUP($A86,[1]!LOOKUP_MDAPs,I$2,FALSE),"")</f>
        <v>3087.6</v>
      </c>
      <c r="J86" s="62">
        <f ca="1">VLOOKUP($A86,[1]!LOOKUP_SARS_Unified2,J$2,FALSE)</f>
        <v>-54.151000000000003</v>
      </c>
      <c r="K86" s="78">
        <f t="shared" ca="1" si="24"/>
        <v>-331274.15760000004</v>
      </c>
      <c r="L86" s="77">
        <f ca="1">VLOOKUP($A86,[1]!LOOKUP_SARS_Unified2,L$2,FALSE)</f>
        <v>6117.6</v>
      </c>
      <c r="M86" s="76" t="e">
        <f t="shared" ca="1" si="26"/>
        <v>#N/A</v>
      </c>
      <c r="N86" s="4"/>
      <c r="O86" s="12"/>
      <c r="P86" s="12"/>
      <c r="Q86" s="12"/>
      <c r="U86" s="133" t="str">
        <f t="shared" si="25"/>
        <v>NPOESS</v>
      </c>
      <c r="V86" s="19">
        <f t="shared" ca="1" si="19"/>
        <v>4.0842367081228136E-3</v>
      </c>
      <c r="W86" s="37">
        <f t="shared" ca="1" si="20"/>
        <v>4.2692742907112328E-3</v>
      </c>
      <c r="X86" s="19">
        <f t="shared" ca="1" si="21"/>
        <v>8.2276681111542946E-3</v>
      </c>
      <c r="Y86" s="37">
        <f t="shared" ca="1" si="22"/>
        <v>0.95665830537264607</v>
      </c>
      <c r="Z86" s="19">
        <f t="shared" ca="1" si="23"/>
        <v>1.9271818934322018</v>
      </c>
      <c r="AA86" s="75" t="e">
        <f ca="1">M86+'Funding-Bar'!$L$5</f>
        <v>#N/A</v>
      </c>
    </row>
    <row r="87" spans="1:27" s="1" customFormat="1" ht="15" customHeight="1" x14ac:dyDescent="0.25">
      <c r="A87" s="92" t="s">
        <v>72</v>
      </c>
      <c r="B87" s="66">
        <f ca="1">IFERROR(VLOOKUP($A87,[1]!LOOKUP_MDAPs,B$2,FALSE)/$I87,"")</f>
        <v>1.3656803898694163E-4</v>
      </c>
      <c r="C87" s="66">
        <f ca="1">IFERROR(VLOOKUP($A87,[1]!LOOKUP_MDAPs,C$2,FALSE)/$I87,"")</f>
        <v>3.2588906032438935E-5</v>
      </c>
      <c r="D87" s="66">
        <f ca="1">IFERROR(VLOOKUP($A87,[1]!LOOKUP_MDAPs,D$2,FALSE)/$I87,"")</f>
        <v>0.22184114067004099</v>
      </c>
      <c r="E87" s="66">
        <f ca="1">IFERROR(VLOOKUP($A87,[1]!LOOKUP_MDAPs,E$2,FALSE)/$I87,"")</f>
        <v>-1.8816091521469158E-12</v>
      </c>
      <c r="F87" s="66">
        <f ca="1">IFERROR(VLOOKUP($A87,[1]!LOOKUP_MDAPs,F$2,FALSE)/$I87,"")</f>
        <v>0</v>
      </c>
      <c r="G87" s="66">
        <f ca="1">IFERROR(VLOOKUP($A87,[1]!LOOKUP_MDAPs,G$2,FALSE)/$I87,"")</f>
        <v>0.20953781576882546</v>
      </c>
      <c r="H87" s="66">
        <f t="shared" ca="1" si="18"/>
        <v>0.56845188661799573</v>
      </c>
      <c r="I87" s="65">
        <f ca="1">IF(VLOOKUP($A87,[1]!LOOKUP_MDAPs,I$2,FALSE)&lt;&gt;0,VLOOKUP($A87,[1]!LOOKUP_MDAPs,I$2,FALSE),"")</f>
        <v>10629.2</v>
      </c>
      <c r="J87" s="62">
        <f ca="1">VLOOKUP($A87,[1]!LOOKUP_SARS_Unified2,J$2,FALSE)</f>
        <v>-2E-3</v>
      </c>
      <c r="K87" s="78">
        <f t="shared" ca="1" si="24"/>
        <v>-69.00139999999999</v>
      </c>
      <c r="L87" s="77">
        <f ca="1">VLOOKUP($A87,[1]!LOOKUP_SARS_Unified2,L$2,FALSE)</f>
        <v>34500.699999999997</v>
      </c>
      <c r="M87" s="76" t="e">
        <f t="shared" ca="1" si="26"/>
        <v>#N/A</v>
      </c>
      <c r="N87" s="4"/>
      <c r="O87" s="12"/>
      <c r="P87" s="12"/>
      <c r="Q87" s="12"/>
      <c r="U87" s="133" t="str">
        <f t="shared" si="25"/>
        <v>P-8A</v>
      </c>
      <c r="V87" s="19">
        <f t="shared" ca="1" si="19"/>
        <v>0.11108972727909908</v>
      </c>
      <c r="W87" s="37">
        <f t="shared" ca="1" si="20"/>
        <v>0.43154811338200422</v>
      </c>
      <c r="X87" s="19">
        <f t="shared" ca="1" si="21"/>
        <v>0.65352582209103205</v>
      </c>
      <c r="Y87" s="37">
        <f t="shared" ca="1" si="22"/>
        <v>0.25742141799323082</v>
      </c>
      <c r="Z87" s="19">
        <f t="shared" ca="1" si="23"/>
        <v>1.51437534269217</v>
      </c>
      <c r="AA87" s="75" t="e">
        <f ca="1">M87+'Funding-Bar'!$L$5</f>
        <v>#N/A</v>
      </c>
    </row>
    <row r="88" spans="1:27" s="1" customFormat="1" ht="15" customHeight="1" x14ac:dyDescent="0.25">
      <c r="A88" s="92" t="s">
        <v>251</v>
      </c>
      <c r="B88" s="66">
        <f ca="1">IFERROR(VLOOKUP($A88,[1]!LOOKUP_MDAPs,B$2,FALSE)/$I88,"")</f>
        <v>1.0491163668173817E-3</v>
      </c>
      <c r="C88" s="66">
        <f ca="1">IFERROR(VLOOKUP($A88,[1]!LOOKUP_MDAPs,C$2,FALSE)/$I88,"")</f>
        <v>3.7244280519809023E-4</v>
      </c>
      <c r="D88" s="66">
        <f ca="1">IFERROR(VLOOKUP($A88,[1]!LOOKUP_MDAPs,D$2,FALSE)/$I88,"")</f>
        <v>1.5542610554273248E-3</v>
      </c>
      <c r="E88" s="66">
        <f ca="1">IFERROR(VLOOKUP($A88,[1]!LOOKUP_MDAPs,E$2,FALSE)/$I88,"")</f>
        <v>5.6562536229592859E-5</v>
      </c>
      <c r="F88" s="66">
        <f ca="1">IFERROR(VLOOKUP($A88,[1]!LOOKUP_MDAPs,F$2,FALSE)/$I88,"")</f>
        <v>0</v>
      </c>
      <c r="G88" s="66">
        <f ca="1">IFERROR(VLOOKUP($A88,[1]!LOOKUP_MDAPs,G$2,FALSE)/$I88,"")</f>
        <v>0.15317284483300131</v>
      </c>
      <c r="H88" s="66">
        <f t="shared" ca="1" si="18"/>
        <v>0.84379477240332634</v>
      </c>
      <c r="I88" s="65">
        <f ca="1">IF(VLOOKUP($A88,[1]!LOOKUP_MDAPs,I$2,FALSE)&lt;&gt;0,VLOOKUP($A88,[1]!LOOKUP_MDAPs,I$2,FALSE),"")</f>
        <v>9488.1</v>
      </c>
      <c r="J88" s="62">
        <f ca="1">VLOOKUP($A88,[1]!LOOKUP_SARS_Unified2,J$2,FALSE)</f>
        <v>8.6</v>
      </c>
      <c r="K88" s="78">
        <f t="shared" ca="1" si="24"/>
        <v>79169.87999999999</v>
      </c>
      <c r="L88" s="77">
        <f ca="1">VLOOKUP($A88,[1]!LOOKUP_SARS_Unified2,L$2,FALSE)</f>
        <v>9205.7999999999993</v>
      </c>
      <c r="M88" s="76" t="e">
        <f t="shared" ca="1" si="26"/>
        <v>#N/A</v>
      </c>
      <c r="N88" s="4"/>
      <c r="O88" s="12"/>
      <c r="P88" s="12"/>
      <c r="Q88" s="12"/>
      <c r="U88" s="133" t="str">
        <f t="shared" si="25"/>
        <v>Patriot PAC-3</v>
      </c>
      <c r="V88" s="19">
        <f t="shared" ca="1" si="19"/>
        <v>2.2269709678439304E-3</v>
      </c>
      <c r="W88" s="37">
        <f t="shared" ca="1" si="20"/>
        <v>0.15620522759667371</v>
      </c>
      <c r="X88" s="19">
        <f t="shared" ca="1" si="21"/>
        <v>0.15880860501891841</v>
      </c>
      <c r="Y88" s="37">
        <f t="shared" ca="1" si="22"/>
        <v>1.4256699357040931E-2</v>
      </c>
      <c r="Z88" s="19">
        <f t="shared" ca="1" si="23"/>
        <v>1.0166663911464391</v>
      </c>
      <c r="AA88" s="75" t="e">
        <f ca="1">M88+'Funding-Bar'!$L$5</f>
        <v>#N/A</v>
      </c>
    </row>
    <row r="89" spans="1:27" s="1" customFormat="1" ht="15" customHeight="1" x14ac:dyDescent="0.25">
      <c r="A89" s="92" t="s">
        <v>77</v>
      </c>
      <c r="B89" s="66">
        <f ca="1">IFERROR(VLOOKUP($A89,[1]!LOOKUP_MDAPs,B$2,FALSE)/$I89,"")</f>
        <v>0</v>
      </c>
      <c r="C89" s="66">
        <f ca="1">IFERROR(VLOOKUP($A89,[1]!LOOKUP_MDAPs,C$2,FALSE)/$I89,"")</f>
        <v>0</v>
      </c>
      <c r="D89" s="66">
        <f ca="1">IFERROR(VLOOKUP($A89,[1]!LOOKUP_MDAPs,D$2,FALSE)/$I89,"")</f>
        <v>0</v>
      </c>
      <c r="E89" s="66">
        <f ca="1">IFERROR(VLOOKUP($A89,[1]!LOOKUP_MDAPs,E$2,FALSE)/$I89,"")</f>
        <v>0</v>
      </c>
      <c r="F89" s="66">
        <f ca="1">IFERROR(VLOOKUP($A89,[1]!LOOKUP_MDAPs,F$2,FALSE)/$I89,"")</f>
        <v>0</v>
      </c>
      <c r="G89" s="66">
        <f ca="1">IFERROR(VLOOKUP($A89,[1]!LOOKUP_MDAPs,G$2,FALSE)/$I89,"")</f>
        <v>1.2815583749839806E-9</v>
      </c>
      <c r="H89" s="66">
        <f t="shared" ca="1" si="18"/>
        <v>0.99999999871844159</v>
      </c>
      <c r="I89" s="65">
        <f ca="1">IF(VLOOKUP($A89,[1]!LOOKUP_MDAPs,I$2,FALSE)&lt;&gt;0,VLOOKUP($A89,[1]!LOOKUP_MDAPs,I$2,FALSE),"")</f>
        <v>780.3</v>
      </c>
      <c r="J89" s="62">
        <f ca="1">VLOOKUP($A89,[1]!LOOKUP_SARS_Unified2,J$2,FALSE)</f>
        <v>9.0000000000000011E-3</v>
      </c>
      <c r="K89" s="78">
        <f t="shared" ca="1" si="24"/>
        <v>269.05860000000007</v>
      </c>
      <c r="L89" s="77">
        <f ca="1">VLOOKUP($A89,[1]!LOOKUP_SARS_Unified2,L$2,FALSE)</f>
        <v>29895.4</v>
      </c>
      <c r="M89" s="76" t="e">
        <f t="shared" ca="1" si="26"/>
        <v>#N/A</v>
      </c>
      <c r="N89" s="4"/>
      <c r="O89" s="12"/>
      <c r="P89" s="12"/>
      <c r="Q89" s="12"/>
      <c r="U89" s="133" t="str">
        <f t="shared" si="25"/>
        <v>Patriot/MEADS CAP</v>
      </c>
      <c r="V89" s="19">
        <f t="shared" ca="1" si="19"/>
        <v>0</v>
      </c>
      <c r="W89" s="37">
        <f t="shared" ca="1" si="20"/>
        <v>1.2815583749839806E-9</v>
      </c>
      <c r="X89" s="19">
        <f t="shared" ca="1" si="21"/>
        <v>1.2815583749839806E-9</v>
      </c>
      <c r="Y89" s="37">
        <f t="shared" ca="1" si="22"/>
        <v>0</v>
      </c>
      <c r="Z89" s="19">
        <f t="shared" ca="1" si="23"/>
        <v>1</v>
      </c>
      <c r="AA89" s="75" t="e">
        <f ca="1">M89+'Funding-Bar'!$L$5</f>
        <v>#N/A</v>
      </c>
    </row>
    <row r="90" spans="1:27" s="1" customFormat="1" ht="15" customHeight="1" x14ac:dyDescent="0.25">
      <c r="A90" s="92" t="s">
        <v>246</v>
      </c>
      <c r="B90" s="66" t="str">
        <f ca="1">IFERROR(VLOOKUP($A90,[1]!LOOKUP_MDAPs,B$2,FALSE)/$I90,"")</f>
        <v/>
      </c>
      <c r="C90" s="66" t="str">
        <f ca="1">IFERROR(VLOOKUP($A90,[1]!LOOKUP_MDAPs,C$2,FALSE)/$I90,"")</f>
        <v/>
      </c>
      <c r="D90" s="66" t="str">
        <f ca="1">IFERROR(VLOOKUP($A90,[1]!LOOKUP_MDAPs,D$2,FALSE)/$I90,"")</f>
        <v/>
      </c>
      <c r="E90" s="66" t="str">
        <f ca="1">IFERROR(VLOOKUP($A90,[1]!LOOKUP_MDAPs,E$2,FALSE)/$I90,"")</f>
        <v/>
      </c>
      <c r="F90" s="66" t="str">
        <f ca="1">IFERROR(VLOOKUP($A90,[1]!LOOKUP_MDAPs,F$2,FALSE)/$I90,"")</f>
        <v/>
      </c>
      <c r="G90" s="66" t="str">
        <f ca="1">IFERROR(VLOOKUP($A90,[1]!LOOKUP_MDAPs,G$2,FALSE)/$I90,"")</f>
        <v/>
      </c>
      <c r="H90" s="66">
        <f t="shared" ca="1" si="18"/>
        <v>1</v>
      </c>
      <c r="I90" s="65" t="e">
        <f ca="1">IF(VLOOKUP($A90,[1]!LOOKUP_MDAPs,I$2,FALSE)&lt;&gt;0,VLOOKUP($A90,[1]!LOOKUP_MDAPs,I$2,FALSE),"")</f>
        <v>#VALUE!</v>
      </c>
      <c r="J90" s="62" t="str">
        <f ca="1">VLOOKUP($A90,[1]!LOOKUP_SARS_Unified2,J$2,FALSE)</f>
        <v/>
      </c>
      <c r="K90" s="78" t="e">
        <f t="shared" ca="1" si="24"/>
        <v>#VALUE!</v>
      </c>
      <c r="L90" s="77" t="str">
        <f ca="1">VLOOKUP($A90,[1]!LOOKUP_SARS_Unified2,L$2,FALSE)</f>
        <v/>
      </c>
      <c r="M90" s="76" t="e">
        <f t="shared" ca="1" si="26"/>
        <v>#N/A</v>
      </c>
      <c r="N90" s="4"/>
      <c r="O90" s="12"/>
      <c r="P90" s="12"/>
      <c r="Q90" s="12"/>
      <c r="U90" s="133" t="str">
        <f t="shared" si="25"/>
        <v>MQ-1 PREDATOR</v>
      </c>
      <c r="V90" s="19">
        <f t="shared" ca="1" si="19"/>
        <v>0</v>
      </c>
      <c r="W90" s="37">
        <f t="shared" ca="1" si="20"/>
        <v>0</v>
      </c>
      <c r="X90" s="19" t="e">
        <f t="shared" ca="1" si="21"/>
        <v>#VALUE!</v>
      </c>
      <c r="Y90" s="37" t="str">
        <f t="shared" ca="1" si="22"/>
        <v/>
      </c>
      <c r="Z90" s="19" t="str">
        <f t="shared" ca="1" si="23"/>
        <v/>
      </c>
      <c r="AA90" s="75" t="e">
        <f ca="1">M90+'Funding-Bar'!$L$5</f>
        <v>#N/A</v>
      </c>
    </row>
    <row r="91" spans="1:27" s="1" customFormat="1" ht="15" customHeight="1" x14ac:dyDescent="0.25">
      <c r="A91" s="92" t="s">
        <v>247</v>
      </c>
      <c r="B91" s="66">
        <f ca="1">IFERROR(VLOOKUP($A91,[1]!LOOKUP_MDAPs,B$2,FALSE)/$I91,"")</f>
        <v>0</v>
      </c>
      <c r="C91" s="66">
        <f ca="1">IFERROR(VLOOKUP($A91,[1]!LOOKUP_MDAPs,C$2,FALSE)/$I91,"")</f>
        <v>0</v>
      </c>
      <c r="D91" s="66">
        <f ca="1">IFERROR(VLOOKUP($A91,[1]!LOOKUP_MDAPs,D$2,FALSE)/$I91,"")</f>
        <v>0</v>
      </c>
      <c r="E91" s="66">
        <f ca="1">IFERROR(VLOOKUP($A91,[1]!LOOKUP_MDAPs,E$2,FALSE)/$I91,"")</f>
        <v>0</v>
      </c>
      <c r="F91" s="66">
        <f ca="1">IFERROR(VLOOKUP($A91,[1]!LOOKUP_MDAPs,F$2,FALSE)/$I91,"")</f>
        <v>0</v>
      </c>
      <c r="G91" s="66">
        <f ca="1">IFERROR(VLOOKUP($A91,[1]!LOOKUP_MDAPs,G$2,FALSE)/$I91,"")</f>
        <v>0</v>
      </c>
      <c r="H91" s="66">
        <f t="shared" ca="1" si="18"/>
        <v>1</v>
      </c>
      <c r="I91" s="65">
        <f ca="1">IF(VLOOKUP($A91,[1]!LOOKUP_MDAPs,I$2,FALSE)&lt;&gt;0,VLOOKUP($A91,[1]!LOOKUP_MDAPs,I$2,FALSE),"")</f>
        <v>3364.7</v>
      </c>
      <c r="J91" s="62">
        <f ca="1">VLOOKUP($A91,[1]!LOOKUP_SARS_Unified2,J$2,FALSE)</f>
        <v>8.6999999999999994E-2</v>
      </c>
      <c r="K91" s="78">
        <f t="shared" ca="1" si="24"/>
        <v>1029.6275999999998</v>
      </c>
      <c r="L91" s="77">
        <f ca="1">VLOOKUP($A91,[1]!LOOKUP_SARS_Unified2,L$2,FALSE)</f>
        <v>11834.8</v>
      </c>
      <c r="M91" s="76" t="e">
        <f t="shared" ca="1" si="26"/>
        <v>#N/A</v>
      </c>
      <c r="N91" s="4"/>
      <c r="O91" s="12"/>
      <c r="P91" s="12"/>
      <c r="Q91" s="12"/>
      <c r="U91" s="133" t="str">
        <f t="shared" si="25"/>
        <v>MQ-9 REAPER</v>
      </c>
      <c r="V91" s="19">
        <f t="shared" ca="1" si="19"/>
        <v>0</v>
      </c>
      <c r="W91" s="37">
        <f t="shared" ca="1" si="20"/>
        <v>0</v>
      </c>
      <c r="X91" s="19">
        <f t="shared" ref="X91:X98" ca="1" si="27">(B91+D91)*2+C91+E91+G91</f>
        <v>0</v>
      </c>
      <c r="Y91" s="37" t="str">
        <f t="shared" ref="Y91:Y98" ca="1" si="28">IFERROR(V91/W91,"")</f>
        <v/>
      </c>
      <c r="Z91" s="19" t="str">
        <f t="shared" ref="Z91:Z98" ca="1" si="29">IFERROR(X91/W91,"")</f>
        <v/>
      </c>
      <c r="AA91" s="75" t="e">
        <f ca="1">M91+'Funding-Bar'!$L$5</f>
        <v>#N/A</v>
      </c>
    </row>
    <row r="92" spans="1:27" ht="15" customHeight="1" x14ac:dyDescent="0.25">
      <c r="A92" s="92" t="s">
        <v>50</v>
      </c>
      <c r="B92" s="66">
        <f ca="1">IFERROR(VLOOKUP($A92,[1]!LOOKUP_MDAPs,B$2,FALSE)/$I92,"")</f>
        <v>0</v>
      </c>
      <c r="C92" s="66">
        <f ca="1">IFERROR(VLOOKUP($A92,[1]!LOOKUP_MDAPs,C$2,FALSE)/$I92,"")</f>
        <v>0</v>
      </c>
      <c r="D92" s="66">
        <f ca="1">IFERROR(VLOOKUP($A92,[1]!LOOKUP_MDAPs,D$2,FALSE)/$I92,"")</f>
        <v>0</v>
      </c>
      <c r="E92" s="66">
        <f ca="1">IFERROR(VLOOKUP($A92,[1]!LOOKUP_MDAPs,E$2,FALSE)/$I92,"")</f>
        <v>0</v>
      </c>
      <c r="F92" s="66">
        <f ca="1">IFERROR(VLOOKUP($A92,[1]!LOOKUP_MDAPs,F$2,FALSE)/$I92,"")</f>
        <v>0</v>
      </c>
      <c r="G92" s="66">
        <f ca="1">IFERROR(VLOOKUP($A92,[1]!LOOKUP_MDAPs,G$2,FALSE)/$I92,"")</f>
        <v>0</v>
      </c>
      <c r="H92" s="66">
        <f t="shared" ref="H92:H98" ca="1" si="30">1-SUM(B92:G92)</f>
        <v>1</v>
      </c>
      <c r="I92" s="65">
        <f ca="1">IF(VLOOKUP($A92,[1]!LOOKUP_MDAPs,I$2,FALSE)&lt;&gt;0,VLOOKUP($A92,[1]!LOOKUP_MDAPs,I$2,FALSE),"")</f>
        <v>544.20000000000005</v>
      </c>
      <c r="J92" s="62">
        <f ca="1">VLOOKUP($A92,[1]!LOOKUP_SARS_Unified2,J$2,FALSE)</f>
        <v>0</v>
      </c>
      <c r="K92" s="78">
        <f t="shared" ca="1" si="24"/>
        <v>0</v>
      </c>
      <c r="L92" s="77">
        <f ca="1">VLOOKUP($A92,[1]!LOOKUP_SARS_Unified2,L$2,FALSE)</f>
        <v>1449.4</v>
      </c>
      <c r="M92" s="76" t="e">
        <f t="shared" ca="1" si="26"/>
        <v>#N/A</v>
      </c>
      <c r="U92" s="133" t="str">
        <f t="shared" si="25"/>
        <v>RMS</v>
      </c>
      <c r="V92" s="19">
        <f t="shared" ca="1" si="19"/>
        <v>0</v>
      </c>
      <c r="W92" s="37">
        <f t="shared" ca="1" si="20"/>
        <v>0</v>
      </c>
      <c r="X92" s="19">
        <f t="shared" ca="1" si="27"/>
        <v>0</v>
      </c>
      <c r="Y92" s="37" t="str">
        <f t="shared" ca="1" si="28"/>
        <v/>
      </c>
      <c r="Z92" s="19" t="str">
        <f t="shared" ca="1" si="29"/>
        <v/>
      </c>
      <c r="AA92" s="75" t="e">
        <f ca="1">M92+'Funding-Bar'!$L$5</f>
        <v>#N/A</v>
      </c>
    </row>
    <row r="93" spans="1:27" ht="15" customHeight="1" x14ac:dyDescent="0.25">
      <c r="A93" s="92" t="s">
        <v>248</v>
      </c>
      <c r="B93" s="66">
        <f ca="1">IFERROR(VLOOKUP($A93,[1]!LOOKUP_MDAPs,B$2,FALSE)/$I93,"")</f>
        <v>1.2273422097388393E-4</v>
      </c>
      <c r="C93" s="66">
        <f ca="1">IFERROR(VLOOKUP($A93,[1]!LOOKUP_MDAPs,C$2,FALSE)/$I93,"")</f>
        <v>4.5059055554055145E-4</v>
      </c>
      <c r="D93" s="66">
        <f ca="1">IFERROR(VLOOKUP($A93,[1]!LOOKUP_MDAPs,D$2,FALSE)/$I93,"")</f>
        <v>1.7637249574634724E-4</v>
      </c>
      <c r="E93" s="66">
        <f ca="1">IFERROR(VLOOKUP($A93,[1]!LOOKUP_MDAPs,E$2,FALSE)/$I93,"")</f>
        <v>7.0072915034974483E-3</v>
      </c>
      <c r="F93" s="66">
        <f ca="1">IFERROR(VLOOKUP($A93,[1]!LOOKUP_MDAPs,F$2,FALSE)/$I93,"")</f>
        <v>0</v>
      </c>
      <c r="G93" s="66">
        <f ca="1">IFERROR(VLOOKUP($A93,[1]!LOOKUP_MDAPs,G$2,FALSE)/$I93,"")</f>
        <v>0.20807727359359388</v>
      </c>
      <c r="H93" s="66">
        <f t="shared" ca="1" si="30"/>
        <v>0.7841657376306479</v>
      </c>
      <c r="I93" s="65">
        <f ca="1">IF(VLOOKUP($A93,[1]!LOOKUP_MDAPs,I$2,FALSE)&lt;&gt;0,VLOOKUP($A93,[1]!LOOKUP_MDAPs,I$2,FALSE),"")</f>
        <v>7405.4</v>
      </c>
      <c r="J93" s="62">
        <f ca="1">VLOOKUP($A93,[1]!LOOKUP_SARS_Unified2,J$2,FALSE)</f>
        <v>0.95700000000000007</v>
      </c>
      <c r="K93" s="78">
        <f t="shared" ca="1" si="24"/>
        <v>5162.058</v>
      </c>
      <c r="L93" s="77">
        <f ca="1">VLOOKUP($A93,[1]!LOOKUP_SARS_Unified2,L$2,FALSE)</f>
        <v>5394</v>
      </c>
      <c r="M93" s="76" t="e">
        <f t="shared" ca="1" si="26"/>
        <v>#N/A</v>
      </c>
      <c r="U93" s="133" t="str">
        <f t="shared" si="25"/>
        <v>RQ-4 GLOBAL HAWK</v>
      </c>
      <c r="V93" s="19">
        <f t="shared" ca="1" si="19"/>
        <v>4.1651567761363329E-3</v>
      </c>
      <c r="W93" s="37">
        <f t="shared" ca="1" si="20"/>
        <v>0.2158342623693521</v>
      </c>
      <c r="X93" s="19">
        <f t="shared" ca="1" si="27"/>
        <v>0.21613336908607234</v>
      </c>
      <c r="Y93" s="37">
        <f t="shared" ca="1" si="28"/>
        <v>1.929794060689307E-2</v>
      </c>
      <c r="Z93" s="19">
        <f t="shared" ca="1" si="29"/>
        <v>1.0013858166606022</v>
      </c>
      <c r="AA93" s="75" t="e">
        <f ca="1">M93+'Funding-Bar'!$L$5</f>
        <v>#N/A</v>
      </c>
    </row>
    <row r="94" spans="1:27" ht="15" customHeight="1" x14ac:dyDescent="0.25">
      <c r="A94" s="92" t="s">
        <v>64</v>
      </c>
      <c r="B94" s="66">
        <f ca="1">IFERROR(VLOOKUP($A94,[1]!LOOKUP_MDAPs,B$2,FALSE)/$I94,"")</f>
        <v>2.1529345058257389E-3</v>
      </c>
      <c r="C94" s="66">
        <f ca="1">IFERROR(VLOOKUP($A94,[1]!LOOKUP_MDAPs,C$2,FALSE)/$I94,"")</f>
        <v>5.7171830304419101E-4</v>
      </c>
      <c r="D94" s="66">
        <f ca="1">IFERROR(VLOOKUP($A94,[1]!LOOKUP_MDAPs,D$2,FALSE)/$I94,"")</f>
        <v>1.1031773494209515E-2</v>
      </c>
      <c r="E94" s="66">
        <f ca="1">IFERROR(VLOOKUP($A94,[1]!LOOKUP_MDAPs,E$2,FALSE)/$I94,"")</f>
        <v>2.7275486162768149E-3</v>
      </c>
      <c r="F94" s="66">
        <f ca="1">IFERROR(VLOOKUP($A94,[1]!LOOKUP_MDAPs,F$2,FALSE)/$I94,"")</f>
        <v>3.8868907651901075E-4</v>
      </c>
      <c r="G94" s="66">
        <f ca="1">IFERROR(VLOOKUP($A94,[1]!LOOKUP_MDAPs,G$2,FALSE)/$I94,"")</f>
        <v>3.7971282023937535E-2</v>
      </c>
      <c r="H94" s="66">
        <f t="shared" ca="1" si="30"/>
        <v>0.94515605398018721</v>
      </c>
      <c r="I94" s="65">
        <f ca="1">IF(VLOOKUP($A94,[1]!LOOKUP_MDAPs,I$2,FALSE)&lt;&gt;0,VLOOKUP($A94,[1]!LOOKUP_MDAPs,I$2,FALSE),"")</f>
        <v>11346.2</v>
      </c>
      <c r="J94" s="62">
        <f ca="1">VLOOKUP($A94,[1]!LOOKUP_SARS_Unified2,J$2,FALSE)</f>
        <v>1.944</v>
      </c>
      <c r="K94" s="78">
        <f t="shared" ca="1" si="24"/>
        <v>8062.3512000000001</v>
      </c>
      <c r="L94" s="77">
        <f ca="1">VLOOKUP($A94,[1]!LOOKUP_SARS_Unified2,L$2,FALSE)</f>
        <v>4147.3</v>
      </c>
      <c r="M94" s="76" t="e">
        <f t="shared" ca="1" si="26"/>
        <v>#N/A</v>
      </c>
      <c r="U94" s="133" t="str">
        <f t="shared" si="25"/>
        <v>SBIRS</v>
      </c>
      <c r="V94" s="19">
        <f t="shared" ca="1" si="19"/>
        <v>9.6043138641130951E-3</v>
      </c>
      <c r="W94" s="37">
        <f t="shared" ca="1" si="20"/>
        <v>5.4455256943293798E-2</v>
      </c>
      <c r="X94" s="19">
        <f t="shared" ca="1" si="27"/>
        <v>6.7639964943329051E-2</v>
      </c>
      <c r="Y94" s="37">
        <f t="shared" ca="1" si="28"/>
        <v>0.17637073816609497</v>
      </c>
      <c r="Z94" s="19">
        <f t="shared" ca="1" si="29"/>
        <v>1.2421200218330612</v>
      </c>
      <c r="AA94" s="75" t="e">
        <f ca="1">M94+'Funding-Bar'!$L$5</f>
        <v>#N/A</v>
      </c>
    </row>
    <row r="95" spans="1:27" ht="15" customHeight="1" x14ac:dyDescent="0.25">
      <c r="A95" s="92" t="s">
        <v>79</v>
      </c>
      <c r="B95" s="66">
        <f ca="1">IFERROR(VLOOKUP($A95,[1]!LOOKUP_MDAPs,B$2,FALSE)/$I95,"")</f>
        <v>1.1911789275426545E-2</v>
      </c>
      <c r="C95" s="66">
        <f ca="1">IFERROR(VLOOKUP($A95,[1]!LOOKUP_MDAPs,C$2,FALSE)/$I95,"")</f>
        <v>5.8724019499224462E-4</v>
      </c>
      <c r="D95" s="66">
        <f ca="1">IFERROR(VLOOKUP($A95,[1]!LOOKUP_MDAPs,D$2,FALSE)/$I95,"")</f>
        <v>0</v>
      </c>
      <c r="E95" s="66">
        <f ca="1">IFERROR(VLOOKUP($A95,[1]!LOOKUP_MDAPs,E$2,FALSE)/$I95,"")</f>
        <v>0</v>
      </c>
      <c r="F95" s="66">
        <f ca="1">IFERROR(VLOOKUP($A95,[1]!LOOKUP_MDAPs,F$2,FALSE)/$I95,"")</f>
        <v>0</v>
      </c>
      <c r="G95" s="66">
        <f ca="1">IFERROR(VLOOKUP($A95,[1]!LOOKUP_MDAPs,G$2,FALSE)/$I95,"")</f>
        <v>0</v>
      </c>
      <c r="H95" s="66">
        <f t="shared" ca="1" si="30"/>
        <v>0.98750097052958119</v>
      </c>
      <c r="I95" s="65">
        <f ca="1">IF(VLOOKUP($A95,[1]!LOOKUP_MDAPs,I$2,FALSE)&lt;&gt;0,VLOOKUP($A95,[1]!LOOKUP_MDAPs,I$2,FALSE),"")</f>
        <v>902.6</v>
      </c>
      <c r="J95" s="62">
        <f ca="1">VLOOKUP($A95,[1]!LOOKUP_SARS_Unified2,J$2,FALSE)</f>
        <v>0.111</v>
      </c>
      <c r="K95" s="78">
        <f t="shared" ca="1" si="24"/>
        <v>91.663799999999995</v>
      </c>
      <c r="L95" s="77">
        <f ca="1">VLOOKUP($A95,[1]!LOOKUP_SARS_Unified2,L$2,FALSE)</f>
        <v>825.8</v>
      </c>
      <c r="M95" s="76" t="e">
        <f t="shared" ca="1" si="26"/>
        <v>#N/A</v>
      </c>
      <c r="U95" s="133" t="str">
        <f t="shared" si="25"/>
        <v>SBSS B10</v>
      </c>
      <c r="V95" s="19">
        <f t="shared" ca="1" si="19"/>
        <v>1.2499029470418789E-2</v>
      </c>
      <c r="W95" s="37">
        <f t="shared" ca="1" si="20"/>
        <v>1.2499029470418789E-2</v>
      </c>
      <c r="X95" s="19">
        <f t="shared" ca="1" si="27"/>
        <v>2.4410818745845334E-2</v>
      </c>
      <c r="Y95" s="37">
        <f t="shared" ca="1" si="28"/>
        <v>1</v>
      </c>
      <c r="Z95" s="19">
        <f t="shared" ca="1" si="29"/>
        <v>1.9530171365399167</v>
      </c>
      <c r="AA95" s="75" t="e">
        <f ca="1">M95+'Funding-Bar'!$L$5</f>
        <v>#N/A</v>
      </c>
    </row>
    <row r="96" spans="1:27" ht="15" customHeight="1" x14ac:dyDescent="0.25">
      <c r="A96" s="92" t="s">
        <v>67</v>
      </c>
      <c r="B96" s="66">
        <f ca="1">IFERROR(VLOOKUP($A96,[1]!LOOKUP_MDAPs,B$2,FALSE)/$I96,"")</f>
        <v>0</v>
      </c>
      <c r="C96" s="66">
        <f ca="1">IFERROR(VLOOKUP($A96,[1]!LOOKUP_MDAPs,C$2,FALSE)/$I96,"")</f>
        <v>0</v>
      </c>
      <c r="D96" s="66">
        <f ca="1">IFERROR(VLOOKUP($A96,[1]!LOOKUP_MDAPs,D$2,FALSE)/$I96,"")</f>
        <v>0</v>
      </c>
      <c r="E96" s="66">
        <f ca="1">IFERROR(VLOOKUP($A96,[1]!LOOKUP_MDAPs,E$2,FALSE)/$I96,"")</f>
        <v>0</v>
      </c>
      <c r="F96" s="66">
        <f ca="1">IFERROR(VLOOKUP($A96,[1]!LOOKUP_MDAPs,F$2,FALSE)/$I96,"")</f>
        <v>0</v>
      </c>
      <c r="G96" s="66">
        <f ca="1">IFERROR(VLOOKUP($A96,[1]!LOOKUP_MDAPs,G$2,FALSE)/$I96,"")</f>
        <v>0</v>
      </c>
      <c r="H96" s="66">
        <f t="shared" ca="1" si="30"/>
        <v>1</v>
      </c>
      <c r="I96" s="65">
        <f ca="1">IF(VLOOKUP($A96,[1]!LOOKUP_MDAPs,I$2,FALSE)&lt;&gt;0,VLOOKUP($A96,[1]!LOOKUP_MDAPs,I$2,FALSE),"")</f>
        <v>1378.7</v>
      </c>
      <c r="J96" s="62">
        <f ca="1">VLOOKUP($A96,[1]!LOOKUP_SARS_Unified2,J$2,FALSE)</f>
        <v>-0.02</v>
      </c>
      <c r="K96" s="78">
        <f t="shared" ca="1" si="24"/>
        <v>-131.94399999999999</v>
      </c>
      <c r="L96" s="77">
        <f ca="1">VLOOKUP($A96,[1]!LOOKUP_SARS_Unified2,L$2,FALSE)</f>
        <v>6597.2</v>
      </c>
      <c r="M96" s="76" t="e">
        <f t="shared" ca="1" si="26"/>
        <v>#N/A</v>
      </c>
      <c r="U96" s="133" t="str">
        <f t="shared" si="25"/>
        <v>SM-6</v>
      </c>
      <c r="V96" s="19">
        <f t="shared" ca="1" si="19"/>
        <v>0</v>
      </c>
      <c r="W96" s="37">
        <f t="shared" ca="1" si="20"/>
        <v>0</v>
      </c>
      <c r="X96" s="19">
        <f t="shared" ca="1" si="27"/>
        <v>0</v>
      </c>
      <c r="Y96" s="37" t="str">
        <f t="shared" ca="1" si="28"/>
        <v/>
      </c>
      <c r="Z96" s="19" t="str">
        <f t="shared" ca="1" si="29"/>
        <v/>
      </c>
      <c r="AA96" s="75" t="e">
        <f ca="1">M96+'Funding-Bar'!$L$5</f>
        <v>#N/A</v>
      </c>
    </row>
    <row r="97" spans="1:27" ht="15" customHeight="1" x14ac:dyDescent="0.25">
      <c r="A97" s="92" t="s">
        <v>75</v>
      </c>
      <c r="B97" s="66">
        <f ca="1">IFERROR(VLOOKUP($A97,[1]!LOOKUP_MDAPs,B$2,FALSE)/$I97,"")</f>
        <v>2.5496517151445494E-4</v>
      </c>
      <c r="C97" s="66">
        <f ca="1">IFERROR(VLOOKUP($A97,[1]!LOOKUP_MDAPs,C$2,FALSE)/$I97,"")</f>
        <v>5.7648356533463005E-4</v>
      </c>
      <c r="D97" s="66">
        <f ca="1">IFERROR(VLOOKUP($A97,[1]!LOOKUP_MDAPs,D$2,FALSE)/$I97,"")</f>
        <v>3.2578134117231015E-6</v>
      </c>
      <c r="E97" s="66">
        <f ca="1">IFERROR(VLOOKUP($A97,[1]!LOOKUP_MDAPs,E$2,FALSE)/$I97,"")</f>
        <v>3.3499062262399436E-3</v>
      </c>
      <c r="F97" s="66">
        <f ca="1">IFERROR(VLOOKUP($A97,[1]!LOOKUP_MDAPs,F$2,FALSE)/$I97,"")</f>
        <v>0</v>
      </c>
      <c r="G97" s="66">
        <f ca="1">IFERROR(VLOOKUP($A97,[1]!LOOKUP_MDAPs,G$2,FALSE)/$I97,"")</f>
        <v>8.2756917349482803E-2</v>
      </c>
      <c r="H97" s="66">
        <f t="shared" ca="1" si="30"/>
        <v>0.9130584698740164</v>
      </c>
      <c r="I97" s="65">
        <f ca="1">IF(VLOOKUP($A97,[1]!LOOKUP_MDAPs,I$2,FALSE)&lt;&gt;0,VLOOKUP($A97,[1]!LOOKUP_MDAPs,I$2,FALSE),"")</f>
        <v>45244</v>
      </c>
      <c r="J97" s="62">
        <f ca="1">VLOOKUP($A97,[1]!LOOKUP_SARS_Unified2,J$2,FALSE)</f>
        <v>1E-3</v>
      </c>
      <c r="K97" s="78">
        <f t="shared" ca="1" si="24"/>
        <v>93.207300000000004</v>
      </c>
      <c r="L97" s="77">
        <f ca="1">VLOOKUP($A97,[1]!LOOKUP_SARS_Unified2,L$2,FALSE)</f>
        <v>93207.3</v>
      </c>
      <c r="M97" s="76" t="e">
        <f t="shared" ca="1" si="26"/>
        <v>#N/A</v>
      </c>
      <c r="U97" s="133" t="str">
        <f t="shared" si="25"/>
        <v>SSN 774</v>
      </c>
      <c r="V97" s="19">
        <f t="shared" ca="1" si="19"/>
        <v>2.5080307566749185E-3</v>
      </c>
      <c r="W97" s="37">
        <f t="shared" ca="1" si="20"/>
        <v>8.694153012598356E-2</v>
      </c>
      <c r="X97" s="19">
        <f t="shared" ca="1" si="27"/>
        <v>8.7199753110909731E-2</v>
      </c>
      <c r="Y97" s="37">
        <f t="shared" ca="1" si="28"/>
        <v>2.8847327083393052E-2</v>
      </c>
      <c r="Z97" s="19">
        <f t="shared" ca="1" si="29"/>
        <v>1.002970076378366</v>
      </c>
      <c r="AA97" s="75" t="e">
        <f ca="1">M97+'Funding-Bar'!$L$5</f>
        <v>#N/A</v>
      </c>
    </row>
    <row r="98" spans="1:27" ht="15" customHeight="1" x14ac:dyDescent="0.25">
      <c r="A98" s="92" t="s">
        <v>40</v>
      </c>
      <c r="B98" s="66">
        <f ca="1">IFERROR(VLOOKUP($A98,[1]!LOOKUP_MDAPs,B$2,FALSE)/$I98,"")</f>
        <v>0.45897781476627431</v>
      </c>
      <c r="C98" s="66">
        <f ca="1">IFERROR(VLOOKUP($A98,[1]!LOOKUP_MDAPs,C$2,FALSE)/$I98,"")</f>
        <v>5.2122732980916285E-3</v>
      </c>
      <c r="D98" s="66">
        <f ca="1">IFERROR(VLOOKUP($A98,[1]!LOOKUP_MDAPs,D$2,FALSE)/$I98,"")</f>
        <v>1.2185743766207858E-3</v>
      </c>
      <c r="E98" s="66">
        <f ca="1">IFERROR(VLOOKUP($A98,[1]!LOOKUP_MDAPs,E$2,FALSE)/$I98,"")</f>
        <v>1.818167431345169E-4</v>
      </c>
      <c r="F98" s="66">
        <f ca="1">IFERROR(VLOOKUP($A98,[1]!LOOKUP_MDAPs,F$2,FALSE)/$I98,"")</f>
        <v>4.8750538640202144E-2</v>
      </c>
      <c r="G98" s="66">
        <f ca="1">IFERROR(VLOOKUP($A98,[1]!LOOKUP_MDAPs,G$2,FALSE)/$I98,"")</f>
        <v>0.50793041715606102</v>
      </c>
      <c r="H98" s="66">
        <f t="shared" ca="1" si="30"/>
        <v>-2.227143498038453E-2</v>
      </c>
      <c r="I98" s="65">
        <f ca="1">IF(VLOOKUP($A98,[1]!LOOKUP_MDAPs,I$2,FALSE)&lt;&gt;0,VLOOKUP($A98,[1]!LOOKUP_MDAPs,I$2,FALSE),"")</f>
        <v>15039</v>
      </c>
      <c r="J98" s="62">
        <f ca="1">VLOOKUP($A98,[1]!LOOKUP_SARS_Unified2,J$2,FALSE)</f>
        <v>3.1E-2</v>
      </c>
      <c r="K98" s="78">
        <f t="shared" ca="1" si="24"/>
        <v>264.57570000000004</v>
      </c>
      <c r="L98" s="77">
        <f ca="1">VLOOKUP($A98,[1]!LOOKUP_SARS_Unified2,L$2,FALSE)</f>
        <v>8534.7000000000007</v>
      </c>
      <c r="M98" s="76" t="e">
        <f t="shared" ca="1" si="26"/>
        <v>#N/A</v>
      </c>
      <c r="U98" s="133" t="str">
        <f t="shared" si="25"/>
        <v>Stryker</v>
      </c>
      <c r="V98" s="19">
        <f t="shared" ca="1" si="19"/>
        <v>0.46489028362424362</v>
      </c>
      <c r="W98" s="37">
        <f t="shared" ca="1" si="20"/>
        <v>0.97352089634018224</v>
      </c>
      <c r="X98" s="19">
        <f t="shared" ca="1" si="27"/>
        <v>1.4337172854830773</v>
      </c>
      <c r="Y98" s="37">
        <f t="shared" ca="1" si="28"/>
        <v>0.47753498191146654</v>
      </c>
      <c r="Z98" s="19">
        <f t="shared" ca="1" si="29"/>
        <v>1.4727134167052192</v>
      </c>
      <c r="AA98" s="75" t="e">
        <f ca="1">M98+'Funding-Bar'!$L$5</f>
        <v>#N/A</v>
      </c>
    </row>
    <row r="99" spans="1:27" ht="15" customHeight="1" x14ac:dyDescent="0.25">
      <c r="A99" s="92" t="s">
        <v>42</v>
      </c>
      <c r="B99" s="66">
        <f ca="1">IFERROR(VLOOKUP($A99,[1]!LOOKUP_MDAPs,B$2,FALSE)/$I99,"")</f>
        <v>4.0748418050240404E-2</v>
      </c>
      <c r="C99" s="66">
        <f ca="1">IFERROR(VLOOKUP($A99,[1]!LOOKUP_MDAPs,C$2,FALSE)/$I99,"")</f>
        <v>1.788047813511922E-2</v>
      </c>
      <c r="D99" s="66">
        <f ca="1">IFERROR(VLOOKUP($A99,[1]!LOOKUP_MDAPs,D$2,FALSE)/$I99,"")</f>
        <v>5.9079825336080852E-5</v>
      </c>
      <c r="E99" s="66">
        <f ca="1">IFERROR(VLOOKUP($A99,[1]!LOOKUP_MDAPs,E$2,FALSE)/$I99,"")</f>
        <v>2.0710490285546067E-3</v>
      </c>
      <c r="F99" s="66">
        <f ca="1">IFERROR(VLOOKUP($A99,[1]!LOOKUP_MDAPs,F$2,FALSE)/$I99,"")</f>
        <v>-6.0190364046707872E-6</v>
      </c>
      <c r="G99" s="66">
        <f ca="1">IFERROR(VLOOKUP($A99,[1]!LOOKUP_MDAPs,G$2,FALSE)/$I99,"")</f>
        <v>0.35759673169463252</v>
      </c>
      <c r="H99" s="66">
        <f t="shared" ref="H99:H110" ca="1" si="31">1-SUM(B99:G99)</f>
        <v>0.58165026230252181</v>
      </c>
      <c r="I99" s="65">
        <f ca="1">IF(VLOOKUP($A99,[1]!LOOKUP_MDAPs,I$2,FALSE)&lt;&gt;0,VLOOKUP($A99,[1]!LOOKUP_MDAPs,I$2,FALSE),"")</f>
        <v>4076.4</v>
      </c>
      <c r="J99" s="62">
        <f ca="1">VLOOKUP($A99,[1]!LOOKUP_SARS_Unified2,J$2,FALSE)</f>
        <v>0.379</v>
      </c>
      <c r="K99" s="78">
        <f t="shared" ca="1" si="24"/>
        <v>1247.0237000000002</v>
      </c>
      <c r="L99" s="77">
        <f ca="1">VLOOKUP($A99,[1]!LOOKUP_SARS_Unified2,L$2,FALSE)</f>
        <v>3290.3</v>
      </c>
      <c r="M99" s="76" t="e">
        <f t="shared" ca="1" si="26"/>
        <v>#N/A</v>
      </c>
      <c r="U99" s="133" t="str">
        <f t="shared" si="25"/>
        <v>Tactical Tomahawk</v>
      </c>
      <c r="V99" s="19">
        <f t="shared" ca="1" si="19"/>
        <v>5.9693960612304968E-2</v>
      </c>
      <c r="W99" s="37">
        <f t="shared" ca="1" si="20"/>
        <v>0.41835575673388281</v>
      </c>
      <c r="X99" s="19">
        <f t="shared" ref="X99:X110" ca="1" si="32">(B99+D99)*2+C99+E99+G99</f>
        <v>0.45916325460945934</v>
      </c>
      <c r="Y99" s="37">
        <f t="shared" ref="Y99:Y110" ca="1" si="33">IFERROR(V99/W99,"")</f>
        <v>0.14268707828556654</v>
      </c>
      <c r="Z99" s="19">
        <f t="shared" ref="Z99:Z110" ca="1" si="34">IFERROR(X99/W99,"")</f>
        <v>1.0975425752334855</v>
      </c>
      <c r="AA99" s="75" t="e">
        <f ca="1">M99+'Funding-Bar'!$L$5</f>
        <v>#N/A</v>
      </c>
    </row>
    <row r="100" spans="1:27" ht="15" customHeight="1" x14ac:dyDescent="0.25">
      <c r="A100" s="92" t="s">
        <v>52</v>
      </c>
      <c r="B100" s="66">
        <f ca="1">IFERROR(VLOOKUP($A100,[1]!LOOKUP_MDAPs,B$2,FALSE)/$I100,"")</f>
        <v>1.2483600087700064E-3</v>
      </c>
      <c r="C100" s="66">
        <f ca="1">IFERROR(VLOOKUP($A100,[1]!LOOKUP_MDAPs,C$2,FALSE)/$I100,"")</f>
        <v>1.4474577560476503E-2</v>
      </c>
      <c r="D100" s="66">
        <f ca="1">IFERROR(VLOOKUP($A100,[1]!LOOKUP_MDAPs,D$2,FALSE)/$I100,"")</f>
        <v>4.5911093327486661E-4</v>
      </c>
      <c r="E100" s="66">
        <f ca="1">IFERROR(VLOOKUP($A100,[1]!LOOKUP_MDAPs,E$2,FALSE)/$I100,"")</f>
        <v>7.1141433165241544E-4</v>
      </c>
      <c r="F100" s="66">
        <f ca="1">IFERROR(VLOOKUP($A100,[1]!LOOKUP_MDAPs,F$2,FALSE)/$I100,"")</f>
        <v>0</v>
      </c>
      <c r="G100" s="66">
        <f ca="1">IFERROR(VLOOKUP($A100,[1]!LOOKUP_MDAPs,G$2,FALSE)/$I100,"")</f>
        <v>1.4228613973543815E-3</v>
      </c>
      <c r="H100" s="66">
        <f t="shared" ca="1" si="31"/>
        <v>0.98168367576847182</v>
      </c>
      <c r="I100" s="65">
        <f ca="1">IF(VLOOKUP($A100,[1]!LOOKUP_MDAPs,I$2,FALSE)&lt;&gt;0,VLOOKUP($A100,[1]!LOOKUP_MDAPs,I$2,FALSE),"")</f>
        <v>6841.5</v>
      </c>
      <c r="J100" s="62">
        <f ca="1">VLOOKUP($A100,[1]!LOOKUP_SARS_Unified2,J$2,FALSE)</f>
        <v>0.16399999999999998</v>
      </c>
      <c r="K100" s="78">
        <f t="shared" ca="1" si="24"/>
        <v>801.99279999999987</v>
      </c>
      <c r="L100" s="77">
        <f ca="1">VLOOKUP($A100,[1]!LOOKUP_SARS_Unified2,L$2,FALSE)</f>
        <v>4890.2</v>
      </c>
      <c r="M100" s="76" t="e">
        <f t="shared" ca="1" si="26"/>
        <v>#N/A</v>
      </c>
      <c r="U100" s="133" t="str">
        <f t="shared" si="25"/>
        <v>T-AKE</v>
      </c>
      <c r="V100" s="19">
        <f t="shared" ca="1" si="19"/>
        <v>1.630820020171015E-2</v>
      </c>
      <c r="W100" s="37">
        <f t="shared" ca="1" si="20"/>
        <v>1.8316324231528174E-2</v>
      </c>
      <c r="X100" s="19">
        <f t="shared" ca="1" si="32"/>
        <v>2.0023795173573045E-2</v>
      </c>
      <c r="Y100" s="37">
        <f t="shared" ca="1" si="33"/>
        <v>0.89036424533469394</v>
      </c>
      <c r="Z100" s="19">
        <f t="shared" ca="1" si="34"/>
        <v>1.0932212664758236</v>
      </c>
      <c r="AA100" s="75" t="e">
        <f ca="1">M100+'Funding-Bar'!$L$5</f>
        <v>#N/A</v>
      </c>
    </row>
    <row r="101" spans="1:27" ht="15" customHeight="1" x14ac:dyDescent="0.25">
      <c r="A101" s="92" t="s">
        <v>249</v>
      </c>
      <c r="B101" s="66">
        <f ca="1">IFERROR(VLOOKUP($A101,[1]!LOOKUP_MDAPs,B$2,FALSE)/$I101,"")</f>
        <v>5.3935449268778203E-3</v>
      </c>
      <c r="C101" s="66">
        <f ca="1">IFERROR(VLOOKUP($A101,[1]!LOOKUP_MDAPs,C$2,FALSE)/$I101,"")</f>
        <v>1.4463254826243288E-3</v>
      </c>
      <c r="D101" s="66">
        <f ca="1">IFERROR(VLOOKUP($A101,[1]!LOOKUP_MDAPs,D$2,FALSE)/$I101,"")</f>
        <v>2.1834438260848776E-4</v>
      </c>
      <c r="E101" s="66">
        <f ca="1">IFERROR(VLOOKUP($A101,[1]!LOOKUP_MDAPs,E$2,FALSE)/$I101,"")</f>
        <v>8.7454393487896665E-4</v>
      </c>
      <c r="F101" s="66">
        <f ca="1">IFERROR(VLOOKUP($A101,[1]!LOOKUP_MDAPs,F$2,FALSE)/$I101,"")</f>
        <v>1.5168236077195982E-3</v>
      </c>
      <c r="G101" s="66">
        <f ca="1">IFERROR(VLOOKUP($A101,[1]!LOOKUP_MDAPs,G$2,FALSE)/$I101,"")</f>
        <v>0.15683206204849706</v>
      </c>
      <c r="H101" s="66">
        <f t="shared" ca="1" si="31"/>
        <v>0.83371835561679375</v>
      </c>
      <c r="I101" s="65">
        <f ca="1">IF(VLOOKUP($A101,[1]!LOOKUP_MDAPs,I$2,FALSE)&lt;&gt;0,VLOOKUP($A101,[1]!LOOKUP_MDAPs,I$2,FALSE),"")</f>
        <v>33457.699999999997</v>
      </c>
      <c r="J101" s="62">
        <f ca="1">VLOOKUP($A101,[1]!LOOKUP_SARS_Unified2,J$2,FALSE)</f>
        <v>0.41</v>
      </c>
      <c r="K101" s="78">
        <f t="shared" ca="1" si="24"/>
        <v>14562.584999999999</v>
      </c>
      <c r="L101" s="77">
        <f ca="1">VLOOKUP($A101,[1]!LOOKUP_SARS_Unified2,L$2,FALSE)</f>
        <v>35518.5</v>
      </c>
      <c r="M101" s="76" t="e">
        <f t="shared" ca="1" si="26"/>
        <v>#N/A</v>
      </c>
      <c r="U101" s="133" t="str">
        <f t="shared" si="25"/>
        <v>TRIDENT II</v>
      </c>
      <c r="V101" s="19">
        <f t="shared" ca="1" si="19"/>
        <v>7.3863145682458754E-3</v>
      </c>
      <c r="W101" s="37">
        <f t="shared" ca="1" si="20"/>
        <v>0.16476482077548665</v>
      </c>
      <c r="X101" s="19">
        <f t="shared" ca="1" si="32"/>
        <v>0.17037671008497296</v>
      </c>
      <c r="Y101" s="37">
        <f t="shared" ca="1" si="33"/>
        <v>4.4829439521623875E-2</v>
      </c>
      <c r="Z101" s="19">
        <f t="shared" ca="1" si="34"/>
        <v>1.0340599970495719</v>
      </c>
      <c r="AA101" s="75" t="e">
        <f ca="1">M101+'Funding-Bar'!$L$5</f>
        <v>#N/A</v>
      </c>
    </row>
    <row r="102" spans="1:27" ht="15" customHeight="1" x14ac:dyDescent="0.25">
      <c r="A102" t="s">
        <v>222</v>
      </c>
      <c r="B102" s="66">
        <f ca="1">IFERROR(VLOOKUP($A102,[1]!LOOKUP_MDAPs,B$2,FALSE)/$I102,"")</f>
        <v>0</v>
      </c>
      <c r="C102" s="66">
        <f ca="1">IFERROR(VLOOKUP($A102,[1]!LOOKUP_MDAPs,C$2,FALSE)/$I102,"")</f>
        <v>0</v>
      </c>
      <c r="D102" s="66">
        <f ca="1">IFERROR(VLOOKUP($A102,[1]!LOOKUP_MDAPs,D$2,FALSE)/$I102,"")</f>
        <v>0</v>
      </c>
      <c r="E102" s="66">
        <f ca="1">IFERROR(VLOOKUP($A102,[1]!LOOKUP_MDAPs,E$2,FALSE)/$I102,"")</f>
        <v>0</v>
      </c>
      <c r="F102" s="66">
        <f ca="1">IFERROR(VLOOKUP($A102,[1]!LOOKUP_MDAPs,F$2,FALSE)/$I102,"")</f>
        <v>0</v>
      </c>
      <c r="G102" s="66">
        <f ca="1">IFERROR(VLOOKUP($A102,[1]!LOOKUP_MDAPs,G$2,FALSE)/$I102,"")</f>
        <v>0</v>
      </c>
      <c r="H102" s="66">
        <f t="shared" ca="1" si="31"/>
        <v>1</v>
      </c>
      <c r="I102" s="65">
        <f ca="1">IF(VLOOKUP($A102,[1]!LOOKUP_MDAPs,I$2,FALSE)&lt;&gt;0,VLOOKUP($A102,[1]!LOOKUP_MDAPs,I$2,FALSE),"")</f>
        <v>1904</v>
      </c>
      <c r="J102" s="62">
        <f ca="1">VLOOKUP($A102,[1]!LOOKUP_SARS_Unified2,J$2,FALSE)</f>
        <v>7.0999999999999994E-2</v>
      </c>
      <c r="K102" s="78">
        <f t="shared" ca="1" si="24"/>
        <v>1253.9522999999999</v>
      </c>
      <c r="L102" s="77">
        <f ca="1">VLOOKUP($A102,[1]!LOOKUP_SARS_Unified2,L$2,FALSE)</f>
        <v>17661.3</v>
      </c>
      <c r="M102" s="76" t="e">
        <f t="shared" ca="1" si="26"/>
        <v>#N/A</v>
      </c>
      <c r="U102" s="133" t="str">
        <f t="shared" si="25"/>
        <v>TSAT</v>
      </c>
      <c r="V102" s="19">
        <f t="shared" ca="1" si="19"/>
        <v>0</v>
      </c>
      <c r="W102" s="37">
        <f t="shared" ca="1" si="20"/>
        <v>0</v>
      </c>
      <c r="X102" s="19">
        <f t="shared" ca="1" si="32"/>
        <v>0</v>
      </c>
      <c r="Y102" s="37" t="str">
        <f t="shared" ca="1" si="33"/>
        <v/>
      </c>
      <c r="Z102" s="19" t="str">
        <f t="shared" ca="1" si="34"/>
        <v/>
      </c>
      <c r="AA102" s="75" t="e">
        <f ca="1">M102+'Funding-Bar'!$L$5</f>
        <v>#N/A</v>
      </c>
    </row>
    <row r="103" spans="1:27" ht="15" customHeight="1" x14ac:dyDescent="0.25">
      <c r="A103" t="s">
        <v>49</v>
      </c>
      <c r="B103" s="66">
        <f ca="1">IFERROR(VLOOKUP($A103,[1]!LOOKUP_MDAPs,B$2,FALSE)/$I103,"")</f>
        <v>1.1463794326324907E-2</v>
      </c>
      <c r="C103" s="66">
        <f ca="1">IFERROR(VLOOKUP($A103,[1]!LOOKUP_MDAPs,C$2,FALSE)/$I103,"")</f>
        <v>9.8552193086069769E-3</v>
      </c>
      <c r="D103" s="66">
        <f ca="1">IFERROR(VLOOKUP($A103,[1]!LOOKUP_MDAPs,D$2,FALSE)/$I103,"")</f>
        <v>6.330884321600126E-3</v>
      </c>
      <c r="E103" s="66">
        <f ca="1">IFERROR(VLOOKUP($A103,[1]!LOOKUP_MDAPs,E$2,FALSE)/$I103,"")</f>
        <v>5.6824553114418453E-5</v>
      </c>
      <c r="F103" s="66">
        <f ca="1">IFERROR(VLOOKUP($A103,[1]!LOOKUP_MDAPs,F$2,FALSE)/$I103,"")</f>
        <v>1.1174108197495865E-6</v>
      </c>
      <c r="G103" s="66">
        <f ca="1">IFERROR(VLOOKUP($A103,[1]!LOOKUP_MDAPs,G$2,FALSE)/$I103,"")</f>
        <v>0.18697936410741001</v>
      </c>
      <c r="H103" s="66">
        <f t="shared" ca="1" si="31"/>
        <v>0.78531279597212378</v>
      </c>
      <c r="I103" s="65">
        <f ca="1">IF(VLOOKUP($A103,[1]!LOOKUP_MDAPs,I$2,FALSE)&lt;&gt;0,VLOOKUP($A103,[1]!LOOKUP_MDAPs,I$2,FALSE),"")</f>
        <v>2539.8000000000002</v>
      </c>
      <c r="J103" s="62">
        <f ca="1">VLOOKUP($A103,[1]!LOOKUP_SARS_Unified2,J$2,FALSE)</f>
        <v>0.153</v>
      </c>
      <c r="K103" s="78">
        <f t="shared" ca="1" si="24"/>
        <v>3189.6062999999999</v>
      </c>
      <c r="L103" s="77">
        <f ca="1">VLOOKUP($A103,[1]!LOOKUP_SARS_Unified2,L$2,FALSE)</f>
        <v>20847.099999999999</v>
      </c>
      <c r="M103" s="76" t="e">
        <f t="shared" ca="1" si="26"/>
        <v>#N/A</v>
      </c>
      <c r="U103" s="133" t="str">
        <f t="shared" si="25"/>
        <v>UH-60M Black Hawk Upgrade</v>
      </c>
      <c r="V103" s="19">
        <f t="shared" ca="1" si="19"/>
        <v>2.4512868072289154E-2</v>
      </c>
      <c r="W103" s="37">
        <f t="shared" ca="1" si="20"/>
        <v>0.21468608661705643</v>
      </c>
      <c r="X103" s="19">
        <f t="shared" ca="1" si="32"/>
        <v>0.23248076526498146</v>
      </c>
      <c r="Y103" s="37">
        <f t="shared" ca="1" si="33"/>
        <v>0.11418004985117489</v>
      </c>
      <c r="Z103" s="19">
        <f t="shared" ca="1" si="34"/>
        <v>1.0828869673313579</v>
      </c>
      <c r="AA103" s="75" t="e">
        <f ca="1">M103+'Funding-Bar'!$L$5</f>
        <v>#N/A</v>
      </c>
    </row>
    <row r="104" spans="1:27" ht="15" customHeight="1" x14ac:dyDescent="0.25">
      <c r="A104" t="s">
        <v>60</v>
      </c>
      <c r="B104" s="66">
        <f ca="1">IFERROR(VLOOKUP($A104,[1]!LOOKUP_MDAPs,B$2,FALSE)/$I104,"")</f>
        <v>1.0653943639773364E-2</v>
      </c>
      <c r="C104" s="66">
        <f ca="1">IFERROR(VLOOKUP($A104,[1]!LOOKUP_MDAPs,C$2,FALSE)/$I104,"")</f>
        <v>1.1299613718549421E-2</v>
      </c>
      <c r="D104" s="66">
        <f ca="1">IFERROR(VLOOKUP($A104,[1]!LOOKUP_MDAPs,D$2,FALSE)/$I104,"")</f>
        <v>6.0983418550566021E-5</v>
      </c>
      <c r="E104" s="66">
        <f ca="1">IFERROR(VLOOKUP($A104,[1]!LOOKUP_MDAPs,E$2,FALSE)/$I104,"")</f>
        <v>6.5690785794087804E-4</v>
      </c>
      <c r="F104" s="66">
        <f ca="1">IFERROR(VLOOKUP($A104,[1]!LOOKUP_MDAPs,F$2,FALSE)/$I104,"")</f>
        <v>0</v>
      </c>
      <c r="G104" s="66">
        <f ca="1">IFERROR(VLOOKUP($A104,[1]!LOOKUP_MDAPs,G$2,FALSE)/$I104,"")</f>
        <v>0.20362705727766567</v>
      </c>
      <c r="H104" s="66">
        <f t="shared" ca="1" si="31"/>
        <v>0.77370149408752009</v>
      </c>
      <c r="I104" s="65">
        <f ca="1">IF(VLOOKUP($A104,[1]!LOOKUP_MDAPs,I$2,FALSE)&lt;&gt;0,VLOOKUP($A104,[1]!LOOKUP_MDAPs,I$2,FALSE),"")</f>
        <v>35086.800000000003</v>
      </c>
      <c r="J104" s="62">
        <f ca="1">VLOOKUP($A104,[1]!LOOKUP_SARS_Unified2,J$2,FALSE)</f>
        <v>3.0000000000000001E-3</v>
      </c>
      <c r="K104" s="78">
        <f t="shared" ca="1" si="24"/>
        <v>159.7602</v>
      </c>
      <c r="L104" s="77">
        <f ca="1">VLOOKUP($A104,[1]!LOOKUP_SARS_Unified2,L$2,FALSE)</f>
        <v>53253.4</v>
      </c>
      <c r="M104" s="76" t="e">
        <f t="shared" ca="1" si="26"/>
        <v>#N/A</v>
      </c>
      <c r="U104" s="133" t="str">
        <f t="shared" si="25"/>
        <v>V-22</v>
      </c>
      <c r="V104" s="19">
        <f t="shared" ca="1" si="19"/>
        <v>2.2312502996568506E-2</v>
      </c>
      <c r="W104" s="37">
        <f t="shared" ca="1" si="20"/>
        <v>0.22629850591247991</v>
      </c>
      <c r="X104" s="19">
        <f t="shared" ca="1" si="32"/>
        <v>0.23701343297080382</v>
      </c>
      <c r="Y104" s="37">
        <f t="shared" ca="1" si="33"/>
        <v>9.8597659346446515E-2</v>
      </c>
      <c r="Z104" s="19">
        <f t="shared" ca="1" si="34"/>
        <v>1.0473486425158629</v>
      </c>
      <c r="AA104" s="75" t="e">
        <f ca="1">M104+'Funding-Bar'!$L$5</f>
        <v>#N/A</v>
      </c>
    </row>
    <row r="105" spans="1:27" ht="15" customHeight="1" x14ac:dyDescent="0.25">
      <c r="A105" s="92" t="s">
        <v>223</v>
      </c>
      <c r="B105" s="66">
        <f ca="1">IFERROR(VLOOKUP($A105,[1]!LOOKUP_MDAPs,B$2,FALSE)/$I105,"")</f>
        <v>0</v>
      </c>
      <c r="C105" s="66">
        <f ca="1">IFERROR(VLOOKUP($A105,[1]!LOOKUP_MDAPs,C$2,FALSE)/$I105,"")</f>
        <v>0</v>
      </c>
      <c r="D105" s="66">
        <f ca="1">IFERROR(VLOOKUP($A105,[1]!LOOKUP_MDAPs,D$2,FALSE)/$I105,"")</f>
        <v>0</v>
      </c>
      <c r="E105" s="66">
        <f ca="1">IFERROR(VLOOKUP($A105,[1]!LOOKUP_MDAPs,E$2,FALSE)/$I105,"")</f>
        <v>0</v>
      </c>
      <c r="F105" s="66">
        <f ca="1">IFERROR(VLOOKUP($A105,[1]!LOOKUP_MDAPs,F$2,FALSE)/$I105,"")</f>
        <v>0</v>
      </c>
      <c r="G105" s="66">
        <f ca="1">IFERROR(VLOOKUP($A105,[1]!LOOKUP_MDAPs,G$2,FALSE)/$I105,"")</f>
        <v>0</v>
      </c>
      <c r="H105" s="66">
        <f t="shared" ca="1" si="31"/>
        <v>1</v>
      </c>
      <c r="I105" s="65">
        <f ca="1">IF(VLOOKUP($A105,[1]!LOOKUP_MDAPs,I$2,FALSE)&lt;&gt;0,VLOOKUP($A105,[1]!LOOKUP_MDAPs,I$2,FALSE),"")</f>
        <v>1273.2</v>
      </c>
      <c r="J105" s="62">
        <f ca="1">VLOOKUP($A105,[1]!LOOKUP_SARS_Unified2,J$2,FALSE)</f>
        <v>-2.2000000000000002E-2</v>
      </c>
      <c r="K105" s="78">
        <f t="shared" ca="1" si="24"/>
        <v>-144.04060000000001</v>
      </c>
      <c r="L105" s="77">
        <f ca="1">VLOOKUP($A105,[1]!LOOKUP_SARS_Unified2,L$2,FALSE)</f>
        <v>6547.3</v>
      </c>
      <c r="M105" s="76" t="e">
        <f t="shared" ca="1" si="26"/>
        <v>#N/A</v>
      </c>
      <c r="U105" s="133" t="str">
        <f t="shared" si="25"/>
        <v>VH-71</v>
      </c>
      <c r="V105" s="19">
        <f t="shared" ca="1" si="19"/>
        <v>0</v>
      </c>
      <c r="W105" s="37">
        <f t="shared" ca="1" si="20"/>
        <v>0</v>
      </c>
      <c r="X105" s="19">
        <f t="shared" ca="1" si="32"/>
        <v>0</v>
      </c>
      <c r="Y105" s="37" t="str">
        <f t="shared" ca="1" si="33"/>
        <v/>
      </c>
      <c r="Z105" s="19" t="str">
        <f t="shared" ca="1" si="34"/>
        <v/>
      </c>
      <c r="AA105" s="75" t="e">
        <f ca="1">M105+'Funding-Bar'!$L$5</f>
        <v>#N/A</v>
      </c>
    </row>
    <row r="106" spans="1:27" ht="15" customHeight="1" x14ac:dyDescent="0.25">
      <c r="A106" t="s">
        <v>56</v>
      </c>
      <c r="B106" s="66">
        <f ca="1">IFERROR(VLOOKUP($A106,[1]!LOOKUP_MDAPs,B$2,FALSE)/$I106,"")</f>
        <v>0</v>
      </c>
      <c r="C106" s="66">
        <f ca="1">IFERROR(VLOOKUP($A106,[1]!LOOKUP_MDAPs,C$2,FALSE)/$I106,"")</f>
        <v>0</v>
      </c>
      <c r="D106" s="66">
        <f ca="1">IFERROR(VLOOKUP($A106,[1]!LOOKUP_MDAPs,D$2,FALSE)/$I106,"")</f>
        <v>0</v>
      </c>
      <c r="E106" s="66">
        <f ca="1">IFERROR(VLOOKUP($A106,[1]!LOOKUP_MDAPs,E$2,FALSE)/$I106,"")</f>
        <v>0</v>
      </c>
      <c r="F106" s="66">
        <f ca="1">IFERROR(VLOOKUP($A106,[1]!LOOKUP_MDAPs,F$2,FALSE)/$I106,"")</f>
        <v>0</v>
      </c>
      <c r="G106" s="66">
        <f ca="1">IFERROR(VLOOKUP($A106,[1]!LOOKUP_MDAPs,G$2,FALSE)/$I106,"")</f>
        <v>0</v>
      </c>
      <c r="H106" s="66">
        <f t="shared" ca="1" si="31"/>
        <v>1</v>
      </c>
      <c r="I106" s="65">
        <f ca="1">IF(VLOOKUP($A106,[1]!LOOKUP_MDAPs,I$2,FALSE)&lt;&gt;0,VLOOKUP($A106,[1]!LOOKUP_MDAPs,I$2,FALSE),"")</f>
        <v>948.5</v>
      </c>
      <c r="J106" s="62">
        <f ca="1">VLOOKUP($A106,[1]!LOOKUP_SARS_Unified2,J$2,FALSE)</f>
        <v>0.03</v>
      </c>
      <c r="K106" s="78">
        <f t="shared" ca="1" si="24"/>
        <v>83.613</v>
      </c>
      <c r="L106" s="77">
        <f ca="1">VLOOKUP($A106,[1]!LOOKUP_SARS_Unified2,L$2,FALSE)</f>
        <v>2787.1</v>
      </c>
      <c r="M106" s="76" t="e">
        <f t="shared" ca="1" si="26"/>
        <v>#N/A</v>
      </c>
      <c r="U106" s="133" t="str">
        <f t="shared" si="25"/>
        <v>VTUAV</v>
      </c>
      <c r="V106" s="19">
        <f t="shared" ca="1" si="19"/>
        <v>0</v>
      </c>
      <c r="W106" s="37">
        <f t="shared" ca="1" si="20"/>
        <v>0</v>
      </c>
      <c r="X106" s="19">
        <f t="shared" ca="1" si="32"/>
        <v>0</v>
      </c>
      <c r="Y106" s="37" t="str">
        <f t="shared" ca="1" si="33"/>
        <v/>
      </c>
      <c r="Z106" s="19" t="str">
        <f t="shared" ca="1" si="34"/>
        <v/>
      </c>
      <c r="AA106" s="75" t="e">
        <f ca="1">M106+'Funding-Bar'!$L$5</f>
        <v>#N/A</v>
      </c>
    </row>
    <row r="107" spans="1:27" ht="15" customHeight="1" x14ac:dyDescent="0.25">
      <c r="A107" t="s">
        <v>59</v>
      </c>
      <c r="B107" s="66">
        <f ca="1">IFERROR(VLOOKUP($A107,[1]!LOOKUP_MDAPs,B$2,FALSE)/$I107,"")</f>
        <v>1.3389977232859328E-2</v>
      </c>
      <c r="C107" s="66">
        <f ca="1">IFERROR(VLOOKUP($A107,[1]!LOOKUP_MDAPs,C$2,FALSE)/$I107,"")</f>
        <v>1.5842437726271787E-2</v>
      </c>
      <c r="D107" s="66">
        <f ca="1">IFERROR(VLOOKUP($A107,[1]!LOOKUP_MDAPs,D$2,FALSE)/$I107,"")</f>
        <v>3.5577307505691783E-3</v>
      </c>
      <c r="E107" s="66">
        <f ca="1">IFERROR(VLOOKUP($A107,[1]!LOOKUP_MDAPs,E$2,FALSE)/$I107,"")</f>
        <v>3.0556989960064196E-3</v>
      </c>
      <c r="F107" s="66">
        <f ca="1">IFERROR(VLOOKUP($A107,[1]!LOOKUP_MDAPs,F$2,FALSE)/$I107,"")</f>
        <v>0</v>
      </c>
      <c r="G107" s="66">
        <f ca="1">IFERROR(VLOOKUP($A107,[1]!LOOKUP_MDAPs,G$2,FALSE)/$I107,"")</f>
        <v>0.34767445985518602</v>
      </c>
      <c r="H107" s="66">
        <f t="shared" ca="1" si="31"/>
        <v>0.61647969543910719</v>
      </c>
      <c r="I107" s="65">
        <f ca="1">IF(VLOOKUP($A107,[1]!LOOKUP_MDAPs,I$2,FALSE)&lt;&gt;0,VLOOKUP($A107,[1]!LOOKUP_MDAPs,I$2,FALSE),"")</f>
        <v>2679.3</v>
      </c>
      <c r="J107" s="62">
        <f ca="1">VLOOKUP($A107,[1]!LOOKUP_SARS_Unified2,J$2,FALSE)</f>
        <v>-0.02</v>
      </c>
      <c r="K107" s="78">
        <f t="shared" ca="1" si="24"/>
        <v>-70.793999999999997</v>
      </c>
      <c r="L107" s="77">
        <f ca="1">VLOOKUP($A107,[1]!LOOKUP_SARS_Unified2,L$2,FALSE)</f>
        <v>3539.7</v>
      </c>
      <c r="M107" s="76" t="e">
        <f t="shared" ca="1" si="26"/>
        <v>#N/A</v>
      </c>
      <c r="U107" s="133" t="str">
        <f t="shared" si="25"/>
        <v>WGS</v>
      </c>
      <c r="V107" s="19">
        <f t="shared" ca="1" si="19"/>
        <v>3.2539129832418912E-2</v>
      </c>
      <c r="W107" s="37">
        <f t="shared" ca="1" si="20"/>
        <v>0.38352030456089276</v>
      </c>
      <c r="X107" s="19">
        <f t="shared" ca="1" si="32"/>
        <v>0.40046801254432124</v>
      </c>
      <c r="Y107" s="37">
        <f t="shared" ca="1" si="33"/>
        <v>8.4843304110519574E-2</v>
      </c>
      <c r="Z107" s="19">
        <f t="shared" ca="1" si="34"/>
        <v>1.044189858481763</v>
      </c>
      <c r="AA107" s="75" t="e">
        <f ca="1">M107+'Funding-Bar'!$L$5</f>
        <v>#N/A</v>
      </c>
    </row>
    <row r="108" spans="1:27" ht="15" customHeight="1" x14ac:dyDescent="0.25">
      <c r="A108" t="s">
        <v>43</v>
      </c>
      <c r="B108" s="66">
        <f ca="1">IFERROR(VLOOKUP($A108,[1]!LOOKUP_MDAPs,B$2,FALSE)/$I108,"")</f>
        <v>3.9897029765895181E-2</v>
      </c>
      <c r="C108" s="66">
        <f ca="1">IFERROR(VLOOKUP($A108,[1]!LOOKUP_MDAPs,C$2,FALSE)/$I108,"")</f>
        <v>6.235006650704974E-4</v>
      </c>
      <c r="D108" s="66">
        <f ca="1">IFERROR(VLOOKUP($A108,[1]!LOOKUP_MDAPs,D$2,FALSE)/$I108,"")</f>
        <v>2.3966879489225858E-4</v>
      </c>
      <c r="E108" s="66">
        <f ca="1">IFERROR(VLOOKUP($A108,[1]!LOOKUP_MDAPs,E$2,FALSE)/$I108,"")</f>
        <v>4.9702580473530191E-5</v>
      </c>
      <c r="F108" s="66">
        <f ca="1">IFERROR(VLOOKUP($A108,[1]!LOOKUP_MDAPs,F$2,FALSE)/$I108,"")</f>
        <v>0</v>
      </c>
      <c r="G108" s="66">
        <f ca="1">IFERROR(VLOOKUP($A108,[1]!LOOKUP_MDAPs,G$2,FALSE)/$I108,"")</f>
        <v>4.6795450917797287E-4</v>
      </c>
      <c r="H108" s="66">
        <f t="shared" ca="1" si="31"/>
        <v>0.9587221436844906</v>
      </c>
      <c r="I108" s="65">
        <f ca="1">IF(VLOOKUP($A108,[1]!LOOKUP_MDAPs,I$2,FALSE)&lt;&gt;0,VLOOKUP($A108,[1]!LOOKUP_MDAPs,I$2,FALSE),"")</f>
        <v>3759</v>
      </c>
      <c r="J108" s="62">
        <f ca="1">VLOOKUP($A108,[1]!LOOKUP_SARS_Unified2,J$2,FALSE)</f>
        <v>2.5000000000000001E-2</v>
      </c>
      <c r="K108" s="78">
        <f t="shared" ca="1" si="24"/>
        <v>96.992500000000007</v>
      </c>
      <c r="L108" s="77">
        <f ca="1">VLOOKUP($A108,[1]!LOOKUP_SARS_Unified2,L$2,FALSE)</f>
        <v>3879.7</v>
      </c>
      <c r="M108" s="76" t="e">
        <f t="shared" ca="1" si="26"/>
        <v>#N/A</v>
      </c>
      <c r="U108" s="133" t="str">
        <f t="shared" si="25"/>
        <v>WIN-T increment 1</v>
      </c>
      <c r="V108" s="19">
        <f t="shared" ca="1" si="19"/>
        <v>4.0665216118648574E-2</v>
      </c>
      <c r="W108" s="37">
        <f t="shared" ca="1" si="20"/>
        <v>4.127785631550944E-2</v>
      </c>
      <c r="X108" s="19">
        <f t="shared" ca="1" si="32"/>
        <v>8.1414554876296882E-2</v>
      </c>
      <c r="Y108" s="37">
        <f t="shared" ca="1" si="33"/>
        <v>0.98515813921686923</v>
      </c>
      <c r="Z108" s="19">
        <f t="shared" ca="1" si="34"/>
        <v>1.9723542388926523</v>
      </c>
      <c r="AA108" s="75" t="e">
        <f ca="1">M108+'Funding-Bar'!$L$5</f>
        <v>#N/A</v>
      </c>
    </row>
    <row r="109" spans="1:27" ht="15" customHeight="1" x14ac:dyDescent="0.25">
      <c r="A109" t="s">
        <v>57</v>
      </c>
      <c r="B109" s="66">
        <f ca="1">IFERROR(VLOOKUP($A109,[1]!LOOKUP_MDAPs,B$2,FALSE)/$I109,"")</f>
        <v>0.79168493939342732</v>
      </c>
      <c r="C109" s="66">
        <f ca="1">IFERROR(VLOOKUP($A109,[1]!LOOKUP_MDAPs,C$2,FALSE)/$I109,"")</f>
        <v>0.11504717299146741</v>
      </c>
      <c r="D109" s="66">
        <f ca="1">IFERROR(VLOOKUP($A109,[1]!LOOKUP_MDAPs,D$2,FALSE)/$I109,"")</f>
        <v>9.248882695784405E-2</v>
      </c>
      <c r="E109" s="66">
        <f ca="1">IFERROR(VLOOKUP($A109,[1]!LOOKUP_MDAPs,E$2,FALSE)/$I109,"")</f>
        <v>3.6715162118780092E-3</v>
      </c>
      <c r="F109" s="66">
        <f ca="1">IFERROR(VLOOKUP($A109,[1]!LOOKUP_MDAPs,F$2,FALSE)/$I109,"")</f>
        <v>0</v>
      </c>
      <c r="G109" s="66">
        <f ca="1">IFERROR(VLOOKUP($A109,[1]!LOOKUP_MDAPs,G$2,FALSE)/$I109,"")</f>
        <v>4.0971276590352289E-2</v>
      </c>
      <c r="H109" s="66">
        <f t="shared" ca="1" si="31"/>
        <v>-4.3863732144969081E-2</v>
      </c>
      <c r="I109" s="65">
        <f ca="1">IF(VLOOKUP($A109,[1]!LOOKUP_MDAPs,I$2,FALSE)&lt;&gt;0,VLOOKUP($A109,[1]!LOOKUP_MDAPs,I$2,FALSE),"")</f>
        <v>1183.7</v>
      </c>
      <c r="J109" s="62">
        <f ca="1">VLOOKUP($A109,[1]!LOOKUP_SARS_Unified2,J$2,FALSE)</f>
        <v>0.08</v>
      </c>
      <c r="K109" s="78">
        <f t="shared" ca="1" si="24"/>
        <v>399.75199999999995</v>
      </c>
      <c r="L109" s="77">
        <f ca="1">VLOOKUP($A109,[1]!LOOKUP_SARS_Unified2,L$2,FALSE)</f>
        <v>4996.8999999999996</v>
      </c>
      <c r="M109" s="76" t="e">
        <f t="shared" ca="1" si="26"/>
        <v>#N/A</v>
      </c>
      <c r="U109" s="133" t="str">
        <f t="shared" si="25"/>
        <v>WIN-T increment 2</v>
      </c>
      <c r="V109" s="19">
        <f t="shared" ca="1" si="19"/>
        <v>0.95481228396975582</v>
      </c>
      <c r="W109" s="37">
        <f t="shared" ca="1" si="20"/>
        <v>1.0438637321449691</v>
      </c>
      <c r="X109" s="19">
        <f t="shared" ca="1" si="32"/>
        <v>1.9280374984962407</v>
      </c>
      <c r="Y109" s="37">
        <f t="shared" ca="1" si="33"/>
        <v>0.91469054299623276</v>
      </c>
      <c r="Z109" s="19">
        <f t="shared" ca="1" si="34"/>
        <v>1.8470202950096171</v>
      </c>
      <c r="AA109" s="75" t="e">
        <f ca="1">M109+'Funding-Bar'!$L$5</f>
        <v>#N/A</v>
      </c>
    </row>
    <row r="110" spans="1:27" ht="15" customHeight="1" x14ac:dyDescent="0.25">
      <c r="A110" t="s">
        <v>185</v>
      </c>
      <c r="B110" s="66">
        <f ca="1">IFERROR(VLOOKUP($A110,[1]!LOOKUP_MDAPs,B$2,FALSE)/$I110,"")</f>
        <v>0</v>
      </c>
      <c r="C110" s="66">
        <f ca="1">IFERROR(VLOOKUP($A110,[1]!LOOKUP_MDAPs,C$2,FALSE)/$I110,"")</f>
        <v>5.6562475208250691E-5</v>
      </c>
      <c r="D110" s="66">
        <f ca="1">IFERROR(VLOOKUP($A110,[1]!LOOKUP_MDAPs,D$2,FALSE)/$I110,"")</f>
        <v>0</v>
      </c>
      <c r="E110" s="66">
        <f ca="1">IFERROR(VLOOKUP($A110,[1]!LOOKUP_MDAPs,E$2,FALSE)/$I110,"")</f>
        <v>0</v>
      </c>
      <c r="F110" s="66">
        <f ca="1">IFERROR(VLOOKUP($A110,[1]!LOOKUP_MDAPs,F$2,FALSE)/$I110,"")</f>
        <v>0</v>
      </c>
      <c r="G110" s="66">
        <f ca="1">IFERROR(VLOOKUP($A110,[1]!LOOKUP_MDAPs,G$2,FALSE)/$I110,"")</f>
        <v>0</v>
      </c>
      <c r="H110" s="66">
        <f t="shared" ca="1" si="31"/>
        <v>0.99994343752479176</v>
      </c>
      <c r="I110" s="65">
        <f ca="1">IF(VLOOKUP($A110,[1]!LOOKUP_MDAPs,I$2,FALSE)&lt;&gt;0,VLOOKUP($A110,[1]!LOOKUP_MDAPs,I$2,FALSE),"")</f>
        <v>1260.5</v>
      </c>
      <c r="J110" s="62">
        <f ca="1">VLOOKUP($A110,[1]!LOOKUP_SARS_Unified2,J$2,FALSE)</f>
        <v>-0.183</v>
      </c>
      <c r="K110" s="78">
        <f t="shared" ca="1" si="24"/>
        <v>-3442.8155999999999</v>
      </c>
      <c r="L110" s="77">
        <f ca="1">VLOOKUP($A110,[1]!LOOKUP_SARS_Unified2,L$2,FALSE)</f>
        <v>18813.2</v>
      </c>
      <c r="M110" s="76" t="e">
        <f t="shared" ca="1" si="26"/>
        <v>#N/A</v>
      </c>
      <c r="U110" s="133" t="str">
        <f t="shared" si="25"/>
        <v>WIN-T increment 3</v>
      </c>
      <c r="V110" s="19">
        <f t="shared" ca="1" si="19"/>
        <v>5.6562475208250691E-5</v>
      </c>
      <c r="W110" s="37">
        <f t="shared" ca="1" si="20"/>
        <v>5.6562475208250691E-5</v>
      </c>
      <c r="X110" s="19">
        <f t="shared" ca="1" si="32"/>
        <v>5.6562475208250691E-5</v>
      </c>
      <c r="Y110" s="37">
        <f t="shared" ca="1" si="33"/>
        <v>1</v>
      </c>
      <c r="Z110" s="19">
        <f t="shared" ca="1" si="34"/>
        <v>1</v>
      </c>
      <c r="AA110" s="75" t="e">
        <f ca="1">M110+'Funding-Bar'!$L$5</f>
        <v>#N/A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U115"/>
  <sheetViews>
    <sheetView topLeftCell="A97" zoomScaleNormal="100" workbookViewId="0">
      <selection activeCell="A106" sqref="A106"/>
    </sheetView>
  </sheetViews>
  <sheetFormatPr defaultRowHeight="15" x14ac:dyDescent="0.25"/>
  <cols>
    <col min="1" max="1" width="23.28515625" customWidth="1"/>
    <col min="2" max="2" width="11.42578125" customWidth="1"/>
    <col min="3" max="3" width="11.85546875" customWidth="1"/>
    <col min="4" max="4" width="11" customWidth="1"/>
    <col min="5" max="6" width="10.5703125" customWidth="1"/>
    <col min="7" max="7" width="10.140625" customWidth="1"/>
    <col min="8" max="8" width="10.7109375" customWidth="1"/>
  </cols>
  <sheetData>
    <row r="1" spans="1:99" s="1" customFormat="1" ht="57" x14ac:dyDescent="0.85">
      <c r="A1" s="11" t="s">
        <v>145</v>
      </c>
    </row>
    <row r="2" spans="1:99" s="1" customFormat="1" ht="57" x14ac:dyDescent="0.85">
      <c r="A2" s="11"/>
    </row>
    <row r="3" spans="1:99" s="1" customFormat="1" ht="57" x14ac:dyDescent="0.2">
      <c r="A3" s="20"/>
      <c r="B3" s="95">
        <f>HLOOKUP(B4,[1]!LOOKUP_MDAPs,2,FALSE)</f>
        <v>28</v>
      </c>
      <c r="C3" s="95">
        <f>HLOOKUP(C4,[1]!LOOKUP_MDAPs,2,FALSE)</f>
        <v>29</v>
      </c>
      <c r="D3" s="95">
        <f>HLOOKUP(D4,[1]!LOOKUP_MDAPs,2,FALSE)</f>
        <v>30</v>
      </c>
      <c r="E3" s="95">
        <f>HLOOKUP(E4,[1]!LOOKUP_MDAPs,2,FALSE)</f>
        <v>31</v>
      </c>
      <c r="F3" s="95">
        <f>HLOOKUP(F4,[1]!LOOKUP_MDAPs,2,FALSE)</f>
        <v>32</v>
      </c>
      <c r="G3" s="95">
        <f>HLOOKUP(G4,[1]!LOOKUP_MDAPs,2,FALSE)</f>
        <v>33</v>
      </c>
      <c r="H3" s="95">
        <f>HLOOKUP(H4,[1]!LOOKUP_MDAPs,2,FALSE)</f>
        <v>34</v>
      </c>
      <c r="I3" s="95">
        <f>HLOOKUP(I4,[1]!LOOKUP_MDAPs,2,FALSE)</f>
        <v>39</v>
      </c>
      <c r="J3" s="99">
        <v>32</v>
      </c>
      <c r="K3" s="99">
        <f t="shared" ref="K3:P3" si="0">J3+2</f>
        <v>34</v>
      </c>
      <c r="L3" s="99">
        <f t="shared" si="0"/>
        <v>36</v>
      </c>
      <c r="M3" s="99">
        <f t="shared" si="0"/>
        <v>38</v>
      </c>
      <c r="N3" s="99">
        <f t="shared" si="0"/>
        <v>40</v>
      </c>
      <c r="O3" s="99">
        <f t="shared" si="0"/>
        <v>42</v>
      </c>
      <c r="P3" s="99">
        <f t="shared" si="0"/>
        <v>44</v>
      </c>
      <c r="Q3" s="99">
        <v>46</v>
      </c>
      <c r="R3" s="99">
        <v>6</v>
      </c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99" s="1" customFormat="1" ht="51" x14ac:dyDescent="0.2">
      <c r="A4" s="144" t="s">
        <v>80</v>
      </c>
      <c r="B4" s="145" t="s">
        <v>193</v>
      </c>
      <c r="C4" s="145" t="s">
        <v>194</v>
      </c>
      <c r="D4" s="145" t="s">
        <v>195</v>
      </c>
      <c r="E4" s="145" t="s">
        <v>196</v>
      </c>
      <c r="F4" s="145" t="s">
        <v>197</v>
      </c>
      <c r="G4" s="145" t="s">
        <v>147</v>
      </c>
      <c r="H4" s="145" t="s">
        <v>198</v>
      </c>
      <c r="I4" s="145" t="s">
        <v>200</v>
      </c>
      <c r="J4" s="146" t="s">
        <v>255</v>
      </c>
      <c r="K4" s="146" t="e">
        <f ca="1">VLOOKUP($A4,[1]!LOOKUP_SARS_2009_Change_Breakdown2,K$3,FALSE)</f>
        <v>#N/A</v>
      </c>
      <c r="L4" s="146" t="e">
        <f ca="1">VLOOKUP($A4,[1]!LOOKUP_SARS_2009_Change_Breakdown2,L$3,FALSE)</f>
        <v>#N/A</v>
      </c>
      <c r="M4" s="146" t="e">
        <f ca="1">VLOOKUP($A4,[1]!LOOKUP_SARS_2009_Change_Breakdown2,M$3,FALSE)</f>
        <v>#N/A</v>
      </c>
      <c r="N4" s="146" t="e">
        <f ca="1">VLOOKUP($A4,[1]!LOOKUP_SARS_2009_Change_Breakdown2,N$3,FALSE)</f>
        <v>#N/A</v>
      </c>
      <c r="O4" s="146" t="e">
        <f ca="1">VLOOKUP($A4,[1]!LOOKUP_SARS_2009_Change_Breakdown2,O$3,FALSE)</f>
        <v>#N/A</v>
      </c>
      <c r="P4" s="146" t="e">
        <f ca="1">VLOOKUP($A4,[1]!LOOKUP_SARS_2009_Change_Breakdown2,P$3,FALSE)</f>
        <v>#N/A</v>
      </c>
      <c r="Q4" s="146" t="e">
        <f ca="1">VLOOKUP($A4,[1]!LOOKUP_SARS_2009_Change_Breakdown2,Q$3,FALSE)</f>
        <v>#N/A</v>
      </c>
      <c r="R4" s="147" t="e">
        <f ca="1">VLOOKUP($A4,[1]!LOOKUP_SARS_2009.2,R$3,FALSE)</f>
        <v>#N/A</v>
      </c>
      <c r="S4" s="148" t="s">
        <v>144</v>
      </c>
      <c r="X4" s="1" t="e">
        <f>SUMPRODUCT((P$12:P$96&gt;=0)*P$12:P$96*$F$12:$F$96*$S$12:$S$96)</f>
        <v>#NAME?</v>
      </c>
      <c r="Y4" s="19">
        <f>SUM($F$12:$F$96)</f>
        <v>89.860720106987486</v>
      </c>
      <c r="Z4" s="1" t="e">
        <f>X4/Y4</f>
        <v>#NAME?</v>
      </c>
    </row>
    <row r="5" spans="1:99" s="1" customFormat="1" ht="51" x14ac:dyDescent="0.2">
      <c r="A5" s="17" t="s">
        <v>82</v>
      </c>
      <c r="B5" s="74" t="e">
        <f t="shared" ref="B5:H5" si="1">SUMPRODUCT(B$12:B$96,$Q$12:$Q$96)</f>
        <v>#NAME?</v>
      </c>
      <c r="C5" s="74" t="e">
        <f t="shared" si="1"/>
        <v>#NAME?</v>
      </c>
      <c r="D5" s="74" t="e">
        <f t="shared" si="1"/>
        <v>#NAME?</v>
      </c>
      <c r="E5" s="74" t="e">
        <f t="shared" si="1"/>
        <v>#NAME?</v>
      </c>
      <c r="F5" s="74" t="e">
        <f t="shared" si="1"/>
        <v>#NAME?</v>
      </c>
      <c r="G5" s="74" t="e">
        <f t="shared" si="1"/>
        <v>#NAME?</v>
      </c>
      <c r="H5" s="74" t="e">
        <f t="shared" si="1"/>
        <v>#NAME?</v>
      </c>
      <c r="I5" s="9"/>
      <c r="J5" s="13"/>
      <c r="K5" s="13"/>
      <c r="L5" s="13"/>
      <c r="M5" s="13"/>
      <c r="N5" s="13"/>
      <c r="O5" s="13"/>
      <c r="P5" s="13"/>
      <c r="Q5" s="13"/>
      <c r="R5" s="32"/>
      <c r="V5" s="43" t="str">
        <f t="shared" ref="V5:AB5" si="2">J4</f>
        <v>Total
 (Then Year)</v>
      </c>
      <c r="W5" s="43" t="e">
        <f t="shared" ca="1" si="2"/>
        <v>#N/A</v>
      </c>
      <c r="X5" s="43" t="e">
        <f t="shared" ca="1" si="2"/>
        <v>#N/A</v>
      </c>
      <c r="Y5" s="43" t="e">
        <f t="shared" ca="1" si="2"/>
        <v>#N/A</v>
      </c>
      <c r="Z5" s="43" t="e">
        <f t="shared" ca="1" si="2"/>
        <v>#N/A</v>
      </c>
      <c r="AA5" s="43" t="e">
        <f t="shared" ca="1" si="2"/>
        <v>#N/A</v>
      </c>
      <c r="AB5" s="43" t="e">
        <f t="shared" ca="1" si="2"/>
        <v>#N/A</v>
      </c>
      <c r="AC5" s="22" t="str">
        <f t="shared" ref="AC5:AI5" si="3">"Negative "&amp;V5</f>
        <v>Negative Total
 (Then Year)</v>
      </c>
      <c r="AD5" s="22" t="e">
        <f t="shared" ca="1" si="3"/>
        <v>#N/A</v>
      </c>
      <c r="AE5" s="22" t="e">
        <f t="shared" ca="1" si="3"/>
        <v>#N/A</v>
      </c>
      <c r="AF5" s="22" t="e">
        <f t="shared" ca="1" si="3"/>
        <v>#N/A</v>
      </c>
      <c r="AG5" s="22" t="e">
        <f t="shared" ca="1" si="3"/>
        <v>#N/A</v>
      </c>
      <c r="AH5" s="22" t="e">
        <f t="shared" ca="1" si="3"/>
        <v>#N/A</v>
      </c>
      <c r="AI5" s="22" t="e">
        <f t="shared" ca="1" si="3"/>
        <v>#N/A</v>
      </c>
      <c r="AS5" s="18" t="s">
        <v>152</v>
      </c>
    </row>
    <row r="6" spans="1:99" s="1" customFormat="1" ht="51" x14ac:dyDescent="0.25">
      <c r="A6" s="18" t="s">
        <v>91</v>
      </c>
      <c r="B6" s="74" t="e">
        <f t="shared" ref="B6:H6" si="4">SUMPRODUCT(B$12:B$96,$K$12:$K$96)</f>
        <v>#NAME?</v>
      </c>
      <c r="C6" s="74" t="e">
        <f t="shared" si="4"/>
        <v>#NAME?</v>
      </c>
      <c r="D6" s="74" t="e">
        <f t="shared" si="4"/>
        <v>#NAME?</v>
      </c>
      <c r="E6" s="74" t="e">
        <f t="shared" si="4"/>
        <v>#NAME?</v>
      </c>
      <c r="F6" s="74" t="e">
        <f t="shared" si="4"/>
        <v>#NAME?</v>
      </c>
      <c r="G6" s="74" t="e">
        <f t="shared" si="4"/>
        <v>#NAME?</v>
      </c>
      <c r="H6" s="74" t="e">
        <f t="shared" si="4"/>
        <v>#NAME?</v>
      </c>
      <c r="I6" s="65"/>
      <c r="J6" s="13"/>
      <c r="K6" s="13"/>
      <c r="L6" s="13"/>
      <c r="M6" s="13"/>
      <c r="N6" s="13"/>
      <c r="O6" s="13"/>
      <c r="P6" s="13"/>
      <c r="Q6" s="13"/>
      <c r="R6" s="26"/>
      <c r="T6" s="73" t="e">
        <f>SUMPRODUCT(B$12:B$96,$R$12:$R$96)</f>
        <v>#NAME?</v>
      </c>
      <c r="U6" s="8" t="str">
        <f>IF(VLOOKUP($A4,[1]!LOOKUP_MDAPs,B$3,FALSE)&lt;&gt;0,VLOOKUP($A4,[1]!LOOKUP_MDAPs,B$3,FALSE),"")</f>
        <v>Full and Open -Multiple Bidders</v>
      </c>
      <c r="V6" s="13" t="e">
        <f t="shared" ref="V6:AB6" si="5">SUMPRODUCT((J$12:J$96&gt;=0)*J$12:J$96*$B$12:$B$96)</f>
        <v>#NAME?</v>
      </c>
      <c r="W6" s="13" t="e">
        <f t="shared" si="5"/>
        <v>#NAME?</v>
      </c>
      <c r="X6" s="13" t="e">
        <f t="shared" si="5"/>
        <v>#NAME?</v>
      </c>
      <c r="Y6" s="13" t="e">
        <f t="shared" si="5"/>
        <v>#NAME?</v>
      </c>
      <c r="Z6" s="13" t="e">
        <f t="shared" si="5"/>
        <v>#NAME?</v>
      </c>
      <c r="AA6" s="13" t="e">
        <f t="shared" si="5"/>
        <v>#NAME?</v>
      </c>
      <c r="AB6" s="13" t="e">
        <f t="shared" si="5"/>
        <v>#NAME?</v>
      </c>
      <c r="AC6" s="13" t="e">
        <f t="shared" ref="AC6:AI6" si="6">SUMPRODUCT((J$12:J$96&lt;0)*J$12:J$96*$B$12:$B$96)</f>
        <v>#NAME?</v>
      </c>
      <c r="AD6" s="13" t="e">
        <f t="shared" si="6"/>
        <v>#NAME?</v>
      </c>
      <c r="AE6" s="13" t="e">
        <f t="shared" si="6"/>
        <v>#NAME?</v>
      </c>
      <c r="AF6" s="13" t="e">
        <f t="shared" si="6"/>
        <v>#NAME?</v>
      </c>
      <c r="AG6" s="13" t="e">
        <f t="shared" si="6"/>
        <v>#NAME?</v>
      </c>
      <c r="AH6" s="13" t="e">
        <f t="shared" si="6"/>
        <v>#NAME?</v>
      </c>
      <c r="AI6" s="13" t="e">
        <f t="shared" si="6"/>
        <v>#NAME?</v>
      </c>
      <c r="AS6" s="1" t="s">
        <v>151</v>
      </c>
    </row>
    <row r="7" spans="1:99" s="1" customFormat="1" ht="51" x14ac:dyDescent="0.25">
      <c r="A7" s="1" t="s">
        <v>88</v>
      </c>
      <c r="B7" s="74" t="e">
        <f t="shared" ref="B7:H7" si="7">SUMPRODUCT(B$12:B$96,$L$12:$L$96)</f>
        <v>#NAME?</v>
      </c>
      <c r="C7" s="74" t="e">
        <f t="shared" si="7"/>
        <v>#NAME?</v>
      </c>
      <c r="D7" s="74" t="e">
        <f t="shared" si="7"/>
        <v>#NAME?</v>
      </c>
      <c r="E7" s="74" t="e">
        <f t="shared" si="7"/>
        <v>#NAME?</v>
      </c>
      <c r="F7" s="74" t="e">
        <f t="shared" si="7"/>
        <v>#NAME?</v>
      </c>
      <c r="G7" s="74" t="e">
        <f t="shared" si="7"/>
        <v>#NAME?</v>
      </c>
      <c r="H7" s="74" t="e">
        <f t="shared" si="7"/>
        <v>#NAME?</v>
      </c>
      <c r="I7" s="65"/>
      <c r="J7" s="13"/>
      <c r="K7" s="13"/>
      <c r="L7" s="13"/>
      <c r="M7" s="13"/>
      <c r="N7" s="13"/>
      <c r="O7" s="13"/>
      <c r="P7" s="13"/>
      <c r="Q7" s="13"/>
      <c r="R7" s="26"/>
      <c r="T7" s="73" t="e">
        <f>SUMPRODUCT(C$12:C$96,$R$12:$R$96)</f>
        <v>#NAME?</v>
      </c>
      <c r="U7" s="8" t="str">
        <f>IF(VLOOKUP($A4,[1]!LOOKUP_MDAPs,C$3,FALSE)&lt;&gt;0,VLOOKUP($A4,[1]!LOOKUP_MDAPs,C$3,FALSE),"")</f>
        <v>Full and Open -Single Bidder</v>
      </c>
      <c r="V7" s="13" t="e">
        <f t="shared" ref="V7:AB7" si="8">SUMPRODUCT((J$12:J$96&gt;=0)*J$12:J$96*$C$12:$C$96)</f>
        <v>#NAME?</v>
      </c>
      <c r="W7" s="13" t="e">
        <f t="shared" si="8"/>
        <v>#NAME?</v>
      </c>
      <c r="X7" s="13" t="e">
        <f t="shared" si="8"/>
        <v>#NAME?</v>
      </c>
      <c r="Y7" s="13" t="e">
        <f t="shared" si="8"/>
        <v>#NAME?</v>
      </c>
      <c r="Z7" s="13" t="e">
        <f t="shared" si="8"/>
        <v>#NAME?</v>
      </c>
      <c r="AA7" s="13" t="e">
        <f t="shared" si="8"/>
        <v>#NAME?</v>
      </c>
      <c r="AB7" s="13" t="e">
        <f t="shared" si="8"/>
        <v>#NAME?</v>
      </c>
      <c r="AC7" s="13" t="e">
        <f t="shared" ref="AC7:AI7" si="9">SUMPRODUCT((J$12:J$96&lt;0)*J$12:J$96*$C$12:$C$96)</f>
        <v>#NAME?</v>
      </c>
      <c r="AD7" s="13" t="e">
        <f t="shared" si="9"/>
        <v>#NAME?</v>
      </c>
      <c r="AE7" s="13" t="e">
        <f t="shared" si="9"/>
        <v>#NAME?</v>
      </c>
      <c r="AF7" s="13" t="e">
        <f t="shared" si="9"/>
        <v>#NAME?</v>
      </c>
      <c r="AG7" s="13" t="e">
        <f t="shared" si="9"/>
        <v>#NAME?</v>
      </c>
      <c r="AH7" s="13" t="e">
        <f t="shared" si="9"/>
        <v>#NAME?</v>
      </c>
      <c r="AI7" s="13" t="e">
        <f t="shared" si="9"/>
        <v>#NAME?</v>
      </c>
      <c r="AS7" s="1" t="s">
        <v>150</v>
      </c>
      <c r="CT7" s="18">
        <v>17</v>
      </c>
    </row>
    <row r="8" spans="1:99" s="1" customFormat="1" ht="38.25" x14ac:dyDescent="0.25">
      <c r="A8" s="1" t="s">
        <v>87</v>
      </c>
      <c r="B8" s="74" t="e">
        <f t="shared" ref="B8:H8" si="10">SUMPRODUCT(B$12:B$96,$M$12:$M$96)</f>
        <v>#NAME?</v>
      </c>
      <c r="C8" s="74" t="e">
        <f t="shared" si="10"/>
        <v>#NAME?</v>
      </c>
      <c r="D8" s="74" t="e">
        <f t="shared" si="10"/>
        <v>#NAME?</v>
      </c>
      <c r="E8" s="74" t="e">
        <f t="shared" si="10"/>
        <v>#NAME?</v>
      </c>
      <c r="F8" s="74" t="e">
        <f t="shared" si="10"/>
        <v>#NAME?</v>
      </c>
      <c r="G8" s="74" t="e">
        <f t="shared" si="10"/>
        <v>#NAME?</v>
      </c>
      <c r="H8" s="74" t="e">
        <f t="shared" si="10"/>
        <v>#NAME?</v>
      </c>
      <c r="I8" s="65"/>
      <c r="J8" s="13"/>
      <c r="K8" s="13"/>
      <c r="L8" s="13"/>
      <c r="M8" s="13"/>
      <c r="N8" s="13"/>
      <c r="O8" s="13"/>
      <c r="P8" s="13"/>
      <c r="Q8" s="13"/>
      <c r="R8" s="26"/>
      <c r="T8" s="73" t="e">
        <f>SUMPRODUCT(D$12:D$96,$R$12:$R$96)</f>
        <v>#NAME?</v>
      </c>
      <c r="U8" s="8" t="str">
        <f>IF(VLOOKUP($A4,[1]!LOOKUP_MDAPs,D$3,FALSE)&lt;&gt;0,VLOOKUP($A4,[1]!LOOKUP_MDAPs,D$3,FALSE),"")</f>
        <v>Partial -Multiple Bidders</v>
      </c>
      <c r="V8" s="13" t="e">
        <f t="shared" ref="V8:AB8" si="11">SUMPRODUCT((J$12:J$96&gt;=0)*J$12:J$96*$D$12:$D$96)</f>
        <v>#NAME?</v>
      </c>
      <c r="W8" s="13" t="e">
        <f t="shared" si="11"/>
        <v>#NAME?</v>
      </c>
      <c r="X8" s="13" t="e">
        <f t="shared" si="11"/>
        <v>#NAME?</v>
      </c>
      <c r="Y8" s="13" t="e">
        <f t="shared" si="11"/>
        <v>#NAME?</v>
      </c>
      <c r="Z8" s="13" t="e">
        <f t="shared" si="11"/>
        <v>#NAME?</v>
      </c>
      <c r="AA8" s="13" t="e">
        <f t="shared" si="11"/>
        <v>#NAME?</v>
      </c>
      <c r="AB8" s="13" t="e">
        <f t="shared" si="11"/>
        <v>#NAME?</v>
      </c>
      <c r="AC8" s="13" t="e">
        <f t="shared" ref="AC8:AI8" si="12">SUMPRODUCT((J$12:J$96&lt;0)*J$12:J$96*$D$12:$D$96)</f>
        <v>#NAME?</v>
      </c>
      <c r="AD8" s="13" t="e">
        <f t="shared" si="12"/>
        <v>#NAME?</v>
      </c>
      <c r="AE8" s="13" t="e">
        <f t="shared" si="12"/>
        <v>#NAME?</v>
      </c>
      <c r="AF8" s="13" t="e">
        <f t="shared" si="12"/>
        <v>#NAME?</v>
      </c>
      <c r="AG8" s="13" t="e">
        <f t="shared" si="12"/>
        <v>#NAME?</v>
      </c>
      <c r="AH8" s="13" t="e">
        <f t="shared" si="12"/>
        <v>#NAME?</v>
      </c>
      <c r="AI8" s="13" t="e">
        <f t="shared" si="12"/>
        <v>#NAME?</v>
      </c>
      <c r="AS8" s="1" t="s">
        <v>149</v>
      </c>
      <c r="CT8" s="18"/>
    </row>
    <row r="9" spans="1:99" s="1" customFormat="1" ht="38.25" x14ac:dyDescent="0.25">
      <c r="A9" s="1" t="s">
        <v>86</v>
      </c>
      <c r="B9" s="74" t="e">
        <f t="shared" ref="B9:H9" si="13">SUMPRODUCT(B$12:B$96,$N$12:$N$96)</f>
        <v>#NAME?</v>
      </c>
      <c r="C9" s="74" t="e">
        <f t="shared" si="13"/>
        <v>#NAME?</v>
      </c>
      <c r="D9" s="74" t="e">
        <f t="shared" si="13"/>
        <v>#NAME?</v>
      </c>
      <c r="E9" s="74" t="e">
        <f t="shared" si="13"/>
        <v>#NAME?</v>
      </c>
      <c r="F9" s="74" t="e">
        <f t="shared" si="13"/>
        <v>#NAME?</v>
      </c>
      <c r="G9" s="74" t="e">
        <f t="shared" si="13"/>
        <v>#NAME?</v>
      </c>
      <c r="H9" s="74" t="e">
        <f t="shared" si="13"/>
        <v>#NAME?</v>
      </c>
      <c r="I9" s="65"/>
      <c r="J9" s="13"/>
      <c r="K9" s="13"/>
      <c r="L9" s="13"/>
      <c r="M9" s="13"/>
      <c r="N9" s="13"/>
      <c r="O9" s="13"/>
      <c r="P9" s="13"/>
      <c r="Q9" s="13"/>
      <c r="R9" s="26"/>
      <c r="T9" s="73" t="e">
        <f>SUMPRODUCT(E$12:E$96,$R$12:$R$96)</f>
        <v>#NAME?</v>
      </c>
      <c r="U9" s="8" t="str">
        <f>IF(VLOOKUP($A4,[1]!LOOKUP_MDAPs,E$3,FALSE)&lt;&gt;0,VLOOKUP($A4,[1]!LOOKUP_MDAPs,E$3,FALSE),"")</f>
        <v>Partial -Single Bidder</v>
      </c>
      <c r="V9" s="13" t="e">
        <f t="shared" ref="V9:AB9" si="14">SUMPRODUCT((J$12:J$96&gt;=0)*J$12:J$96*$E$12:$E$96)</f>
        <v>#NAME?</v>
      </c>
      <c r="W9" s="13" t="e">
        <f t="shared" si="14"/>
        <v>#NAME?</v>
      </c>
      <c r="X9" s="13" t="e">
        <f t="shared" si="14"/>
        <v>#NAME?</v>
      </c>
      <c r="Y9" s="13" t="e">
        <f t="shared" si="14"/>
        <v>#NAME?</v>
      </c>
      <c r="Z9" s="13" t="e">
        <f t="shared" si="14"/>
        <v>#NAME?</v>
      </c>
      <c r="AA9" s="13" t="e">
        <f t="shared" si="14"/>
        <v>#NAME?</v>
      </c>
      <c r="AB9" s="13" t="e">
        <f t="shared" si="14"/>
        <v>#NAME?</v>
      </c>
      <c r="AC9" s="13" t="e">
        <f t="shared" ref="AC9:AI9" si="15">SUMPRODUCT((J$12:J$96&lt;0)*J$12:J$96*$E$12:$E$96)</f>
        <v>#NAME?</v>
      </c>
      <c r="AD9" s="13" t="e">
        <f t="shared" si="15"/>
        <v>#NAME?</v>
      </c>
      <c r="AE9" s="13" t="e">
        <f t="shared" si="15"/>
        <v>#NAME?</v>
      </c>
      <c r="AF9" s="13" t="e">
        <f t="shared" si="15"/>
        <v>#NAME?</v>
      </c>
      <c r="AG9" s="13" t="e">
        <f t="shared" si="15"/>
        <v>#NAME?</v>
      </c>
      <c r="AH9" s="13" t="e">
        <f t="shared" si="15"/>
        <v>#NAME?</v>
      </c>
      <c r="AI9" s="13" t="e">
        <f t="shared" si="15"/>
        <v>#NAME?</v>
      </c>
      <c r="AS9" s="1" t="s">
        <v>148</v>
      </c>
      <c r="CT9" s="18"/>
    </row>
    <row r="10" spans="1:99" s="1" customFormat="1" ht="25.5" x14ac:dyDescent="0.25">
      <c r="A10" s="1" t="s">
        <v>85</v>
      </c>
      <c r="B10" s="74" t="e">
        <f t="shared" ref="B10:H10" si="16">SUMPRODUCT(B$12:B$96,$O$12:$O$96)</f>
        <v>#NAME?</v>
      </c>
      <c r="C10" s="74" t="e">
        <f t="shared" si="16"/>
        <v>#NAME?</v>
      </c>
      <c r="D10" s="74" t="e">
        <f t="shared" si="16"/>
        <v>#NAME?</v>
      </c>
      <c r="E10" s="74" t="e">
        <f t="shared" si="16"/>
        <v>#NAME?</v>
      </c>
      <c r="F10" s="74" t="e">
        <f t="shared" si="16"/>
        <v>#NAME?</v>
      </c>
      <c r="G10" s="74" t="e">
        <f t="shared" si="16"/>
        <v>#NAME?</v>
      </c>
      <c r="H10" s="74" t="e">
        <f t="shared" si="16"/>
        <v>#NAME?</v>
      </c>
      <c r="I10" s="65"/>
      <c r="J10" s="13"/>
      <c r="K10" s="13"/>
      <c r="L10" s="13"/>
      <c r="M10" s="13"/>
      <c r="N10" s="13"/>
      <c r="O10" s="13"/>
      <c r="P10" s="13"/>
      <c r="Q10" s="13"/>
      <c r="R10" s="26"/>
      <c r="T10" s="73" t="e">
        <f>SUMPRODUCT(F$12:F$96,$R$12:$R$96)</f>
        <v>#NAME?</v>
      </c>
      <c r="U10" s="8" t="str">
        <f>IF(VLOOKUP($A4,[1]!LOOKUP_MDAPs,F$3,FALSE)&lt;&gt;0,VLOOKUP($A4,[1]!LOOKUP_MDAPs,F$3,FALSE),"")</f>
        <v>Follow-On</v>
      </c>
      <c r="V10" s="13" t="e">
        <f t="shared" ref="V10:AB10" si="17">SUMPRODUCT((J$12:J$96&gt;=0)*J$12:J$96*$F$12:$F$96)</f>
        <v>#NAME?</v>
      </c>
      <c r="W10" s="13" t="e">
        <f t="shared" si="17"/>
        <v>#NAME?</v>
      </c>
      <c r="X10" s="13" t="e">
        <f t="shared" si="17"/>
        <v>#NAME?</v>
      </c>
      <c r="Y10" s="13" t="e">
        <f t="shared" si="17"/>
        <v>#NAME?</v>
      </c>
      <c r="Z10" s="13" t="e">
        <f t="shared" si="17"/>
        <v>#NAME?</v>
      </c>
      <c r="AA10" s="13" t="e">
        <f t="shared" si="17"/>
        <v>#NAME?</v>
      </c>
      <c r="AB10" s="13" t="e">
        <f t="shared" si="17"/>
        <v>#NAME?</v>
      </c>
      <c r="AC10" s="13" t="e">
        <f t="shared" ref="AC10:AI10" si="18">SUMPRODUCT((J$12:J$96&lt;0)*J$12:J$96*$F$12:$F$96)</f>
        <v>#NAME?</v>
      </c>
      <c r="AD10" s="13" t="e">
        <f t="shared" si="18"/>
        <v>#NAME?</v>
      </c>
      <c r="AE10" s="13" t="e">
        <f t="shared" si="18"/>
        <v>#NAME?</v>
      </c>
      <c r="AF10" s="13" t="e">
        <f t="shared" si="18"/>
        <v>#NAME?</v>
      </c>
      <c r="AG10" s="13" t="e">
        <f t="shared" si="18"/>
        <v>#NAME?</v>
      </c>
      <c r="AH10" s="13" t="e">
        <f t="shared" si="18"/>
        <v>#NAME?</v>
      </c>
      <c r="AI10" s="13" t="e">
        <f t="shared" si="18"/>
        <v>#NAME?</v>
      </c>
      <c r="AS10" s="1" t="s">
        <v>147</v>
      </c>
      <c r="CT10" s="2" t="e">
        <f>VLOOKUP($A10,[1]!LOOKUP_SARS_2009,CT7,FALSE)</f>
        <v>#NAME?</v>
      </c>
    </row>
    <row r="11" spans="1:99" s="1" customFormat="1" x14ac:dyDescent="0.25">
      <c r="A11" s="1" t="s">
        <v>84</v>
      </c>
      <c r="B11" s="74" t="e">
        <f t="shared" ref="B11:H11" si="19">SUMPRODUCT(B$12:B$96,$P$12:$P$96)</f>
        <v>#NAME?</v>
      </c>
      <c r="C11" s="74" t="e">
        <f t="shared" si="19"/>
        <v>#NAME?</v>
      </c>
      <c r="D11" s="74" t="e">
        <f t="shared" si="19"/>
        <v>#NAME?</v>
      </c>
      <c r="E11" s="74" t="e">
        <f t="shared" si="19"/>
        <v>#NAME?</v>
      </c>
      <c r="F11" s="74" t="e">
        <f t="shared" si="19"/>
        <v>#NAME?</v>
      </c>
      <c r="G11" s="74" t="e">
        <f t="shared" si="19"/>
        <v>#NAME?</v>
      </c>
      <c r="H11" s="74" t="e">
        <f t="shared" si="19"/>
        <v>#NAME?</v>
      </c>
      <c r="I11" s="65"/>
      <c r="J11" s="13"/>
      <c r="K11" s="13"/>
      <c r="L11" s="13"/>
      <c r="M11" s="13"/>
      <c r="N11" s="13"/>
      <c r="O11" s="13"/>
      <c r="P11" s="13"/>
      <c r="Q11" s="13"/>
      <c r="R11" s="26"/>
      <c r="T11" s="73" t="e">
        <f>SUMPRODUCT(G$12:G$96,$R$12:$R$96)</f>
        <v>#NAME?</v>
      </c>
      <c r="U11" s="8" t="str">
        <f>IF(VLOOKUP($A4,[1]!LOOKUP_MDAPs,G$3,FALSE)&lt;&gt;0,VLOOKUP($A4,[1]!LOOKUP_MDAPs,G$3,FALSE),"")</f>
        <v>None</v>
      </c>
      <c r="V11" s="13" t="e">
        <f t="shared" ref="V11:AB11" si="20">SUMPRODUCT((J$12:J$96&gt;=0)*J$12:J$96*$G$12:$G$96)</f>
        <v>#NAME?</v>
      </c>
      <c r="W11" s="13" t="e">
        <f t="shared" si="20"/>
        <v>#NAME?</v>
      </c>
      <c r="X11" s="13" t="e">
        <f t="shared" si="20"/>
        <v>#NAME?</v>
      </c>
      <c r="Y11" s="13" t="e">
        <f t="shared" si="20"/>
        <v>#NAME?</v>
      </c>
      <c r="Z11" s="13" t="e">
        <f t="shared" si="20"/>
        <v>#NAME?</v>
      </c>
      <c r="AA11" s="13" t="e">
        <f t="shared" si="20"/>
        <v>#NAME?</v>
      </c>
      <c r="AB11" s="13" t="e">
        <f t="shared" si="20"/>
        <v>#NAME?</v>
      </c>
      <c r="AC11" s="13" t="e">
        <f t="shared" ref="AC11:AI11" si="21">SUMPRODUCT((J$12:J$96&lt;0)*J$12:J$96*$G$12:$G$96)</f>
        <v>#NAME?</v>
      </c>
      <c r="AD11" s="13" t="e">
        <f t="shared" si="21"/>
        <v>#NAME?</v>
      </c>
      <c r="AE11" s="13" t="e">
        <f t="shared" si="21"/>
        <v>#NAME?</v>
      </c>
      <c r="AF11" s="13" t="e">
        <f t="shared" si="21"/>
        <v>#NAME?</v>
      </c>
      <c r="AG11" s="13" t="e">
        <f t="shared" si="21"/>
        <v>#NAME?</v>
      </c>
      <c r="AH11" s="13" t="e">
        <f t="shared" si="21"/>
        <v>#NAME?</v>
      </c>
      <c r="AI11" s="13" t="e">
        <f t="shared" si="21"/>
        <v>#NAME?</v>
      </c>
      <c r="AS11" s="1" t="s">
        <v>146</v>
      </c>
      <c r="CT11" s="3"/>
    </row>
    <row r="12" spans="1:99" s="1" customFormat="1" ht="38.25" x14ac:dyDescent="0.25">
      <c r="A12" t="s">
        <v>0</v>
      </c>
      <c r="B12" s="66">
        <f>IFERROR(VLOOKUP($A12,[1]!LOOKUP_MDAPs,B$3,FALSE)/$I12,"")</f>
        <v>3.701414444102296</v>
      </c>
      <c r="C12" s="66">
        <f>IFERROR(VLOOKUP($A12,[1]!LOOKUP_MDAPs,C$3,FALSE)/$I12,"")</f>
        <v>0</v>
      </c>
      <c r="D12" s="66">
        <f>IFERROR(VLOOKUP($A12,[1]!LOOKUP_MDAPs,D$3,FALSE)/$I12,"")</f>
        <v>2.4394803471127475</v>
      </c>
      <c r="E12" s="66">
        <f>IFERROR(VLOOKUP($A12,[1]!LOOKUP_MDAPs,E$3,FALSE)/$I12,"")</f>
        <v>1.5840923475560094</v>
      </c>
      <c r="F12" s="66">
        <f>IFERROR(VLOOKUP($A12,[1]!LOOKUP_MDAPs,F$3,FALSE)/$I12,"")</f>
        <v>0</v>
      </c>
      <c r="G12" s="66">
        <f>IFERROR(VLOOKUP($A12,[1]!LOOKUP_MDAPs,G$3,FALSE)/$I12,"")</f>
        <v>95.192611511221216</v>
      </c>
      <c r="H12" s="66">
        <f>1-SUM(B12:G12)</f>
        <v>-101.91759864999227</v>
      </c>
      <c r="I12" s="65">
        <f>IFERROR(VLOOKUP($A12,[1]!LOOKUP_MDAPs,I$3,FALSE),"")</f>
        <v>1.9582109999999999</v>
      </c>
      <c r="J12" s="64" t="e">
        <f>VLOOKUP($A12,[1]!LOOKUP_SARS_2009_Change_Breakdown,J$3,FALSE)+0</f>
        <v>#NAME?</v>
      </c>
      <c r="K12" s="64" t="e">
        <f>VLOOKUP($A12,[1]!LOOKUP_SARS_2009_Change_Breakdown,K$3,FALSE)+0</f>
        <v>#NAME?</v>
      </c>
      <c r="L12" s="64" t="e">
        <f>VLOOKUP($A12,[1]!LOOKUP_SARS_2009_Change_Breakdown,L$3,FALSE)+0</f>
        <v>#NAME?</v>
      </c>
      <c r="M12" s="64" t="e">
        <f>VLOOKUP($A12,[1]!LOOKUP_SARS_2009_Change_Breakdown,M$3,FALSE)+0</f>
        <v>#NAME?</v>
      </c>
      <c r="N12" s="64" t="e">
        <f>VLOOKUP($A12,[1]!LOOKUP_SARS_2009_Change_Breakdown,N$3,FALSE)+0</f>
        <v>#NAME?</v>
      </c>
      <c r="O12" s="64" t="e">
        <f>VLOOKUP($A12,[1]!LOOKUP_SARS_2009_Change_Breakdown,O$3,FALSE)+0</f>
        <v>#NAME?</v>
      </c>
      <c r="P12" s="64" t="e">
        <f>VLOOKUP($A12,[1]!LOOKUP_SARS_2009_Change_Breakdown,P$3,FALSE)+0</f>
        <v>#NAME?</v>
      </c>
      <c r="Q12" s="64" t="e">
        <f>VLOOKUP($A12,[1]!LOOKUP_SARS_2009_Change_Breakdown,Q$3,FALSE)+0</f>
        <v>#NAME?</v>
      </c>
      <c r="R12" s="26" t="e">
        <f>VLOOKUP($A12,[1]!LOOKUP_SARS_2009,R$3,FALSE)</f>
        <v>#NAME?</v>
      </c>
      <c r="S12" s="1" t="e">
        <f t="shared" ref="S12:S43" si="22">1/R12</f>
        <v>#NAME?</v>
      </c>
      <c r="T12" s="73" t="e">
        <f>SUMPRODUCT(H$12:H$96,$R$12:$R$96)</f>
        <v>#NAME?</v>
      </c>
      <c r="U12" s="8" t="str">
        <f>IF(VLOOKUP($A4,[1]!LOOKUP_MDAPs,H$3,FALSE)&lt;&gt;0,VLOOKUP($A4,[1]!LOOKUP_MDAPs,H$3,FALSE),"")</f>
        <v>Unclear Competition</v>
      </c>
      <c r="V12" s="13" t="e">
        <f t="shared" ref="V12:AB12" si="23">SUMPRODUCT((J$12:J$96&gt;=0)*J$12:J$96*$H$12:$H$96)</f>
        <v>#NAME?</v>
      </c>
      <c r="W12" s="13" t="e">
        <f t="shared" si="23"/>
        <v>#NAME?</v>
      </c>
      <c r="X12" s="13" t="e">
        <f t="shared" si="23"/>
        <v>#NAME?</v>
      </c>
      <c r="Y12" s="13" t="e">
        <f t="shared" si="23"/>
        <v>#NAME?</v>
      </c>
      <c r="Z12" s="13" t="e">
        <f t="shared" si="23"/>
        <v>#NAME?</v>
      </c>
      <c r="AA12" s="13" t="e">
        <f t="shared" si="23"/>
        <v>#NAME?</v>
      </c>
      <c r="AB12" s="13" t="e">
        <f t="shared" si="23"/>
        <v>#NAME?</v>
      </c>
      <c r="AC12" s="13" t="e">
        <f t="shared" ref="AC12:AI12" si="24">SUMPRODUCT((J$12:J$96&lt;0)*J$12:J$96*$H$12:$H$96)</f>
        <v>#NAME?</v>
      </c>
      <c r="AD12" s="13" t="e">
        <f t="shared" si="24"/>
        <v>#NAME?</v>
      </c>
      <c r="AE12" s="13" t="e">
        <f t="shared" si="24"/>
        <v>#NAME?</v>
      </c>
      <c r="AF12" s="13" t="e">
        <f t="shared" si="24"/>
        <v>#NAME?</v>
      </c>
      <c r="AG12" s="13" t="e">
        <f t="shared" si="24"/>
        <v>#NAME?</v>
      </c>
      <c r="AH12" s="13" t="e">
        <f t="shared" si="24"/>
        <v>#NAME?</v>
      </c>
      <c r="AI12" s="13" t="e">
        <f t="shared" si="24"/>
        <v>#NAME?</v>
      </c>
      <c r="AT12" s="71"/>
      <c r="CK12" s="37"/>
      <c r="CL12" s="37"/>
      <c r="CM12" s="37"/>
      <c r="CN12" s="37"/>
      <c r="CO12" s="37"/>
      <c r="CP12" s="37"/>
      <c r="CQ12" s="37"/>
      <c r="CR12" s="37"/>
      <c r="CS12" s="63"/>
      <c r="CT12" s="62"/>
      <c r="CU12" s="19"/>
    </row>
    <row r="13" spans="1:99" s="1" customFormat="1" x14ac:dyDescent="0.25">
      <c r="A13" s="92" t="s">
        <v>212</v>
      </c>
      <c r="B13" s="66">
        <f>IFERROR(VLOOKUP($A13,[1]!LOOKUP_MDAPs,B$3,FALSE)/$I13,"")</f>
        <v>1.0643239812748577</v>
      </c>
      <c r="C13" s="66">
        <f>IFERROR(VLOOKUP($A13,[1]!LOOKUP_MDAPs,C$3,FALSE)/$I13,"")</f>
        <v>6.6924515713603153E-2</v>
      </c>
      <c r="D13" s="66">
        <f>IFERROR(VLOOKUP($A13,[1]!LOOKUP_MDAPs,D$3,FALSE)/$I13,"")</f>
        <v>1.4971412751501732E-2</v>
      </c>
      <c r="E13" s="66">
        <f>IFERROR(VLOOKUP($A13,[1]!LOOKUP_MDAPs,E$3,FALSE)/$I13,"")</f>
        <v>6.0319367342715563E-2</v>
      </c>
      <c r="F13" s="66">
        <f>IFERROR(VLOOKUP($A13,[1]!LOOKUP_MDAPs,F$3,FALSE)/$I13,"")</f>
        <v>1.5033424306478168E-2</v>
      </c>
      <c r="G13" s="66">
        <f>IFERROR(VLOOKUP($A13,[1]!LOOKUP_MDAPs,G$3,FALSE)/$I13,"")</f>
        <v>1.0962314595679554</v>
      </c>
      <c r="H13" s="66">
        <f>1-SUM(B13:G13)</f>
        <v>-1.3178041609571118</v>
      </c>
      <c r="I13" s="65">
        <f>IFERROR(VLOOKUP($A13,[1]!LOOKUP_MDAPs,I$3,FALSE),"")</f>
        <v>312.7159125</v>
      </c>
      <c r="J13" s="64" t="e">
        <f>VLOOKUP($A13,[1]!LOOKUP_SARS_2009_Change_Breakdown,J$3,FALSE)+0</f>
        <v>#NAME?</v>
      </c>
      <c r="K13" s="64" t="e">
        <f>VLOOKUP($A13,[1]!LOOKUP_SARS_2009_Change_Breakdown,K$3,FALSE)+0</f>
        <v>#NAME?</v>
      </c>
      <c r="L13" s="64" t="e">
        <f>VLOOKUP($A13,[1]!LOOKUP_SARS_2009_Change_Breakdown,L$3,FALSE)+0</f>
        <v>#NAME?</v>
      </c>
      <c r="M13" s="64" t="e">
        <f>VLOOKUP($A13,[1]!LOOKUP_SARS_2009_Change_Breakdown,M$3,FALSE)+0</f>
        <v>#NAME?</v>
      </c>
      <c r="N13" s="64" t="e">
        <f>VLOOKUP($A13,[1]!LOOKUP_SARS_2009_Change_Breakdown,N$3,FALSE)+0</f>
        <v>#NAME?</v>
      </c>
      <c r="O13" s="64" t="e">
        <f>VLOOKUP($A13,[1]!LOOKUP_SARS_2009_Change_Breakdown,O$3,FALSE)+0</f>
        <v>#NAME?</v>
      </c>
      <c r="P13" s="64" t="e">
        <f>VLOOKUP($A13,[1]!LOOKUP_SARS_2009_Change_Breakdown,P$3,FALSE)+0</f>
        <v>#NAME?</v>
      </c>
      <c r="Q13" s="64" t="e">
        <f>VLOOKUP($A13,[1]!LOOKUP_SARS_2009_Change_Breakdown,Q$3,FALSE)+0</f>
        <v>#NAME?</v>
      </c>
      <c r="R13" s="26" t="e">
        <f>VLOOKUP($A13,[1]!LOOKUP_SARS_2009,R$3,FALSE)</f>
        <v>#NAME?</v>
      </c>
      <c r="S13" s="1" t="e">
        <f t="shared" si="22"/>
        <v>#NAME?</v>
      </c>
      <c r="U13" s="1" t="str">
        <f t="shared" ref="U13:U19" si="25">U6&amp;" Unweighted"</f>
        <v>Full and Open -Multiple Bidders Unweighted</v>
      </c>
      <c r="V13" s="50" t="e">
        <f t="shared" ref="V13:AB13" si="26">SUMPRODUCT((J$12:J$96&gt;=0)*J$12:J$96*$B$12:$B$96*$S$12:$S$96)/SUM($B$12:$B$96)</f>
        <v>#NAME?</v>
      </c>
      <c r="W13" s="50" t="e">
        <f t="shared" si="26"/>
        <v>#NAME?</v>
      </c>
      <c r="X13" s="50" t="e">
        <f t="shared" si="26"/>
        <v>#NAME?</v>
      </c>
      <c r="Y13" s="50" t="e">
        <f t="shared" si="26"/>
        <v>#NAME?</v>
      </c>
      <c r="Z13" s="50" t="e">
        <f t="shared" si="26"/>
        <v>#NAME?</v>
      </c>
      <c r="AA13" s="50" t="e">
        <f t="shared" si="26"/>
        <v>#NAME?</v>
      </c>
      <c r="AB13" s="50" t="e">
        <f t="shared" si="26"/>
        <v>#NAME?</v>
      </c>
      <c r="AC13" s="50" t="e">
        <f t="shared" ref="AC13:AI13" si="27">SUMPRODUCT((J$12:J$96&lt;0)*J$12:J$96*$B$12:$B$96*$S$12:$S$96)/SUM($B$12:$B$96)</f>
        <v>#NAME?</v>
      </c>
      <c r="AD13" s="50" t="e">
        <f t="shared" si="27"/>
        <v>#NAME?</v>
      </c>
      <c r="AE13" s="50" t="e">
        <f t="shared" si="27"/>
        <v>#NAME?</v>
      </c>
      <c r="AF13" s="50" t="e">
        <f t="shared" si="27"/>
        <v>#NAME?</v>
      </c>
      <c r="AG13" s="50" t="e">
        <f t="shared" si="27"/>
        <v>#NAME?</v>
      </c>
      <c r="AH13" s="50" t="e">
        <f t="shared" si="27"/>
        <v>#NAME?</v>
      </c>
      <c r="AI13" s="50" t="e">
        <f t="shared" si="27"/>
        <v>#NAME?</v>
      </c>
      <c r="AJ13" s="50"/>
      <c r="AK13" s="50"/>
      <c r="AL13" s="50"/>
      <c r="AM13" s="50"/>
      <c r="AN13" s="50"/>
      <c r="AO13" s="50"/>
      <c r="AP13" s="50"/>
      <c r="AT13" s="71"/>
      <c r="CK13" s="37"/>
      <c r="CL13" s="37"/>
      <c r="CM13" s="37"/>
      <c r="CN13" s="37"/>
      <c r="CO13" s="37"/>
      <c r="CP13" s="37"/>
      <c r="CQ13" s="37"/>
      <c r="CR13" s="37"/>
      <c r="CS13" s="63"/>
      <c r="CT13" s="62"/>
      <c r="CU13" s="19"/>
    </row>
    <row r="14" spans="1:99" s="1" customFormat="1" x14ac:dyDescent="0.25">
      <c r="A14" s="92" t="s">
        <v>25</v>
      </c>
      <c r="B14" s="66">
        <f>IFERROR(VLOOKUP($A14,[1]!LOOKUP_MDAPs,B$3,FALSE)/$I14,"")</f>
        <v>4.8548231310166292</v>
      </c>
      <c r="C14" s="66">
        <f>IFERROR(VLOOKUP($A14,[1]!LOOKUP_MDAPs,C$3,FALSE)/$I14,"")</f>
        <v>0.32593488634072115</v>
      </c>
      <c r="D14" s="66">
        <f>IFERROR(VLOOKUP($A14,[1]!LOOKUP_MDAPs,D$3,FALSE)/$I14,"")</f>
        <v>0</v>
      </c>
      <c r="E14" s="66">
        <f>IFERROR(VLOOKUP($A14,[1]!LOOKUP_MDAPs,E$3,FALSE)/$I14,"")</f>
        <v>0</v>
      </c>
      <c r="F14" s="66">
        <f>IFERROR(VLOOKUP($A14,[1]!LOOKUP_MDAPs,F$3,FALSE)/$I14,"")</f>
        <v>0</v>
      </c>
      <c r="G14" s="66">
        <f>IFERROR(VLOOKUP($A14,[1]!LOOKUP_MDAPs,G$3,FALSE)/$I14,"")</f>
        <v>0.70170385342129526</v>
      </c>
      <c r="H14" s="66">
        <f t="shared" ref="H14:H75" si="28">1-SUM(B14:G14)</f>
        <v>-4.8824618707786458</v>
      </c>
      <c r="I14" s="65">
        <f>IFERROR(VLOOKUP($A14,[1]!LOOKUP_MDAPs,I$3,FALSE),"")</f>
        <v>50.184300439999994</v>
      </c>
      <c r="J14" s="64" t="e">
        <f>VLOOKUP($A14,[1]!LOOKUP_SARS_2009_Change_Breakdown,J$3,FALSE)+0</f>
        <v>#NAME?</v>
      </c>
      <c r="K14" s="64" t="e">
        <f>VLOOKUP($A14,[1]!LOOKUP_SARS_2009_Change_Breakdown,K$3,FALSE)+0</f>
        <v>#NAME?</v>
      </c>
      <c r="L14" s="64" t="e">
        <f>VLOOKUP($A14,[1]!LOOKUP_SARS_2009_Change_Breakdown,L$3,FALSE)+0</f>
        <v>#NAME?</v>
      </c>
      <c r="M14" s="64" t="e">
        <f>VLOOKUP($A14,[1]!LOOKUP_SARS_2009_Change_Breakdown,M$3,FALSE)+0</f>
        <v>#NAME?</v>
      </c>
      <c r="N14" s="64" t="e">
        <f>VLOOKUP($A14,[1]!LOOKUP_SARS_2009_Change_Breakdown,N$3,FALSE)+0</f>
        <v>#NAME?</v>
      </c>
      <c r="O14" s="64" t="e">
        <f>VLOOKUP($A14,[1]!LOOKUP_SARS_2009_Change_Breakdown,O$3,FALSE)+0</f>
        <v>#NAME?</v>
      </c>
      <c r="P14" s="64" t="e">
        <f>VLOOKUP($A14,[1]!LOOKUP_SARS_2009_Change_Breakdown,P$3,FALSE)+0</f>
        <v>#NAME?</v>
      </c>
      <c r="Q14" s="64" t="e">
        <f>VLOOKUP($A14,[1]!LOOKUP_SARS_2009_Change_Breakdown,Q$3,FALSE)+0</f>
        <v>#NAME?</v>
      </c>
      <c r="R14" s="26" t="e">
        <f>VLOOKUP($A14,[1]!LOOKUP_SARS_2009,R$3,FALSE)</f>
        <v>#NAME?</v>
      </c>
      <c r="S14" s="1" t="e">
        <f t="shared" si="22"/>
        <v>#NAME?</v>
      </c>
      <c r="U14" s="1" t="str">
        <f t="shared" si="25"/>
        <v>Full and Open -Single Bidder Unweighted</v>
      </c>
      <c r="V14" s="50" t="e">
        <f t="shared" ref="V14:AB14" si="29">SUMPRODUCT((J$12:J$96&gt;=0)*J$12:J$96*$C$12:$C$96*$S$12:$S$96)/SUM($C$12:$C$96)</f>
        <v>#NAME?</v>
      </c>
      <c r="W14" s="50" t="e">
        <f t="shared" si="29"/>
        <v>#NAME?</v>
      </c>
      <c r="X14" s="50" t="e">
        <f t="shared" si="29"/>
        <v>#NAME?</v>
      </c>
      <c r="Y14" s="50" t="e">
        <f t="shared" si="29"/>
        <v>#NAME?</v>
      </c>
      <c r="Z14" s="50" t="e">
        <f t="shared" si="29"/>
        <v>#NAME?</v>
      </c>
      <c r="AA14" s="50" t="e">
        <f t="shared" si="29"/>
        <v>#NAME?</v>
      </c>
      <c r="AB14" s="50" t="e">
        <f t="shared" si="29"/>
        <v>#NAME?</v>
      </c>
      <c r="AC14" s="50" t="e">
        <f t="shared" ref="AC14:AI14" si="30">SUMPRODUCT((J$12:J$96&lt;0)*J$12:J$96*$C$12:$C$96*$S$12:$S$96)/SUM($C$12:$C$96)</f>
        <v>#NAME?</v>
      </c>
      <c r="AD14" s="50" t="e">
        <f t="shared" si="30"/>
        <v>#NAME?</v>
      </c>
      <c r="AE14" s="50" t="e">
        <f t="shared" si="30"/>
        <v>#NAME?</v>
      </c>
      <c r="AF14" s="50" t="e">
        <f t="shared" si="30"/>
        <v>#NAME?</v>
      </c>
      <c r="AG14" s="50" t="e">
        <f t="shared" si="30"/>
        <v>#NAME?</v>
      </c>
      <c r="AH14" s="50" t="e">
        <f t="shared" si="30"/>
        <v>#NAME?</v>
      </c>
      <c r="AI14" s="50" t="e">
        <f t="shared" si="30"/>
        <v>#NAME?</v>
      </c>
      <c r="AJ14" s="50"/>
      <c r="AK14" s="50"/>
      <c r="AL14" s="50"/>
      <c r="AM14" s="50"/>
      <c r="AN14" s="50"/>
      <c r="AO14" s="50"/>
      <c r="AP14" s="50"/>
      <c r="CK14" s="37"/>
      <c r="CL14" s="37"/>
      <c r="CM14" s="37"/>
      <c r="CN14" s="37"/>
      <c r="CO14" s="37"/>
      <c r="CP14" s="37"/>
      <c r="CQ14" s="37"/>
      <c r="CR14" s="37"/>
      <c r="CS14" s="63"/>
      <c r="CT14" s="62"/>
      <c r="CU14" s="19"/>
    </row>
    <row r="15" spans="1:99" s="1" customFormat="1" x14ac:dyDescent="0.25">
      <c r="A15" s="92" t="s">
        <v>18</v>
      </c>
      <c r="B15" s="66" t="str">
        <f>IFERROR(VLOOKUP($A15,[1]!LOOKUP_MDAPs,B$3,FALSE)/$I15,"")</f>
        <v/>
      </c>
      <c r="C15" s="66" t="str">
        <f>IFERROR(VLOOKUP($A15,[1]!LOOKUP_MDAPs,C$3,FALSE)/$I15,"")</f>
        <v/>
      </c>
      <c r="D15" s="66" t="str">
        <f>IFERROR(VLOOKUP($A15,[1]!LOOKUP_MDAPs,D$3,FALSE)/$I15,"")</f>
        <v/>
      </c>
      <c r="E15" s="66" t="str">
        <f>IFERROR(VLOOKUP($A15,[1]!LOOKUP_MDAPs,E$3,FALSE)/$I15,"")</f>
        <v/>
      </c>
      <c r="F15" s="66" t="str">
        <f>IFERROR(VLOOKUP($A15,[1]!LOOKUP_MDAPs,F$3,FALSE)/$I15,"")</f>
        <v/>
      </c>
      <c r="G15" s="66" t="str">
        <f>IFERROR(VLOOKUP($A15,[1]!LOOKUP_MDAPs,G$3,FALSE)/$I15,"")</f>
        <v/>
      </c>
      <c r="H15" s="66">
        <f t="shared" si="28"/>
        <v>1</v>
      </c>
      <c r="I15" s="65">
        <f>IFERROR(VLOOKUP($A15,[1]!LOOKUP_MDAPs,I$3,FALSE),"")</f>
        <v>0</v>
      </c>
      <c r="J15" s="64" t="e">
        <f>VLOOKUP($A15,[1]!LOOKUP_SARS_2009_Change_Breakdown,J$3,FALSE)+0</f>
        <v>#NAME?</v>
      </c>
      <c r="K15" s="64" t="e">
        <f>VLOOKUP($A15,[1]!LOOKUP_SARS_2009_Change_Breakdown,K$3,FALSE)+0</f>
        <v>#NAME?</v>
      </c>
      <c r="L15" s="64" t="e">
        <f>VLOOKUP($A15,[1]!LOOKUP_SARS_2009_Change_Breakdown,L$3,FALSE)+0</f>
        <v>#NAME?</v>
      </c>
      <c r="M15" s="64" t="e">
        <f>VLOOKUP($A15,[1]!LOOKUP_SARS_2009_Change_Breakdown,M$3,FALSE)+0</f>
        <v>#NAME?</v>
      </c>
      <c r="N15" s="64" t="e">
        <f>VLOOKUP($A15,[1]!LOOKUP_SARS_2009_Change_Breakdown,N$3,FALSE)+0</f>
        <v>#NAME?</v>
      </c>
      <c r="O15" s="64" t="e">
        <f>VLOOKUP($A15,[1]!LOOKUP_SARS_2009_Change_Breakdown,O$3,FALSE)+0</f>
        <v>#NAME?</v>
      </c>
      <c r="P15" s="64" t="e">
        <f>VLOOKUP($A15,[1]!LOOKUP_SARS_2009_Change_Breakdown,P$3,FALSE)+0</f>
        <v>#NAME?</v>
      </c>
      <c r="Q15" s="64" t="e">
        <f>VLOOKUP($A15,[1]!LOOKUP_SARS_2009_Change_Breakdown,Q$3,FALSE)+0</f>
        <v>#NAME?</v>
      </c>
      <c r="R15" s="26" t="e">
        <f>VLOOKUP($A15,[1]!LOOKUP_SARS_2009,R$3,FALSE)</f>
        <v>#NAME?</v>
      </c>
      <c r="S15" s="1" t="e">
        <f t="shared" si="22"/>
        <v>#NAME?</v>
      </c>
      <c r="U15" s="1" t="str">
        <f t="shared" si="25"/>
        <v>Partial -Multiple Bidders Unweighted</v>
      </c>
      <c r="V15" s="50" t="e">
        <f t="shared" ref="V15:AB15" si="31">SUMPRODUCT((J$12:J$96&gt;=0)*J$12:J$96*$D$12:$D$96*$S$12:$S$96)/SUM($D$12:$D$96)</f>
        <v>#NAME?</v>
      </c>
      <c r="W15" s="50" t="e">
        <f t="shared" si="31"/>
        <v>#NAME?</v>
      </c>
      <c r="X15" s="50" t="e">
        <f t="shared" si="31"/>
        <v>#NAME?</v>
      </c>
      <c r="Y15" s="50" t="e">
        <f t="shared" si="31"/>
        <v>#NAME?</v>
      </c>
      <c r="Z15" s="50" t="e">
        <f t="shared" si="31"/>
        <v>#NAME?</v>
      </c>
      <c r="AA15" s="50" t="e">
        <f t="shared" si="31"/>
        <v>#NAME?</v>
      </c>
      <c r="AB15" s="50" t="e">
        <f t="shared" si="31"/>
        <v>#NAME?</v>
      </c>
      <c r="AC15" s="50" t="e">
        <f t="shared" ref="AC15:AI15" si="32">SUMPRODUCT((J$12:J$96&lt;0)*J$12:J$96*$D$12:$D$96*$S$12:$S$96)/SUM($D$12:$D$96)</f>
        <v>#NAME?</v>
      </c>
      <c r="AD15" s="50" t="e">
        <f t="shared" si="32"/>
        <v>#NAME?</v>
      </c>
      <c r="AE15" s="50" t="e">
        <f t="shared" si="32"/>
        <v>#NAME?</v>
      </c>
      <c r="AF15" s="50" t="e">
        <f t="shared" si="32"/>
        <v>#NAME?</v>
      </c>
      <c r="AG15" s="50" t="e">
        <f t="shared" si="32"/>
        <v>#NAME?</v>
      </c>
      <c r="AH15" s="50" t="e">
        <f t="shared" si="32"/>
        <v>#NAME?</v>
      </c>
      <c r="AI15" s="50" t="e">
        <f t="shared" si="32"/>
        <v>#NAME?</v>
      </c>
      <c r="AJ15" s="50"/>
      <c r="AK15" s="50"/>
      <c r="AL15" s="50"/>
      <c r="AM15" s="50"/>
      <c r="AN15" s="50"/>
      <c r="AO15" s="50"/>
      <c r="AP15" s="50"/>
      <c r="CK15" s="37"/>
      <c r="CL15" s="37"/>
      <c r="CM15" s="37"/>
      <c r="CN15" s="37"/>
      <c r="CO15" s="37"/>
      <c r="CP15" s="37"/>
      <c r="CQ15" s="37"/>
      <c r="CR15" s="37"/>
      <c r="CS15" s="63"/>
      <c r="CT15" s="62"/>
      <c r="CU15" s="19"/>
    </row>
    <row r="16" spans="1:99" s="1" customFormat="1" x14ac:dyDescent="0.25">
      <c r="A16" s="92" t="s">
        <v>12</v>
      </c>
      <c r="B16" s="66">
        <f>IFERROR(VLOOKUP($A16,[1]!LOOKUP_MDAPs,B$3,FALSE)/$I16,"")</f>
        <v>593.07914964775671</v>
      </c>
      <c r="C16" s="66">
        <f>IFERROR(VLOOKUP($A16,[1]!LOOKUP_MDAPs,C$3,FALSE)/$I16,"")</f>
        <v>115.88674156470151</v>
      </c>
      <c r="D16" s="66">
        <f>IFERROR(VLOOKUP($A16,[1]!LOOKUP_MDAPs,D$3,FALSE)/$I16,"")</f>
        <v>5.1595105672969967E-2</v>
      </c>
      <c r="E16" s="66">
        <f>IFERROR(VLOOKUP($A16,[1]!LOOKUP_MDAPs,E$3,FALSE)/$I16,"")</f>
        <v>298.36903225806452</v>
      </c>
      <c r="F16" s="66">
        <f>IFERROR(VLOOKUP($A16,[1]!LOOKUP_MDAPs,F$3,FALSE)/$I16,"")</f>
        <v>0</v>
      </c>
      <c r="G16" s="66">
        <f>IFERROR(VLOOKUP($A16,[1]!LOOKUP_MDAPs,G$3,FALSE)/$I16,"")</f>
        <v>193.34476596218022</v>
      </c>
      <c r="H16" s="66">
        <f t="shared" si="28"/>
        <v>-1199.731284538376</v>
      </c>
      <c r="I16" s="65">
        <f>IFERROR(VLOOKUP($A16,[1]!LOOKUP_MDAPs,I$3,FALSE),"")</f>
        <v>0.67425000000000002</v>
      </c>
      <c r="J16" s="64" t="e">
        <f>VLOOKUP($A16,[1]!LOOKUP_SARS_2009_Change_Breakdown,J$3,FALSE)+0</f>
        <v>#NAME?</v>
      </c>
      <c r="K16" s="64" t="e">
        <f>VLOOKUP($A16,[1]!LOOKUP_SARS_2009_Change_Breakdown,K$3,FALSE)+0</f>
        <v>#NAME?</v>
      </c>
      <c r="L16" s="64" t="e">
        <f>VLOOKUP($A16,[1]!LOOKUP_SARS_2009_Change_Breakdown,L$3,FALSE)+0</f>
        <v>#NAME?</v>
      </c>
      <c r="M16" s="64" t="e">
        <f>VLOOKUP($A16,[1]!LOOKUP_SARS_2009_Change_Breakdown,M$3,FALSE)+0</f>
        <v>#NAME?</v>
      </c>
      <c r="N16" s="64" t="e">
        <f>VLOOKUP($A16,[1]!LOOKUP_SARS_2009_Change_Breakdown,N$3,FALSE)+0</f>
        <v>#NAME?</v>
      </c>
      <c r="O16" s="64" t="e">
        <f>VLOOKUP($A16,[1]!LOOKUP_SARS_2009_Change_Breakdown,O$3,FALSE)+0</f>
        <v>#NAME?</v>
      </c>
      <c r="P16" s="64" t="e">
        <f>VLOOKUP($A16,[1]!LOOKUP_SARS_2009_Change_Breakdown,P$3,FALSE)+0</f>
        <v>#NAME?</v>
      </c>
      <c r="Q16" s="64" t="e">
        <f>VLOOKUP($A16,[1]!LOOKUP_SARS_2009_Change_Breakdown,Q$3,FALSE)+0</f>
        <v>#NAME?</v>
      </c>
      <c r="R16" s="26" t="e">
        <f>VLOOKUP($A16,[1]!LOOKUP_SARS_2009,R$3,FALSE)</f>
        <v>#NAME?</v>
      </c>
      <c r="S16" s="1" t="e">
        <f t="shared" si="22"/>
        <v>#NAME?</v>
      </c>
      <c r="U16" s="1" t="str">
        <f t="shared" si="25"/>
        <v>Partial -Single Bidder Unweighted</v>
      </c>
      <c r="V16" s="50" t="e">
        <f t="shared" ref="V16:AB16" si="33">SUMPRODUCT((J$12:J$96&gt;=0)*J$12:J$96*$D$12:$D$96*$S$12:$S$96)/SUM($E$12:$E$96)</f>
        <v>#NAME?</v>
      </c>
      <c r="W16" s="50" t="e">
        <f t="shared" si="33"/>
        <v>#NAME?</v>
      </c>
      <c r="X16" s="50" t="e">
        <f t="shared" si="33"/>
        <v>#NAME?</v>
      </c>
      <c r="Y16" s="50" t="e">
        <f t="shared" si="33"/>
        <v>#NAME?</v>
      </c>
      <c r="Z16" s="50" t="e">
        <f t="shared" si="33"/>
        <v>#NAME?</v>
      </c>
      <c r="AA16" s="50" t="e">
        <f t="shared" si="33"/>
        <v>#NAME?</v>
      </c>
      <c r="AB16" s="50" t="e">
        <f t="shared" si="33"/>
        <v>#NAME?</v>
      </c>
      <c r="AC16" s="50" t="e">
        <f t="shared" ref="AC16:AI16" si="34">SUMPRODUCT((J$12:J$96&lt;0)*J$12:J$96*$D$12:$D$96*$S$12:$S$96)/SUM($E$12:$E$96)</f>
        <v>#NAME?</v>
      </c>
      <c r="AD16" s="50" t="e">
        <f t="shared" si="34"/>
        <v>#NAME?</v>
      </c>
      <c r="AE16" s="50" t="e">
        <f t="shared" si="34"/>
        <v>#NAME?</v>
      </c>
      <c r="AF16" s="50" t="e">
        <f t="shared" si="34"/>
        <v>#NAME?</v>
      </c>
      <c r="AG16" s="50" t="e">
        <f t="shared" si="34"/>
        <v>#NAME?</v>
      </c>
      <c r="AH16" s="50" t="e">
        <f t="shared" si="34"/>
        <v>#NAME?</v>
      </c>
      <c r="AI16" s="50" t="e">
        <f t="shared" si="34"/>
        <v>#NAME?</v>
      </c>
      <c r="AJ16" s="50"/>
      <c r="AK16" s="50"/>
      <c r="AL16" s="50"/>
      <c r="AM16" s="50"/>
      <c r="AN16" s="50"/>
      <c r="AO16" s="50"/>
      <c r="AP16" s="50"/>
      <c r="CK16" s="37"/>
      <c r="CL16" s="37"/>
      <c r="CM16" s="37"/>
      <c r="CN16" s="37"/>
      <c r="CO16" s="37"/>
      <c r="CP16" s="37"/>
      <c r="CQ16" s="37"/>
      <c r="CR16" s="37"/>
      <c r="CS16" s="63"/>
      <c r="CT16" s="62"/>
      <c r="CU16" s="19"/>
    </row>
    <row r="17" spans="1:99" s="1" customFormat="1" x14ac:dyDescent="0.25">
      <c r="A17" s="92" t="s">
        <v>174</v>
      </c>
      <c r="B17" s="66">
        <f>IFERROR(VLOOKUP($A17,[1]!LOOKUP_MDAPs,B$3,FALSE)/$I17,"")</f>
        <v>0.28019979620909957</v>
      </c>
      <c r="C17" s="66">
        <f>IFERROR(VLOOKUP($A17,[1]!LOOKUP_MDAPs,C$3,FALSE)/$I17,"")</f>
        <v>3.1028151732576128E-3</v>
      </c>
      <c r="D17" s="66">
        <f>IFERROR(VLOOKUP($A17,[1]!LOOKUP_MDAPs,D$3,FALSE)/$I17,"")</f>
        <v>4.3106629247813453E-8</v>
      </c>
      <c r="E17" s="66">
        <f>IFERROR(VLOOKUP($A17,[1]!LOOKUP_MDAPs,E$3,FALSE)/$I17,"")</f>
        <v>4.3106629247813456E-4</v>
      </c>
      <c r="F17" s="66">
        <f>IFERROR(VLOOKUP($A17,[1]!LOOKUP_MDAPs,F$3,FALSE)/$I17,"")</f>
        <v>0</v>
      </c>
      <c r="G17" s="66">
        <f>IFERROR(VLOOKUP($A17,[1]!LOOKUP_MDAPs,G$3,FALSE)/$I17,"")</f>
        <v>13.31059424945496</v>
      </c>
      <c r="H17" s="66">
        <f t="shared" si="28"/>
        <v>-12.594327970236424</v>
      </c>
      <c r="I17" s="65">
        <f>IFERROR(VLOOKUP($A17,[1]!LOOKUP_MDAPs,I$3,FALSE),"")</f>
        <v>23.198288000000002</v>
      </c>
      <c r="J17" s="64" t="e">
        <f>VLOOKUP($A17,[1]!LOOKUP_SARS_2009_Change_Breakdown,J$3,FALSE)+0</f>
        <v>#NAME?</v>
      </c>
      <c r="K17" s="64" t="e">
        <f>VLOOKUP($A17,[1]!LOOKUP_SARS_2009_Change_Breakdown,K$3,FALSE)+0</f>
        <v>#NAME?</v>
      </c>
      <c r="L17" s="64" t="e">
        <f>VLOOKUP($A17,[1]!LOOKUP_SARS_2009_Change_Breakdown,L$3,FALSE)+0</f>
        <v>#NAME?</v>
      </c>
      <c r="M17" s="64" t="e">
        <f>VLOOKUP($A17,[1]!LOOKUP_SARS_2009_Change_Breakdown,M$3,FALSE)+0</f>
        <v>#NAME?</v>
      </c>
      <c r="N17" s="64" t="e">
        <f>VLOOKUP($A17,[1]!LOOKUP_SARS_2009_Change_Breakdown,N$3,FALSE)+0</f>
        <v>#NAME?</v>
      </c>
      <c r="O17" s="64" t="e">
        <f>VLOOKUP($A17,[1]!LOOKUP_SARS_2009_Change_Breakdown,O$3,FALSE)+0</f>
        <v>#NAME?</v>
      </c>
      <c r="P17" s="64" t="e">
        <f>VLOOKUP($A17,[1]!LOOKUP_SARS_2009_Change_Breakdown,P$3,FALSE)+0</f>
        <v>#NAME?</v>
      </c>
      <c r="Q17" s="64" t="e">
        <f>VLOOKUP($A17,[1]!LOOKUP_SARS_2009_Change_Breakdown,Q$3,FALSE)+0</f>
        <v>#NAME?</v>
      </c>
      <c r="R17" s="26" t="e">
        <f>VLOOKUP($A17,[1]!LOOKUP_SARS_2009,R$3,FALSE)</f>
        <v>#NAME?</v>
      </c>
      <c r="S17" s="1" t="e">
        <f t="shared" si="22"/>
        <v>#NAME?</v>
      </c>
      <c r="U17" s="1" t="str">
        <f t="shared" si="25"/>
        <v>Follow-On Unweighted</v>
      </c>
      <c r="V17" s="50" t="e">
        <f t="shared" ref="V17:AB17" si="35">SUMPRODUCT((J$12:J$96&gt;=0)*J$12:J$96*$F$12:$F$96*$S$12:$S$96)/SUM($F$12:$F$96)</f>
        <v>#NAME?</v>
      </c>
      <c r="W17" s="50" t="e">
        <f t="shared" si="35"/>
        <v>#NAME?</v>
      </c>
      <c r="X17" s="50" t="e">
        <f t="shared" si="35"/>
        <v>#NAME?</v>
      </c>
      <c r="Y17" s="50" t="e">
        <f t="shared" si="35"/>
        <v>#NAME?</v>
      </c>
      <c r="Z17" s="50" t="e">
        <f t="shared" si="35"/>
        <v>#NAME?</v>
      </c>
      <c r="AA17" s="50" t="e">
        <f t="shared" si="35"/>
        <v>#NAME?</v>
      </c>
      <c r="AB17" s="50" t="e">
        <f t="shared" si="35"/>
        <v>#NAME?</v>
      </c>
      <c r="AC17" s="50" t="e">
        <f t="shared" ref="AC17:AI17" si="36">SUMPRODUCT((J$12:J$96&lt;0)*J$12:J$96*$F$12:$F$96*$S$12:$S$96)/SUM($F$12:$F$96)</f>
        <v>#NAME?</v>
      </c>
      <c r="AD17" s="50" t="e">
        <f t="shared" si="36"/>
        <v>#NAME?</v>
      </c>
      <c r="AE17" s="50" t="e">
        <f t="shared" si="36"/>
        <v>#NAME?</v>
      </c>
      <c r="AF17" s="50" t="e">
        <f t="shared" si="36"/>
        <v>#NAME?</v>
      </c>
      <c r="AG17" s="50" t="e">
        <f t="shared" si="36"/>
        <v>#NAME?</v>
      </c>
      <c r="AH17" s="50" t="e">
        <f t="shared" si="36"/>
        <v>#NAME?</v>
      </c>
      <c r="AI17" s="50" t="e">
        <f t="shared" si="36"/>
        <v>#NAME?</v>
      </c>
      <c r="AJ17" s="50"/>
      <c r="AK17" s="50"/>
      <c r="AL17" s="50"/>
      <c r="AM17" s="50"/>
      <c r="AN17" s="50"/>
      <c r="AO17" s="50"/>
      <c r="AP17" s="50"/>
      <c r="CK17" s="37"/>
      <c r="CL17" s="37"/>
      <c r="CM17" s="37"/>
      <c r="CN17" s="37"/>
      <c r="CO17" s="37"/>
      <c r="CP17" s="37"/>
      <c r="CQ17" s="37"/>
      <c r="CR17" s="37"/>
      <c r="CS17" s="63"/>
      <c r="CT17" s="62"/>
      <c r="CU17" s="19"/>
    </row>
    <row r="18" spans="1:99" s="1" customFormat="1" x14ac:dyDescent="0.25">
      <c r="A18" s="92" t="s">
        <v>9</v>
      </c>
      <c r="B18" s="66">
        <f>IFERROR(VLOOKUP($A18,[1]!LOOKUP_MDAPs,B$3,FALSE)/$I18,"")</f>
        <v>8.7515421517237721E-2</v>
      </c>
      <c r="C18" s="66">
        <f>IFERROR(VLOOKUP($A18,[1]!LOOKUP_MDAPs,C$3,FALSE)/$I18,"")</f>
        <v>0.31789967034019961</v>
      </c>
      <c r="D18" s="66">
        <f>IFERROR(VLOOKUP($A18,[1]!LOOKUP_MDAPs,D$3,FALSE)/$I18,"")</f>
        <v>0.9614024853141262</v>
      </c>
      <c r="E18" s="66">
        <f>IFERROR(VLOOKUP($A18,[1]!LOOKUP_MDAPs,E$3,FALSE)/$I18,"")</f>
        <v>2.3566472358334534</v>
      </c>
      <c r="F18" s="66">
        <f>IFERROR(VLOOKUP($A18,[1]!LOOKUP_MDAPs,F$3,FALSE)/$I18,"")</f>
        <v>0</v>
      </c>
      <c r="G18" s="66">
        <f>IFERROR(VLOOKUP($A18,[1]!LOOKUP_MDAPs,G$3,FALSE)/$I18,"")</f>
        <v>11.775162849252268</v>
      </c>
      <c r="H18" s="66">
        <f t="shared" si="28"/>
        <v>-14.498627662257284</v>
      </c>
      <c r="I18" s="65">
        <f>IFERROR(VLOOKUP($A18,[1]!LOOKUP_MDAPs,I$3,FALSE),"")</f>
        <v>90.635367029999998</v>
      </c>
      <c r="J18" s="64" t="e">
        <f>VLOOKUP($A18,[1]!LOOKUP_SARS_2009_Change_Breakdown,J$3,FALSE)+0</f>
        <v>#NAME?</v>
      </c>
      <c r="K18" s="64" t="e">
        <f>VLOOKUP($A18,[1]!LOOKUP_SARS_2009_Change_Breakdown,K$3,FALSE)+0</f>
        <v>#NAME?</v>
      </c>
      <c r="L18" s="64" t="e">
        <f>VLOOKUP($A18,[1]!LOOKUP_SARS_2009_Change_Breakdown,L$3,FALSE)+0</f>
        <v>#NAME?</v>
      </c>
      <c r="M18" s="64" t="e">
        <f>VLOOKUP($A18,[1]!LOOKUP_SARS_2009_Change_Breakdown,M$3,FALSE)+0</f>
        <v>#NAME?</v>
      </c>
      <c r="N18" s="64" t="e">
        <f>VLOOKUP($A18,[1]!LOOKUP_SARS_2009_Change_Breakdown,N$3,FALSE)+0</f>
        <v>#NAME?</v>
      </c>
      <c r="O18" s="64" t="e">
        <f>VLOOKUP($A18,[1]!LOOKUP_SARS_2009_Change_Breakdown,O$3,FALSE)+0</f>
        <v>#NAME?</v>
      </c>
      <c r="P18" s="64" t="e">
        <f>VLOOKUP($A18,[1]!LOOKUP_SARS_2009_Change_Breakdown,P$3,FALSE)+0</f>
        <v>#NAME?</v>
      </c>
      <c r="Q18" s="64" t="e">
        <f>VLOOKUP($A18,[1]!LOOKUP_SARS_2009_Change_Breakdown,Q$3,FALSE)+0</f>
        <v>#NAME?</v>
      </c>
      <c r="R18" s="26" t="e">
        <f>VLOOKUP($A18,[1]!LOOKUP_SARS_2009,R$3,FALSE)</f>
        <v>#NAME?</v>
      </c>
      <c r="S18" s="1" t="e">
        <f t="shared" si="22"/>
        <v>#NAME?</v>
      </c>
      <c r="U18" s="1" t="str">
        <f t="shared" si="25"/>
        <v>None Unweighted</v>
      </c>
      <c r="V18" s="50" t="e">
        <f t="shared" ref="V18:AB18" si="37">SUMPRODUCT((J$12:J$96&gt;=0)*J$12:J$96*$G$12:$G$96*$S$12:$S$96)/SUM($G$12:$G$96)</f>
        <v>#NAME?</v>
      </c>
      <c r="W18" s="50" t="e">
        <f t="shared" si="37"/>
        <v>#NAME?</v>
      </c>
      <c r="X18" s="50" t="e">
        <f t="shared" si="37"/>
        <v>#NAME?</v>
      </c>
      <c r="Y18" s="50" t="e">
        <f t="shared" si="37"/>
        <v>#NAME?</v>
      </c>
      <c r="Z18" s="50" t="e">
        <f t="shared" si="37"/>
        <v>#NAME?</v>
      </c>
      <c r="AA18" s="50" t="e">
        <f t="shared" si="37"/>
        <v>#NAME?</v>
      </c>
      <c r="AB18" s="50" t="e">
        <f t="shared" si="37"/>
        <v>#NAME?</v>
      </c>
      <c r="AC18" s="50" t="e">
        <f t="shared" ref="AC18:AI18" si="38">SUMPRODUCT((J$12:J$96&lt;0)*J$12:J$96*$G$12:$G$96*$S$12:$S$96)/SUM($G$12:$G$96)</f>
        <v>#NAME?</v>
      </c>
      <c r="AD18" s="50" t="e">
        <f t="shared" si="38"/>
        <v>#NAME?</v>
      </c>
      <c r="AE18" s="50" t="e">
        <f t="shared" si="38"/>
        <v>#NAME?</v>
      </c>
      <c r="AF18" s="50" t="e">
        <f t="shared" si="38"/>
        <v>#NAME?</v>
      </c>
      <c r="AG18" s="50" t="e">
        <f t="shared" si="38"/>
        <v>#NAME?</v>
      </c>
      <c r="AH18" s="50" t="e">
        <f t="shared" si="38"/>
        <v>#NAME?</v>
      </c>
      <c r="AI18" s="50" t="e">
        <f t="shared" si="38"/>
        <v>#NAME?</v>
      </c>
      <c r="AJ18" s="50"/>
      <c r="AK18" s="50"/>
      <c r="AL18" s="50"/>
      <c r="AM18" s="50"/>
      <c r="AN18" s="50"/>
      <c r="AO18" s="50"/>
      <c r="AP18" s="50"/>
      <c r="CK18" s="37"/>
      <c r="CL18" s="37"/>
      <c r="CM18" s="37"/>
      <c r="CN18" s="37"/>
      <c r="CO18" s="37"/>
      <c r="CP18" s="37"/>
      <c r="CQ18" s="37"/>
      <c r="CR18" s="37"/>
      <c r="CS18" s="63"/>
      <c r="CT18" s="62"/>
      <c r="CU18" s="19"/>
    </row>
    <row r="19" spans="1:99" s="1" customFormat="1" x14ac:dyDescent="0.25">
      <c r="A19" s="92" t="s">
        <v>213</v>
      </c>
      <c r="B19" s="66">
        <f>IFERROR(VLOOKUP($A19,[1]!LOOKUP_MDAPs,B$3,FALSE)/$I19,"")</f>
        <v>0</v>
      </c>
      <c r="C19" s="66">
        <f>IFERROR(VLOOKUP($A19,[1]!LOOKUP_MDAPs,C$3,FALSE)/$I19,"")</f>
        <v>0</v>
      </c>
      <c r="D19" s="66">
        <f>IFERROR(VLOOKUP($A19,[1]!LOOKUP_MDAPs,D$3,FALSE)/$I19,"")</f>
        <v>31.29258864167744</v>
      </c>
      <c r="E19" s="66">
        <f>IFERROR(VLOOKUP($A19,[1]!LOOKUP_MDAPs,E$3,FALSE)/$I19,"")</f>
        <v>0</v>
      </c>
      <c r="F19" s="66">
        <f>IFERROR(VLOOKUP($A19,[1]!LOOKUP_MDAPs,F$3,FALSE)/$I19,"")</f>
        <v>0</v>
      </c>
      <c r="G19" s="66">
        <f>IFERROR(VLOOKUP($A19,[1]!LOOKUP_MDAPs,G$3,FALSE)/$I19,"")</f>
        <v>29.132281153616557</v>
      </c>
      <c r="H19" s="66">
        <f t="shared" si="28"/>
        <v>-59.424869795294001</v>
      </c>
      <c r="I19" s="65">
        <f>IFERROR(VLOOKUP($A19,[1]!LOOKUP_MDAPs,I$3,FALSE),"")</f>
        <v>1.60816</v>
      </c>
      <c r="J19" s="64" t="e">
        <f>VLOOKUP($A19,[1]!LOOKUP_SARS_2009_Change_Breakdown,J$3,FALSE)+0</f>
        <v>#NAME?</v>
      </c>
      <c r="K19" s="64" t="e">
        <f>VLOOKUP($A19,[1]!LOOKUP_SARS_2009_Change_Breakdown,K$3,FALSE)+0</f>
        <v>#NAME?</v>
      </c>
      <c r="L19" s="64" t="e">
        <f>VLOOKUP($A19,[1]!LOOKUP_SARS_2009_Change_Breakdown,L$3,FALSE)+0</f>
        <v>#NAME?</v>
      </c>
      <c r="M19" s="64" t="e">
        <f>VLOOKUP($A19,[1]!LOOKUP_SARS_2009_Change_Breakdown,M$3,FALSE)+0</f>
        <v>#NAME?</v>
      </c>
      <c r="N19" s="64" t="e">
        <f>VLOOKUP($A19,[1]!LOOKUP_SARS_2009_Change_Breakdown,N$3,FALSE)+0</f>
        <v>#NAME?</v>
      </c>
      <c r="O19" s="64" t="e">
        <f>VLOOKUP($A19,[1]!LOOKUP_SARS_2009_Change_Breakdown,O$3,FALSE)+0</f>
        <v>#NAME?</v>
      </c>
      <c r="P19" s="64" t="e">
        <f>VLOOKUP($A19,[1]!LOOKUP_SARS_2009_Change_Breakdown,P$3,FALSE)+0</f>
        <v>#NAME?</v>
      </c>
      <c r="Q19" s="64" t="e">
        <f>VLOOKUP($A19,[1]!LOOKUP_SARS_2009_Change_Breakdown,Q$3,FALSE)+0</f>
        <v>#NAME?</v>
      </c>
      <c r="R19" s="26" t="e">
        <f>VLOOKUP($A19,[1]!LOOKUP_SARS_2009,R$3,FALSE)</f>
        <v>#NAME?</v>
      </c>
      <c r="S19" s="1" t="e">
        <f t="shared" si="22"/>
        <v>#NAME?</v>
      </c>
      <c r="U19" s="1" t="str">
        <f t="shared" si="25"/>
        <v>Unclear Competition Unweighted</v>
      </c>
      <c r="V19" s="50" t="e">
        <f t="shared" ref="V19:AB19" si="39">SUMPRODUCT((J$12:J$96&gt;=0)*J$12:J$96*$H$12:$H$96*$S$12:$S$96)/SUM($H$12:$H$96)</f>
        <v>#NAME?</v>
      </c>
      <c r="W19" s="50" t="e">
        <f t="shared" si="39"/>
        <v>#NAME?</v>
      </c>
      <c r="X19" s="50" t="e">
        <f t="shared" si="39"/>
        <v>#NAME?</v>
      </c>
      <c r="Y19" s="50" t="e">
        <f t="shared" si="39"/>
        <v>#NAME?</v>
      </c>
      <c r="Z19" s="50" t="e">
        <f t="shared" si="39"/>
        <v>#NAME?</v>
      </c>
      <c r="AA19" s="50" t="e">
        <f t="shared" si="39"/>
        <v>#NAME?</v>
      </c>
      <c r="AB19" s="50" t="e">
        <f t="shared" si="39"/>
        <v>#NAME?</v>
      </c>
      <c r="AC19" s="50" t="e">
        <f t="shared" ref="AC19:AI19" si="40">SUMPRODUCT((J$12:J$96&lt;0)*J$12:J$96*$H$12:$H$96*$S$12:$S$96)/SUM($H$12:$H$96)</f>
        <v>#NAME?</v>
      </c>
      <c r="AD19" s="50" t="e">
        <f t="shared" si="40"/>
        <v>#NAME?</v>
      </c>
      <c r="AE19" s="50" t="e">
        <f t="shared" si="40"/>
        <v>#NAME?</v>
      </c>
      <c r="AF19" s="50" t="e">
        <f t="shared" si="40"/>
        <v>#NAME?</v>
      </c>
      <c r="AG19" s="50" t="e">
        <f t="shared" si="40"/>
        <v>#NAME?</v>
      </c>
      <c r="AH19" s="50" t="e">
        <f t="shared" si="40"/>
        <v>#NAME?</v>
      </c>
      <c r="AI19" s="50" t="e">
        <f t="shared" si="40"/>
        <v>#NAME?</v>
      </c>
      <c r="AJ19" s="50"/>
      <c r="AK19" s="50"/>
      <c r="AL19" s="50"/>
      <c r="AM19" s="50"/>
      <c r="AN19" s="50"/>
      <c r="AO19" s="50"/>
      <c r="AP19" s="50"/>
      <c r="CK19" s="37"/>
      <c r="CL19" s="37"/>
      <c r="CM19" s="37"/>
      <c r="CN19" s="37"/>
      <c r="CO19" s="37"/>
      <c r="CP19" s="37"/>
      <c r="CQ19" s="37"/>
      <c r="CR19" s="37"/>
      <c r="CS19" s="63"/>
      <c r="CT19" s="62"/>
      <c r="CU19" s="19"/>
    </row>
    <row r="20" spans="1:99" s="1" customFormat="1" x14ac:dyDescent="0.25">
      <c r="A20" s="92" t="s">
        <v>214</v>
      </c>
      <c r="B20" s="66" t="str">
        <f>IFERROR(VLOOKUP($A20,[1]!LOOKUP_MDAPs,B$3,FALSE)/$I20,"")</f>
        <v/>
      </c>
      <c r="C20" s="66" t="str">
        <f>IFERROR(VLOOKUP($A20,[1]!LOOKUP_MDAPs,C$3,FALSE)/$I20,"")</f>
        <v/>
      </c>
      <c r="D20" s="66" t="str">
        <f>IFERROR(VLOOKUP($A20,[1]!LOOKUP_MDAPs,D$3,FALSE)/$I20,"")</f>
        <v/>
      </c>
      <c r="E20" s="66" t="str">
        <f>IFERROR(VLOOKUP($A20,[1]!LOOKUP_MDAPs,E$3,FALSE)/$I20,"")</f>
        <v/>
      </c>
      <c r="F20" s="66" t="str">
        <f>IFERROR(VLOOKUP($A20,[1]!LOOKUP_MDAPs,F$3,FALSE)/$I20,"")</f>
        <v/>
      </c>
      <c r="G20" s="66" t="str">
        <f>IFERROR(VLOOKUP($A20,[1]!LOOKUP_MDAPs,G$3,FALSE)/$I20,"")</f>
        <v/>
      </c>
      <c r="H20" s="66">
        <f t="shared" si="28"/>
        <v>1</v>
      </c>
      <c r="I20" s="65">
        <f>IFERROR(VLOOKUP($A20,[1]!LOOKUP_MDAPs,I$3,FALSE),"")</f>
        <v>0</v>
      </c>
      <c r="J20" s="64" t="e">
        <f>VLOOKUP($A20,[1]!LOOKUP_SARS_2009_Change_Breakdown,J$3,FALSE)+0</f>
        <v>#NAME?</v>
      </c>
      <c r="K20" s="64" t="e">
        <f>VLOOKUP($A20,[1]!LOOKUP_SARS_2009_Change_Breakdown,K$3,FALSE)+0</f>
        <v>#NAME?</v>
      </c>
      <c r="L20" s="64" t="e">
        <f>VLOOKUP($A20,[1]!LOOKUP_SARS_2009_Change_Breakdown,L$3,FALSE)+0</f>
        <v>#NAME?</v>
      </c>
      <c r="M20" s="64" t="e">
        <f>VLOOKUP($A20,[1]!LOOKUP_SARS_2009_Change_Breakdown,M$3,FALSE)+0</f>
        <v>#NAME?</v>
      </c>
      <c r="N20" s="64" t="e">
        <f>VLOOKUP($A20,[1]!LOOKUP_SARS_2009_Change_Breakdown,N$3,FALSE)+0</f>
        <v>#NAME?</v>
      </c>
      <c r="O20" s="64" t="e">
        <f>VLOOKUP($A20,[1]!LOOKUP_SARS_2009_Change_Breakdown,O$3,FALSE)+0</f>
        <v>#NAME?</v>
      </c>
      <c r="P20" s="64" t="e">
        <f>VLOOKUP($A20,[1]!LOOKUP_SARS_2009_Change_Breakdown,P$3,FALSE)+0</f>
        <v>#NAME?</v>
      </c>
      <c r="Q20" s="64" t="e">
        <f>VLOOKUP($A20,[1]!LOOKUP_SARS_2009_Change_Breakdown,Q$3,FALSE)+0</f>
        <v>#NAME?</v>
      </c>
      <c r="R20" s="26" t="e">
        <f>VLOOKUP($A20,[1]!LOOKUP_SARS_2009,R$3,FALSE)</f>
        <v>#NAME?</v>
      </c>
      <c r="S20" s="1" t="e">
        <f t="shared" si="22"/>
        <v>#NAME?</v>
      </c>
      <c r="CK20" s="37"/>
      <c r="CL20" s="37"/>
      <c r="CM20" s="37"/>
      <c r="CN20" s="37"/>
      <c r="CO20" s="37"/>
      <c r="CP20" s="37"/>
      <c r="CQ20" s="37"/>
      <c r="CR20" s="37"/>
      <c r="CS20" s="63"/>
      <c r="CT20" s="62"/>
      <c r="CU20" s="19"/>
    </row>
    <row r="21" spans="1:99" s="1" customFormat="1" x14ac:dyDescent="0.25">
      <c r="A21" s="92" t="s">
        <v>175</v>
      </c>
      <c r="B21" s="66" t="str">
        <f>IFERROR(VLOOKUP($A21,[1]!LOOKUP_MDAPs,B$3,FALSE)/$I21,"")</f>
        <v/>
      </c>
      <c r="C21" s="66" t="str">
        <f>IFERROR(VLOOKUP($A21,[1]!LOOKUP_MDAPs,C$3,FALSE)/$I21,"")</f>
        <v/>
      </c>
      <c r="D21" s="66" t="str">
        <f>IFERROR(VLOOKUP($A21,[1]!LOOKUP_MDAPs,D$3,FALSE)/$I21,"")</f>
        <v/>
      </c>
      <c r="E21" s="66" t="str">
        <f>IFERROR(VLOOKUP($A21,[1]!LOOKUP_MDAPs,E$3,FALSE)/$I21,"")</f>
        <v/>
      </c>
      <c r="F21" s="66" t="str">
        <f>IFERROR(VLOOKUP($A21,[1]!LOOKUP_MDAPs,F$3,FALSE)/$I21,"")</f>
        <v/>
      </c>
      <c r="G21" s="66" t="str">
        <f>IFERROR(VLOOKUP($A21,[1]!LOOKUP_MDAPs,G$3,FALSE)/$I21,"")</f>
        <v/>
      </c>
      <c r="H21" s="66">
        <f t="shared" si="28"/>
        <v>1</v>
      </c>
      <c r="I21" s="65">
        <f>IFERROR(VLOOKUP($A21,[1]!LOOKUP_MDAPs,I$3,FALSE),"")</f>
        <v>0</v>
      </c>
      <c r="J21" s="64" t="e">
        <f>VLOOKUP($A21,[1]!LOOKUP_SARS_2009_Change_Breakdown,J$3,FALSE)+0</f>
        <v>#NAME?</v>
      </c>
      <c r="K21" s="64" t="e">
        <f>VLOOKUP($A21,[1]!LOOKUP_SARS_2009_Change_Breakdown,K$3,FALSE)+0</f>
        <v>#NAME?</v>
      </c>
      <c r="L21" s="64" t="e">
        <f>VLOOKUP($A21,[1]!LOOKUP_SARS_2009_Change_Breakdown,L$3,FALSE)+0</f>
        <v>#NAME?</v>
      </c>
      <c r="M21" s="64" t="e">
        <f>VLOOKUP($A21,[1]!LOOKUP_SARS_2009_Change_Breakdown,M$3,FALSE)+0</f>
        <v>#NAME?</v>
      </c>
      <c r="N21" s="64" t="e">
        <f>VLOOKUP($A21,[1]!LOOKUP_SARS_2009_Change_Breakdown,N$3,FALSE)+0</f>
        <v>#NAME?</v>
      </c>
      <c r="O21" s="64" t="e">
        <f>VLOOKUP($A21,[1]!LOOKUP_SARS_2009_Change_Breakdown,O$3,FALSE)+0</f>
        <v>#NAME?</v>
      </c>
      <c r="P21" s="64" t="e">
        <f>VLOOKUP($A21,[1]!LOOKUP_SARS_2009_Change_Breakdown,P$3,FALSE)+0</f>
        <v>#NAME?</v>
      </c>
      <c r="Q21" s="64" t="e">
        <f>VLOOKUP($A21,[1]!LOOKUP_SARS_2009_Change_Breakdown,Q$3,FALSE)+0</f>
        <v>#NAME?</v>
      </c>
      <c r="R21" s="26" t="e">
        <f>VLOOKUP($A21,[1]!LOOKUP_SARS_2009,R$3,FALSE)</f>
        <v>#NAME?</v>
      </c>
      <c r="S21" s="1" t="e">
        <f t="shared" si="22"/>
        <v>#NAME?</v>
      </c>
      <c r="U21" s="19">
        <v>10</v>
      </c>
      <c r="V21" s="19" t="s">
        <v>143</v>
      </c>
      <c r="W21" s="19" t="s">
        <v>142</v>
      </c>
      <c r="X21" s="19" t="s">
        <v>128</v>
      </c>
      <c r="Y21" s="19" t="s">
        <v>141</v>
      </c>
      <c r="Z21" s="19" t="s">
        <v>140</v>
      </c>
      <c r="AA21" s="19" t="s">
        <v>88</v>
      </c>
      <c r="AB21" s="1" t="s">
        <v>139</v>
      </c>
      <c r="AC21" s="1" t="s">
        <v>138</v>
      </c>
      <c r="AD21" s="1" t="s">
        <v>87</v>
      </c>
      <c r="AE21" s="1" t="s">
        <v>137</v>
      </c>
      <c r="AF21" s="1" t="s">
        <v>136</v>
      </c>
      <c r="AG21" s="1" t="s">
        <v>86</v>
      </c>
      <c r="AH21" s="1" t="s">
        <v>135</v>
      </c>
      <c r="AI21" s="1" t="s">
        <v>134</v>
      </c>
      <c r="AJ21" s="1" t="s">
        <v>84</v>
      </c>
      <c r="AK21" s="1" t="s">
        <v>133</v>
      </c>
      <c r="AL21" s="1" t="s">
        <v>132</v>
      </c>
      <c r="AM21" s="1" t="s">
        <v>85</v>
      </c>
      <c r="AN21" s="1" t="s">
        <v>131</v>
      </c>
      <c r="AO21" s="1" t="s">
        <v>130</v>
      </c>
      <c r="AP21" s="1" t="s">
        <v>91</v>
      </c>
      <c r="AQ21" s="1" t="s">
        <v>129</v>
      </c>
      <c r="CK21" s="37"/>
      <c r="CL21" s="37"/>
      <c r="CM21" s="37"/>
      <c r="CN21" s="37"/>
      <c r="CO21" s="37"/>
      <c r="CP21" s="37"/>
      <c r="CQ21" s="37"/>
      <c r="CR21" s="37"/>
      <c r="CS21" s="63"/>
      <c r="CT21" s="62"/>
      <c r="CU21" s="19"/>
    </row>
    <row r="22" spans="1:99" s="1" customFormat="1" x14ac:dyDescent="0.25">
      <c r="A22" s="92" t="s">
        <v>13</v>
      </c>
      <c r="B22" s="66">
        <f>IFERROR(VLOOKUP($A22,[1]!LOOKUP_MDAPs,B$3,FALSE)/$I22,"")</f>
        <v>6.1659889018881515E-5</v>
      </c>
      <c r="C22" s="66">
        <f>IFERROR(VLOOKUP($A22,[1]!LOOKUP_MDAPs,C$3,FALSE)/$I22,"")</f>
        <v>3.347371150815731E-3</v>
      </c>
      <c r="D22" s="66">
        <f>IFERROR(VLOOKUP($A22,[1]!LOOKUP_MDAPs,D$3,FALSE)/$I22,"")</f>
        <v>7.0188579222615278E-5</v>
      </c>
      <c r="E22" s="66">
        <f>IFERROR(VLOOKUP($A22,[1]!LOOKUP_MDAPs,E$3,FALSE)/$I22,"")</f>
        <v>3.3468373778811679E-4</v>
      </c>
      <c r="F22" s="66">
        <f>IFERROR(VLOOKUP($A22,[1]!LOOKUP_MDAPs,F$3,FALSE)/$I22,"")</f>
        <v>0</v>
      </c>
      <c r="G22" s="66">
        <f>IFERROR(VLOOKUP($A22,[1]!LOOKUP_MDAPs,G$3,FALSE)/$I22,"")</f>
        <v>2.7728532791682929</v>
      </c>
      <c r="H22" s="66">
        <f t="shared" si="28"/>
        <v>-1.7766671825251383</v>
      </c>
      <c r="I22" s="65">
        <f>IFERROR(VLOOKUP($A22,[1]!LOOKUP_MDAPs,I$3,FALSE),"")</f>
        <v>804.16216747999999</v>
      </c>
      <c r="J22" s="64" t="e">
        <f>VLOOKUP($A22,[1]!LOOKUP_SARS_2009_Change_Breakdown,J$3,FALSE)+0</f>
        <v>#NAME?</v>
      </c>
      <c r="K22" s="64" t="e">
        <f>VLOOKUP($A22,[1]!LOOKUP_SARS_2009_Change_Breakdown,K$3,FALSE)+0</f>
        <v>#NAME?</v>
      </c>
      <c r="L22" s="64" t="e">
        <f>VLOOKUP($A22,[1]!LOOKUP_SARS_2009_Change_Breakdown,L$3,FALSE)+0</f>
        <v>#NAME?</v>
      </c>
      <c r="M22" s="64" t="e">
        <f>VLOOKUP($A22,[1]!LOOKUP_SARS_2009_Change_Breakdown,M$3,FALSE)+0</f>
        <v>#NAME?</v>
      </c>
      <c r="N22" s="64" t="e">
        <f>VLOOKUP($A22,[1]!LOOKUP_SARS_2009_Change_Breakdown,N$3,FALSE)+0</f>
        <v>#NAME?</v>
      </c>
      <c r="O22" s="64" t="e">
        <f>VLOOKUP($A22,[1]!LOOKUP_SARS_2009_Change_Breakdown,O$3,FALSE)+0</f>
        <v>#NAME?</v>
      </c>
      <c r="P22" s="64" t="e">
        <f>VLOOKUP($A22,[1]!LOOKUP_SARS_2009_Change_Breakdown,P$3,FALSE)+0</f>
        <v>#NAME?</v>
      </c>
      <c r="Q22" s="64" t="e">
        <f>VLOOKUP($A22,[1]!LOOKUP_SARS_2009_Change_Breakdown,Q$3,FALSE)+0</f>
        <v>#NAME?</v>
      </c>
      <c r="R22" s="26" t="e">
        <f>VLOOKUP($A22,[1]!LOOKUP_SARS_2009,R$3,FALSE)</f>
        <v>#NAME?</v>
      </c>
      <c r="S22" s="1" t="e">
        <f t="shared" si="22"/>
        <v>#NAME?</v>
      </c>
      <c r="U22" s="1" t="str">
        <f t="shared" ref="U22:U28" si="41">U13</f>
        <v>Full and Open -Multiple Bidders Unweighted</v>
      </c>
      <c r="W22" s="19" t="e">
        <f t="shared" ref="W22:W28" si="42">AC13*-1</f>
        <v>#NAME?</v>
      </c>
      <c r="X22" s="19" t="e">
        <f t="shared" ref="X22:X28" si="43">V13</f>
        <v>#NAME?</v>
      </c>
      <c r="Z22" s="19" t="e">
        <f t="shared" ref="Z22:Z28" si="44">AE13*-1</f>
        <v>#NAME?</v>
      </c>
      <c r="AA22" s="19" t="e">
        <f t="shared" ref="AA22:AA28" si="45">X13</f>
        <v>#NAME?</v>
      </c>
      <c r="AC22" s="19" t="e">
        <f t="shared" ref="AC22:AC28" si="46">AF13*-1</f>
        <v>#NAME?</v>
      </c>
      <c r="AD22" s="19" t="e">
        <f t="shared" ref="AD22:AD28" si="47">Y13</f>
        <v>#NAME?</v>
      </c>
      <c r="AF22" s="19" t="e">
        <f t="shared" ref="AF22:AF28" si="48">AG13*-1</f>
        <v>#NAME?</v>
      </c>
      <c r="AG22" s="19" t="e">
        <f t="shared" ref="AG22:AG28" si="49">Z13</f>
        <v>#NAME?</v>
      </c>
      <c r="AI22" s="19" t="e">
        <f t="shared" ref="AI22:AI28" si="50">AI13*-1</f>
        <v>#NAME?</v>
      </c>
      <c r="AJ22" s="19" t="e">
        <f t="shared" ref="AJ22:AJ28" si="51">AB13</f>
        <v>#NAME?</v>
      </c>
      <c r="AL22" s="19" t="e">
        <f t="shared" ref="AL22:AL28" si="52">AH13</f>
        <v>#NAME?</v>
      </c>
      <c r="AM22" s="19" t="e">
        <f t="shared" ref="AM22:AM28" si="53">AA13</f>
        <v>#NAME?</v>
      </c>
      <c r="AO22" s="19" t="e">
        <f t="shared" ref="AO22:AO28" si="54">AD13</f>
        <v>#NAME?</v>
      </c>
      <c r="AP22" s="19" t="e">
        <f t="shared" ref="AP22:AP28" si="55">W13</f>
        <v>#NAME?</v>
      </c>
      <c r="CK22" s="37"/>
      <c r="CL22" s="37"/>
      <c r="CM22" s="37"/>
      <c r="CN22" s="37"/>
      <c r="CO22" s="37"/>
      <c r="CP22" s="37"/>
      <c r="CQ22" s="37"/>
      <c r="CR22" s="37"/>
      <c r="CS22" s="63"/>
      <c r="CT22" s="62"/>
      <c r="CU22" s="19"/>
    </row>
    <row r="23" spans="1:99" s="1" customFormat="1" x14ac:dyDescent="0.25">
      <c r="A23" s="92" t="s">
        <v>17</v>
      </c>
      <c r="B23" s="66">
        <f>IFERROR(VLOOKUP($A23,[1]!LOOKUP_MDAPs,B$3,FALSE)/$I23,"")</f>
        <v>0.1751451895456449</v>
      </c>
      <c r="C23" s="66">
        <f>IFERROR(VLOOKUP($A23,[1]!LOOKUP_MDAPs,C$3,FALSE)/$I23,"")</f>
        <v>33.032406141432254</v>
      </c>
      <c r="D23" s="66">
        <f>IFERROR(VLOOKUP($A23,[1]!LOOKUP_MDAPs,D$3,FALSE)/$I23,"")</f>
        <v>0.38014191592395763</v>
      </c>
      <c r="E23" s="66">
        <f>IFERROR(VLOOKUP($A23,[1]!LOOKUP_MDAPs,E$3,FALSE)/$I23,"")</f>
        <v>52.863386104508166</v>
      </c>
      <c r="F23" s="66">
        <f>IFERROR(VLOOKUP($A23,[1]!LOOKUP_MDAPs,F$3,FALSE)/$I23,"")</f>
        <v>0</v>
      </c>
      <c r="G23" s="66">
        <f>IFERROR(VLOOKUP($A23,[1]!LOOKUP_MDAPs,G$3,FALSE)/$I23,"")</f>
        <v>324.47722455865096</v>
      </c>
      <c r="H23" s="66">
        <f t="shared" si="28"/>
        <v>-409.928303910061</v>
      </c>
      <c r="I23" s="65">
        <f>IFERROR(VLOOKUP($A23,[1]!LOOKUP_MDAPs,I$3,FALSE),"")</f>
        <v>0.16953699999999999</v>
      </c>
      <c r="J23" s="64" t="e">
        <f>VLOOKUP($A23,[1]!LOOKUP_SARS_2009_Change_Breakdown,J$3,FALSE)+0</f>
        <v>#NAME?</v>
      </c>
      <c r="K23" s="64" t="e">
        <f>VLOOKUP($A23,[1]!LOOKUP_SARS_2009_Change_Breakdown,K$3,FALSE)+0</f>
        <v>#NAME?</v>
      </c>
      <c r="L23" s="64" t="e">
        <f>VLOOKUP($A23,[1]!LOOKUP_SARS_2009_Change_Breakdown,L$3,FALSE)+0</f>
        <v>#NAME?</v>
      </c>
      <c r="M23" s="64" t="e">
        <f>VLOOKUP($A23,[1]!LOOKUP_SARS_2009_Change_Breakdown,M$3,FALSE)+0</f>
        <v>#NAME?</v>
      </c>
      <c r="N23" s="64" t="e">
        <f>VLOOKUP($A23,[1]!LOOKUP_SARS_2009_Change_Breakdown,N$3,FALSE)+0</f>
        <v>#NAME?</v>
      </c>
      <c r="O23" s="64" t="e">
        <f>VLOOKUP($A23,[1]!LOOKUP_SARS_2009_Change_Breakdown,O$3,FALSE)+0</f>
        <v>#NAME?</v>
      </c>
      <c r="P23" s="64" t="e">
        <f>VLOOKUP($A23,[1]!LOOKUP_SARS_2009_Change_Breakdown,P$3,FALSE)+0</f>
        <v>#NAME?</v>
      </c>
      <c r="Q23" s="64" t="e">
        <f>VLOOKUP($A23,[1]!LOOKUP_SARS_2009_Change_Breakdown,Q$3,FALSE)+0</f>
        <v>#NAME?</v>
      </c>
      <c r="R23" s="26" t="e">
        <f>VLOOKUP($A23,[1]!LOOKUP_SARS_2009,R$3,FALSE)</f>
        <v>#NAME?</v>
      </c>
      <c r="S23" s="1" t="e">
        <f t="shared" si="22"/>
        <v>#NAME?</v>
      </c>
      <c r="U23" s="1" t="str">
        <f t="shared" si="41"/>
        <v>Full and Open -Single Bidder Unweighted</v>
      </c>
      <c r="W23" s="19" t="e">
        <f t="shared" si="42"/>
        <v>#NAME?</v>
      </c>
      <c r="X23" s="19" t="e">
        <f t="shared" si="43"/>
        <v>#NAME?</v>
      </c>
      <c r="Z23" s="19" t="e">
        <f t="shared" si="44"/>
        <v>#NAME?</v>
      </c>
      <c r="AA23" s="19" t="e">
        <f t="shared" si="45"/>
        <v>#NAME?</v>
      </c>
      <c r="AC23" s="19" t="e">
        <f t="shared" si="46"/>
        <v>#NAME?</v>
      </c>
      <c r="AD23" s="19" t="e">
        <f t="shared" si="47"/>
        <v>#NAME?</v>
      </c>
      <c r="AF23" s="19" t="e">
        <f t="shared" si="48"/>
        <v>#NAME?</v>
      </c>
      <c r="AG23" s="19" t="e">
        <f t="shared" si="49"/>
        <v>#NAME?</v>
      </c>
      <c r="AI23" s="19" t="e">
        <f t="shared" si="50"/>
        <v>#NAME?</v>
      </c>
      <c r="AJ23" s="19" t="e">
        <f t="shared" si="51"/>
        <v>#NAME?</v>
      </c>
      <c r="AL23" s="19" t="e">
        <f t="shared" si="52"/>
        <v>#NAME?</v>
      </c>
      <c r="AM23" s="19" t="e">
        <f t="shared" si="53"/>
        <v>#NAME?</v>
      </c>
      <c r="AO23" s="19" t="e">
        <f t="shared" si="54"/>
        <v>#NAME?</v>
      </c>
      <c r="AP23" s="19" t="e">
        <f t="shared" si="55"/>
        <v>#NAME?</v>
      </c>
      <c r="CK23" s="37"/>
      <c r="CL23" s="37"/>
      <c r="CM23" s="37"/>
      <c r="CN23" s="37"/>
      <c r="CO23" s="37"/>
      <c r="CP23" s="37"/>
      <c r="CQ23" s="37"/>
      <c r="CR23" s="37"/>
      <c r="CS23" s="63"/>
      <c r="CT23" s="62"/>
      <c r="CU23" s="19"/>
    </row>
    <row r="24" spans="1:99" s="1" customFormat="1" x14ac:dyDescent="0.25">
      <c r="A24" s="92" t="s">
        <v>30</v>
      </c>
      <c r="B24" s="66">
        <f>IFERROR(VLOOKUP($A24,[1]!LOOKUP_MDAPs,B$3,FALSE)/$I24,"")</f>
        <v>1.5602780974842535E-2</v>
      </c>
      <c r="C24" s="66">
        <f>IFERROR(VLOOKUP($A24,[1]!LOOKUP_MDAPs,C$3,FALSE)/$I24,"")</f>
        <v>2.9561629050274449</v>
      </c>
      <c r="D24" s="66">
        <f>IFERROR(VLOOKUP($A24,[1]!LOOKUP_MDAPs,D$3,FALSE)/$I24,"")</f>
        <v>5.5868569089637412E-6</v>
      </c>
      <c r="E24" s="66">
        <f>IFERROR(VLOOKUP($A24,[1]!LOOKUP_MDAPs,E$3,FALSE)/$I24,"")</f>
        <v>5.381215118014479E-2</v>
      </c>
      <c r="F24" s="66">
        <f>IFERROR(VLOOKUP($A24,[1]!LOOKUP_MDAPs,F$3,FALSE)/$I24,"")</f>
        <v>0</v>
      </c>
      <c r="G24" s="66">
        <f>IFERROR(VLOOKUP($A24,[1]!LOOKUP_MDAPs,G$3,FALSE)/$I24,"")</f>
        <v>226.8305767434282</v>
      </c>
      <c r="H24" s="66">
        <f t="shared" si="28"/>
        <v>-228.85616016746755</v>
      </c>
      <c r="I24" s="65">
        <f>IFERROR(VLOOKUP($A24,[1]!LOOKUP_MDAPs,I$3,FALSE),"")</f>
        <v>3.9378134</v>
      </c>
      <c r="J24" s="64" t="e">
        <f>VLOOKUP($A24,[1]!LOOKUP_SARS_2009_Change_Breakdown,J$3,FALSE)+0</f>
        <v>#NAME?</v>
      </c>
      <c r="K24" s="64" t="e">
        <f>VLOOKUP($A24,[1]!LOOKUP_SARS_2009_Change_Breakdown,K$3,FALSE)+0</f>
        <v>#NAME?</v>
      </c>
      <c r="L24" s="64" t="e">
        <f>VLOOKUP($A24,[1]!LOOKUP_SARS_2009_Change_Breakdown,L$3,FALSE)+0</f>
        <v>#NAME?</v>
      </c>
      <c r="M24" s="64" t="e">
        <f>VLOOKUP($A24,[1]!LOOKUP_SARS_2009_Change_Breakdown,M$3,FALSE)+0</f>
        <v>#NAME?</v>
      </c>
      <c r="N24" s="64" t="e">
        <f>VLOOKUP($A24,[1]!LOOKUP_SARS_2009_Change_Breakdown,N$3,FALSE)+0</f>
        <v>#NAME?</v>
      </c>
      <c r="O24" s="64" t="e">
        <f>VLOOKUP($A24,[1]!LOOKUP_SARS_2009_Change_Breakdown,O$3,FALSE)+0</f>
        <v>#NAME?</v>
      </c>
      <c r="P24" s="64" t="e">
        <f>VLOOKUP($A24,[1]!LOOKUP_SARS_2009_Change_Breakdown,P$3,FALSE)+0</f>
        <v>#NAME?</v>
      </c>
      <c r="Q24" s="64" t="e">
        <f>VLOOKUP($A24,[1]!LOOKUP_SARS_2009_Change_Breakdown,Q$3,FALSE)+0</f>
        <v>#NAME?</v>
      </c>
      <c r="R24" s="26" t="e">
        <f>VLOOKUP($A24,[1]!LOOKUP_SARS_2009,R$3,FALSE)</f>
        <v>#NAME?</v>
      </c>
      <c r="S24" s="1" t="e">
        <f t="shared" si="22"/>
        <v>#NAME?</v>
      </c>
      <c r="U24" s="1" t="str">
        <f t="shared" si="41"/>
        <v>Partial -Multiple Bidders Unweighted</v>
      </c>
      <c r="W24" s="19" t="e">
        <f t="shared" si="42"/>
        <v>#NAME?</v>
      </c>
      <c r="X24" s="19" t="e">
        <f t="shared" si="43"/>
        <v>#NAME?</v>
      </c>
      <c r="Z24" s="19" t="e">
        <f t="shared" si="44"/>
        <v>#NAME?</v>
      </c>
      <c r="AA24" s="19" t="e">
        <f t="shared" si="45"/>
        <v>#NAME?</v>
      </c>
      <c r="AC24" s="19" t="e">
        <f t="shared" si="46"/>
        <v>#NAME?</v>
      </c>
      <c r="AD24" s="19" t="e">
        <f t="shared" si="47"/>
        <v>#NAME?</v>
      </c>
      <c r="AF24" s="19" t="e">
        <f t="shared" si="48"/>
        <v>#NAME?</v>
      </c>
      <c r="AG24" s="19" t="e">
        <f t="shared" si="49"/>
        <v>#NAME?</v>
      </c>
      <c r="AI24" s="19" t="e">
        <f t="shared" si="50"/>
        <v>#NAME?</v>
      </c>
      <c r="AJ24" s="19" t="e">
        <f t="shared" si="51"/>
        <v>#NAME?</v>
      </c>
      <c r="AL24" s="19" t="e">
        <f t="shared" si="52"/>
        <v>#NAME?</v>
      </c>
      <c r="AM24" s="19" t="e">
        <f t="shared" si="53"/>
        <v>#NAME?</v>
      </c>
      <c r="AO24" s="19" t="e">
        <f t="shared" si="54"/>
        <v>#NAME?</v>
      </c>
      <c r="AP24" s="19" t="e">
        <f t="shared" si="55"/>
        <v>#NAME?</v>
      </c>
      <c r="CK24" s="37"/>
      <c r="CL24" s="37"/>
      <c r="CM24" s="37"/>
      <c r="CN24" s="37"/>
      <c r="CO24" s="37"/>
      <c r="CP24" s="37"/>
      <c r="CQ24" s="37"/>
      <c r="CR24" s="37"/>
      <c r="CS24" s="63"/>
      <c r="CT24" s="62"/>
      <c r="CU24" s="19"/>
    </row>
    <row r="25" spans="1:99" s="1" customFormat="1" x14ac:dyDescent="0.25">
      <c r="A25" s="92" t="s">
        <v>176</v>
      </c>
      <c r="B25" s="66">
        <f>IFERROR(VLOOKUP($A25,[1]!LOOKUP_MDAPs,B$3,FALSE)/$I25,"")</f>
        <v>1.024237103127035</v>
      </c>
      <c r="C25" s="66">
        <f>IFERROR(VLOOKUP($A25,[1]!LOOKUP_MDAPs,C$3,FALSE)/$I25,"")</f>
        <v>7.0420261422399133E-3</v>
      </c>
      <c r="D25" s="66">
        <f>IFERROR(VLOOKUP($A25,[1]!LOOKUP_MDAPs,D$3,FALSE)/$I25,"")</f>
        <v>1.5120912640603093E-3</v>
      </c>
      <c r="E25" s="66">
        <f>IFERROR(VLOOKUP($A25,[1]!LOOKUP_MDAPs,E$3,FALSE)/$I25,"")</f>
        <v>0</v>
      </c>
      <c r="F25" s="66">
        <f>IFERROR(VLOOKUP($A25,[1]!LOOKUP_MDAPs,F$3,FALSE)/$I25,"")</f>
        <v>-1.8393933345306893E-3</v>
      </c>
      <c r="G25" s="66">
        <f>IFERROR(VLOOKUP($A25,[1]!LOOKUP_MDAPs,G$3,FALSE)/$I25,"")</f>
        <v>4.4471705574698532E-2</v>
      </c>
      <c r="H25" s="66">
        <f t="shared" si="28"/>
        <v>-7.542353277350311E-2</v>
      </c>
      <c r="I25" s="65">
        <f>IFERROR(VLOOKUP($A25,[1]!LOOKUP_MDAPs,I$3,FALSE),"")</f>
        <v>440.97365407000001</v>
      </c>
      <c r="J25" s="64" t="e">
        <f>VLOOKUP($A25,[1]!LOOKUP_SARS_2009_Change_Breakdown,J$3,FALSE)+0</f>
        <v>#NAME?</v>
      </c>
      <c r="K25" s="64" t="e">
        <f>VLOOKUP($A25,[1]!LOOKUP_SARS_2009_Change_Breakdown,K$3,FALSE)+0</f>
        <v>#NAME?</v>
      </c>
      <c r="L25" s="64" t="e">
        <f>VLOOKUP($A25,[1]!LOOKUP_SARS_2009_Change_Breakdown,L$3,FALSE)+0</f>
        <v>#NAME?</v>
      </c>
      <c r="M25" s="64" t="e">
        <f>VLOOKUP($A25,[1]!LOOKUP_SARS_2009_Change_Breakdown,M$3,FALSE)+0</f>
        <v>#NAME?</v>
      </c>
      <c r="N25" s="64" t="e">
        <f>VLOOKUP($A25,[1]!LOOKUP_SARS_2009_Change_Breakdown,N$3,FALSE)+0</f>
        <v>#NAME?</v>
      </c>
      <c r="O25" s="64" t="e">
        <f>VLOOKUP($A25,[1]!LOOKUP_SARS_2009_Change_Breakdown,O$3,FALSE)+0</f>
        <v>#NAME?</v>
      </c>
      <c r="P25" s="64" t="e">
        <f>VLOOKUP($A25,[1]!LOOKUP_SARS_2009_Change_Breakdown,P$3,FALSE)+0</f>
        <v>#NAME?</v>
      </c>
      <c r="Q25" s="64" t="e">
        <f>VLOOKUP($A25,[1]!LOOKUP_SARS_2009_Change_Breakdown,Q$3,FALSE)+0</f>
        <v>#NAME?</v>
      </c>
      <c r="R25" s="26" t="e">
        <f>VLOOKUP($A25,[1]!LOOKUP_SARS_2009,R$3,FALSE)</f>
        <v>#NAME?</v>
      </c>
      <c r="S25" s="1" t="e">
        <f t="shared" si="22"/>
        <v>#NAME?</v>
      </c>
      <c r="U25" s="1" t="str">
        <f t="shared" si="41"/>
        <v>Partial -Single Bidder Unweighted</v>
      </c>
      <c r="W25" s="19" t="e">
        <f t="shared" si="42"/>
        <v>#NAME?</v>
      </c>
      <c r="X25" s="19" t="e">
        <f t="shared" si="43"/>
        <v>#NAME?</v>
      </c>
      <c r="Z25" s="19" t="e">
        <f t="shared" si="44"/>
        <v>#NAME?</v>
      </c>
      <c r="AA25" s="19" t="e">
        <f t="shared" si="45"/>
        <v>#NAME?</v>
      </c>
      <c r="AC25" s="19" t="e">
        <f t="shared" si="46"/>
        <v>#NAME?</v>
      </c>
      <c r="AD25" s="19" t="e">
        <f t="shared" si="47"/>
        <v>#NAME?</v>
      </c>
      <c r="AF25" s="19" t="e">
        <f t="shared" si="48"/>
        <v>#NAME?</v>
      </c>
      <c r="AG25" s="19" t="e">
        <f t="shared" si="49"/>
        <v>#NAME?</v>
      </c>
      <c r="AI25" s="19" t="e">
        <f t="shared" si="50"/>
        <v>#NAME?</v>
      </c>
      <c r="AJ25" s="19" t="e">
        <f t="shared" si="51"/>
        <v>#NAME?</v>
      </c>
      <c r="AL25" s="19" t="e">
        <f t="shared" si="52"/>
        <v>#NAME?</v>
      </c>
      <c r="AM25" s="19" t="e">
        <f t="shared" si="53"/>
        <v>#NAME?</v>
      </c>
      <c r="AO25" s="19" t="e">
        <f t="shared" si="54"/>
        <v>#NAME?</v>
      </c>
      <c r="AP25" s="19" t="e">
        <f t="shared" si="55"/>
        <v>#NAME?</v>
      </c>
      <c r="CK25" s="37"/>
      <c r="CL25" s="37"/>
      <c r="CM25" s="37"/>
      <c r="CN25" s="37"/>
      <c r="CO25" s="37"/>
      <c r="CP25" s="37"/>
      <c r="CQ25" s="37"/>
      <c r="CR25" s="37"/>
      <c r="CS25" s="63"/>
      <c r="CT25" s="62"/>
      <c r="CU25" s="19"/>
    </row>
    <row r="26" spans="1:99" s="1" customFormat="1" x14ac:dyDescent="0.25">
      <c r="A26" s="92" t="s">
        <v>28</v>
      </c>
      <c r="B26" s="66">
        <f>IFERROR(VLOOKUP($A26,[1]!LOOKUP_MDAPs,B$3,FALSE)/$I26,"")</f>
        <v>7.7095253917777837</v>
      </c>
      <c r="C26" s="66">
        <f>IFERROR(VLOOKUP($A26,[1]!LOOKUP_MDAPs,C$3,FALSE)/$I26,"")</f>
        <v>1.2019462506695078</v>
      </c>
      <c r="D26" s="66">
        <f>IFERROR(VLOOKUP($A26,[1]!LOOKUP_MDAPs,D$3,FALSE)/$I26,"")</f>
        <v>0.76273117508942723</v>
      </c>
      <c r="E26" s="66">
        <f>IFERROR(VLOOKUP($A26,[1]!LOOKUP_MDAPs,E$3,FALSE)/$I26,"")</f>
        <v>8.4502891905864491E-2</v>
      </c>
      <c r="F26" s="66">
        <f>IFERROR(VLOOKUP($A26,[1]!LOOKUP_MDAPs,F$3,FALSE)/$I26,"")</f>
        <v>0</v>
      </c>
      <c r="G26" s="66">
        <f>IFERROR(VLOOKUP($A26,[1]!LOOKUP_MDAPs,G$3,FALSE)/$I26,"")</f>
        <v>40.727597668755955</v>
      </c>
      <c r="H26" s="66">
        <f t="shared" si="28"/>
        <v>-49.486303378198542</v>
      </c>
      <c r="I26" s="65">
        <f>IFERROR(VLOOKUP($A26,[1]!LOOKUP_MDAPs,I$3,FALSE),"")</f>
        <v>5.6390320999999997</v>
      </c>
      <c r="J26" s="64" t="e">
        <f>VLOOKUP($A26,[1]!LOOKUP_SARS_2009_Change_Breakdown,J$3,FALSE)+0</f>
        <v>#NAME?</v>
      </c>
      <c r="K26" s="64" t="e">
        <f>VLOOKUP($A26,[1]!LOOKUP_SARS_2009_Change_Breakdown,K$3,FALSE)+0</f>
        <v>#NAME?</v>
      </c>
      <c r="L26" s="64" t="e">
        <f>VLOOKUP($A26,[1]!LOOKUP_SARS_2009_Change_Breakdown,L$3,FALSE)+0</f>
        <v>#NAME?</v>
      </c>
      <c r="M26" s="64" t="e">
        <f>VLOOKUP($A26,[1]!LOOKUP_SARS_2009_Change_Breakdown,M$3,FALSE)+0</f>
        <v>#NAME?</v>
      </c>
      <c r="N26" s="64" t="e">
        <f>VLOOKUP($A26,[1]!LOOKUP_SARS_2009_Change_Breakdown,N$3,FALSE)+0</f>
        <v>#NAME?</v>
      </c>
      <c r="O26" s="64" t="e">
        <f>VLOOKUP($A26,[1]!LOOKUP_SARS_2009_Change_Breakdown,O$3,FALSE)+0</f>
        <v>#NAME?</v>
      </c>
      <c r="P26" s="64" t="e">
        <f>VLOOKUP($A26,[1]!LOOKUP_SARS_2009_Change_Breakdown,P$3,FALSE)+0</f>
        <v>#NAME?</v>
      </c>
      <c r="Q26" s="64" t="e">
        <f>VLOOKUP($A26,[1]!LOOKUP_SARS_2009_Change_Breakdown,Q$3,FALSE)+0</f>
        <v>#NAME?</v>
      </c>
      <c r="R26" s="26" t="e">
        <f>VLOOKUP($A26,[1]!LOOKUP_SARS_2009,R$3,FALSE)</f>
        <v>#NAME?</v>
      </c>
      <c r="S26" s="1" t="e">
        <f t="shared" si="22"/>
        <v>#NAME?</v>
      </c>
      <c r="U26" s="1" t="str">
        <f t="shared" si="41"/>
        <v>Follow-On Unweighted</v>
      </c>
      <c r="W26" s="19" t="e">
        <f t="shared" si="42"/>
        <v>#NAME?</v>
      </c>
      <c r="X26" s="19" t="e">
        <f t="shared" si="43"/>
        <v>#NAME?</v>
      </c>
      <c r="Z26" s="19" t="e">
        <f t="shared" si="44"/>
        <v>#NAME?</v>
      </c>
      <c r="AA26" s="19" t="e">
        <f t="shared" si="45"/>
        <v>#NAME?</v>
      </c>
      <c r="AC26" s="19" t="e">
        <f t="shared" si="46"/>
        <v>#NAME?</v>
      </c>
      <c r="AD26" s="19" t="e">
        <f t="shared" si="47"/>
        <v>#NAME?</v>
      </c>
      <c r="AF26" s="19" t="e">
        <f t="shared" si="48"/>
        <v>#NAME?</v>
      </c>
      <c r="AG26" s="19" t="e">
        <f t="shared" si="49"/>
        <v>#NAME?</v>
      </c>
      <c r="AI26" s="19" t="e">
        <f t="shared" si="50"/>
        <v>#NAME?</v>
      </c>
      <c r="AJ26" s="19" t="e">
        <f t="shared" si="51"/>
        <v>#NAME?</v>
      </c>
      <c r="AL26" s="19" t="e">
        <f t="shared" si="52"/>
        <v>#NAME?</v>
      </c>
      <c r="AM26" s="19" t="e">
        <f t="shared" si="53"/>
        <v>#NAME?</v>
      </c>
      <c r="AO26" s="19" t="e">
        <f t="shared" si="54"/>
        <v>#NAME?</v>
      </c>
      <c r="AP26" s="19" t="e">
        <f t="shared" si="55"/>
        <v>#NAME?</v>
      </c>
      <c r="CK26" s="37"/>
      <c r="CL26" s="37"/>
      <c r="CM26" s="37"/>
      <c r="CN26" s="37"/>
      <c r="CO26" s="37"/>
      <c r="CP26" s="37"/>
      <c r="CQ26" s="37"/>
      <c r="CR26" s="37"/>
      <c r="CS26" s="63"/>
      <c r="CT26" s="62"/>
      <c r="CU26" s="19"/>
    </row>
    <row r="27" spans="1:99" s="1" customFormat="1" x14ac:dyDescent="0.25">
      <c r="A27" s="92" t="s">
        <v>19</v>
      </c>
      <c r="B27" s="66">
        <f>IFERROR(VLOOKUP($A27,[1]!LOOKUP_MDAPs,B$3,FALSE)/$I27,"")</f>
        <v>1.9165863561074805</v>
      </c>
      <c r="C27" s="66">
        <f>IFERROR(VLOOKUP($A27,[1]!LOOKUP_MDAPs,C$3,FALSE)/$I27,"")</f>
        <v>0.17284255791218642</v>
      </c>
      <c r="D27" s="66">
        <f>IFERROR(VLOOKUP($A27,[1]!LOOKUP_MDAPs,D$3,FALSE)/$I27,"")</f>
        <v>4.7095889756868375E-2</v>
      </c>
      <c r="E27" s="66">
        <f>IFERROR(VLOOKUP($A27,[1]!LOOKUP_MDAPs,E$3,FALSE)/$I27,"")</f>
        <v>2.3950316400848336E-2</v>
      </c>
      <c r="F27" s="66">
        <f>IFERROR(VLOOKUP($A27,[1]!LOOKUP_MDAPs,F$3,FALSE)/$I27,"")</f>
        <v>0.853936250279132</v>
      </c>
      <c r="G27" s="66">
        <f>IFERROR(VLOOKUP($A27,[1]!LOOKUP_MDAPs,G$3,FALSE)/$I27,"")</f>
        <v>17.906538689806837</v>
      </c>
      <c r="H27" s="66">
        <f t="shared" si="28"/>
        <v>-19.920950060263351</v>
      </c>
      <c r="I27" s="65">
        <f>IFERROR(VLOOKUP($A27,[1]!LOOKUP_MDAPs,I$3,FALSE),"")</f>
        <v>268.58583169999997</v>
      </c>
      <c r="J27" s="64" t="e">
        <f>VLOOKUP($A27,[1]!LOOKUP_SARS_2009_Change_Breakdown,J$3,FALSE)+0</f>
        <v>#NAME?</v>
      </c>
      <c r="K27" s="64" t="e">
        <f>VLOOKUP($A27,[1]!LOOKUP_SARS_2009_Change_Breakdown,K$3,FALSE)+0</f>
        <v>#NAME?</v>
      </c>
      <c r="L27" s="64" t="e">
        <f>VLOOKUP($A27,[1]!LOOKUP_SARS_2009_Change_Breakdown,L$3,FALSE)+0</f>
        <v>#NAME?</v>
      </c>
      <c r="M27" s="64" t="e">
        <f>VLOOKUP($A27,[1]!LOOKUP_SARS_2009_Change_Breakdown,M$3,FALSE)+0</f>
        <v>#NAME?</v>
      </c>
      <c r="N27" s="64" t="e">
        <f>VLOOKUP($A27,[1]!LOOKUP_SARS_2009_Change_Breakdown,N$3,FALSE)+0</f>
        <v>#NAME?</v>
      </c>
      <c r="O27" s="64" t="e">
        <f>VLOOKUP($A27,[1]!LOOKUP_SARS_2009_Change_Breakdown,O$3,FALSE)+0</f>
        <v>#NAME?</v>
      </c>
      <c r="P27" s="64" t="e">
        <f>VLOOKUP($A27,[1]!LOOKUP_SARS_2009_Change_Breakdown,P$3,FALSE)+0</f>
        <v>#NAME?</v>
      </c>
      <c r="Q27" s="64" t="e">
        <f>VLOOKUP($A27,[1]!LOOKUP_SARS_2009_Change_Breakdown,Q$3,FALSE)+0</f>
        <v>#NAME?</v>
      </c>
      <c r="R27" s="26" t="e">
        <f>VLOOKUP($A27,[1]!LOOKUP_SARS_2009,R$3,FALSE)</f>
        <v>#NAME?</v>
      </c>
      <c r="S27" s="1" t="e">
        <f t="shared" si="22"/>
        <v>#NAME?</v>
      </c>
      <c r="U27" s="1" t="str">
        <f t="shared" si="41"/>
        <v>None Unweighted</v>
      </c>
      <c r="W27" s="19" t="e">
        <f t="shared" si="42"/>
        <v>#NAME?</v>
      </c>
      <c r="X27" s="19" t="e">
        <f t="shared" si="43"/>
        <v>#NAME?</v>
      </c>
      <c r="Z27" s="19" t="e">
        <f t="shared" si="44"/>
        <v>#NAME?</v>
      </c>
      <c r="AA27" s="19" t="e">
        <f t="shared" si="45"/>
        <v>#NAME?</v>
      </c>
      <c r="AC27" s="19" t="e">
        <f t="shared" si="46"/>
        <v>#NAME?</v>
      </c>
      <c r="AD27" s="19" t="e">
        <f t="shared" si="47"/>
        <v>#NAME?</v>
      </c>
      <c r="AF27" s="19" t="e">
        <f t="shared" si="48"/>
        <v>#NAME?</v>
      </c>
      <c r="AG27" s="19" t="e">
        <f t="shared" si="49"/>
        <v>#NAME?</v>
      </c>
      <c r="AI27" s="19" t="e">
        <f t="shared" si="50"/>
        <v>#NAME?</v>
      </c>
      <c r="AJ27" s="19" t="e">
        <f t="shared" si="51"/>
        <v>#NAME?</v>
      </c>
      <c r="AL27" s="19" t="e">
        <f t="shared" si="52"/>
        <v>#NAME?</v>
      </c>
      <c r="AM27" s="19" t="e">
        <f t="shared" si="53"/>
        <v>#NAME?</v>
      </c>
      <c r="AO27" s="19" t="e">
        <f t="shared" si="54"/>
        <v>#NAME?</v>
      </c>
      <c r="AP27" s="19" t="e">
        <f t="shared" si="55"/>
        <v>#NAME?</v>
      </c>
      <c r="CK27" s="37"/>
      <c r="CL27" s="37"/>
      <c r="CM27" s="37"/>
      <c r="CN27" s="37"/>
      <c r="CO27" s="37"/>
      <c r="CP27" s="37"/>
      <c r="CQ27" s="37"/>
      <c r="CR27" s="37"/>
      <c r="CS27" s="63"/>
      <c r="CT27" s="62"/>
      <c r="CU27" s="19"/>
    </row>
    <row r="28" spans="1:99" s="1" customFormat="1" x14ac:dyDescent="0.25">
      <c r="A28" s="92" t="s">
        <v>24</v>
      </c>
      <c r="B28" s="66">
        <f>IFERROR(VLOOKUP($A28,[1]!LOOKUP_MDAPs,B$3,FALSE)/$I28,"")</f>
        <v>10.74461336767602</v>
      </c>
      <c r="C28" s="66">
        <f>IFERROR(VLOOKUP($A28,[1]!LOOKUP_MDAPs,C$3,FALSE)/$I28,"")</f>
        <v>9.1784292368895972</v>
      </c>
      <c r="D28" s="66">
        <f>IFERROR(VLOOKUP($A28,[1]!LOOKUP_MDAPs,D$3,FALSE)/$I28,"")</f>
        <v>0.14993852426313092</v>
      </c>
      <c r="E28" s="66">
        <f>IFERROR(VLOOKUP($A28,[1]!LOOKUP_MDAPs,E$3,FALSE)/$I28,"")</f>
        <v>0.27401474377007801</v>
      </c>
      <c r="F28" s="66">
        <f>IFERROR(VLOOKUP($A28,[1]!LOOKUP_MDAPs,F$3,FALSE)/$I28,"")</f>
        <v>-4.782394065725705E-2</v>
      </c>
      <c r="G28" s="66">
        <f>IFERROR(VLOOKUP($A28,[1]!LOOKUP_MDAPs,G$3,FALSE)/$I28,"")</f>
        <v>92.795885902661297</v>
      </c>
      <c r="H28" s="66">
        <f t="shared" si="28"/>
        <v>-112.09505783460287</v>
      </c>
      <c r="I28" s="65">
        <f>IFERROR(VLOOKUP($A28,[1]!LOOKUP_MDAPs,I$3,FALSE),"")</f>
        <v>161.80812149000002</v>
      </c>
      <c r="J28" s="64" t="e">
        <f>VLOOKUP($A28,[1]!LOOKUP_SARS_2009_Change_Breakdown,J$3,FALSE)+0</f>
        <v>#NAME?</v>
      </c>
      <c r="K28" s="64" t="e">
        <f>VLOOKUP($A28,[1]!LOOKUP_SARS_2009_Change_Breakdown,K$3,FALSE)+0</f>
        <v>#NAME?</v>
      </c>
      <c r="L28" s="64" t="e">
        <f>VLOOKUP($A28,[1]!LOOKUP_SARS_2009_Change_Breakdown,L$3,FALSE)+0</f>
        <v>#NAME?</v>
      </c>
      <c r="M28" s="64" t="e">
        <f>VLOOKUP($A28,[1]!LOOKUP_SARS_2009_Change_Breakdown,M$3,FALSE)+0</f>
        <v>#NAME?</v>
      </c>
      <c r="N28" s="64" t="e">
        <f>VLOOKUP($A28,[1]!LOOKUP_SARS_2009_Change_Breakdown,N$3,FALSE)+0</f>
        <v>#NAME?</v>
      </c>
      <c r="O28" s="64" t="e">
        <f>VLOOKUP($A28,[1]!LOOKUP_SARS_2009_Change_Breakdown,O$3,FALSE)+0</f>
        <v>#NAME?</v>
      </c>
      <c r="P28" s="64" t="e">
        <f>VLOOKUP($A28,[1]!LOOKUP_SARS_2009_Change_Breakdown,P$3,FALSE)+0</f>
        <v>#NAME?</v>
      </c>
      <c r="Q28" s="64" t="e">
        <f>VLOOKUP($A28,[1]!LOOKUP_SARS_2009_Change_Breakdown,Q$3,FALSE)+0</f>
        <v>#NAME?</v>
      </c>
      <c r="R28" s="26" t="e">
        <f>VLOOKUP($A28,[1]!LOOKUP_SARS_2009,R$3,FALSE)</f>
        <v>#NAME?</v>
      </c>
      <c r="S28" s="1" t="e">
        <f t="shared" si="22"/>
        <v>#NAME?</v>
      </c>
      <c r="U28" s="1" t="str">
        <f t="shared" si="41"/>
        <v>Unclear Competition Unweighted</v>
      </c>
      <c r="W28" s="19" t="e">
        <f t="shared" si="42"/>
        <v>#NAME?</v>
      </c>
      <c r="X28" s="19" t="e">
        <f t="shared" si="43"/>
        <v>#NAME?</v>
      </c>
      <c r="Z28" s="19" t="e">
        <f t="shared" si="44"/>
        <v>#NAME?</v>
      </c>
      <c r="AA28" s="19" t="e">
        <f t="shared" si="45"/>
        <v>#NAME?</v>
      </c>
      <c r="AC28" s="19" t="e">
        <f t="shared" si="46"/>
        <v>#NAME?</v>
      </c>
      <c r="AD28" s="19" t="e">
        <f t="shared" si="47"/>
        <v>#NAME?</v>
      </c>
      <c r="AF28" s="19" t="e">
        <f t="shared" si="48"/>
        <v>#NAME?</v>
      </c>
      <c r="AG28" s="19" t="e">
        <f t="shared" si="49"/>
        <v>#NAME?</v>
      </c>
      <c r="AI28" s="19" t="e">
        <f t="shared" si="50"/>
        <v>#NAME?</v>
      </c>
      <c r="AJ28" s="19" t="e">
        <f t="shared" si="51"/>
        <v>#NAME?</v>
      </c>
      <c r="AL28" s="19" t="e">
        <f t="shared" si="52"/>
        <v>#NAME?</v>
      </c>
      <c r="AM28" s="19" t="e">
        <f t="shared" si="53"/>
        <v>#NAME?</v>
      </c>
      <c r="AO28" s="19" t="e">
        <f t="shared" si="54"/>
        <v>#NAME?</v>
      </c>
      <c r="AP28" s="19" t="e">
        <f t="shared" si="55"/>
        <v>#NAME?</v>
      </c>
      <c r="CK28" s="37"/>
      <c r="CL28" s="37"/>
      <c r="CM28" s="37"/>
      <c r="CN28" s="37"/>
      <c r="CO28" s="37"/>
      <c r="CP28" s="37"/>
      <c r="CQ28" s="37"/>
      <c r="CR28" s="37"/>
      <c r="CS28" s="63"/>
      <c r="CT28" s="62"/>
      <c r="CU28" s="19"/>
    </row>
    <row r="29" spans="1:99" s="1" customFormat="1" x14ac:dyDescent="0.25">
      <c r="A29" s="92" t="s">
        <v>27</v>
      </c>
      <c r="B29" s="66">
        <f>IFERROR(VLOOKUP($A29,[1]!LOOKUP_MDAPs,B$3,FALSE)/$I29,"")</f>
        <v>5.2382625679121544</v>
      </c>
      <c r="C29" s="66">
        <f>IFERROR(VLOOKUP($A29,[1]!LOOKUP_MDAPs,C$3,FALSE)/$I29,"")</f>
        <v>8.1065347714556035E-2</v>
      </c>
      <c r="D29" s="66">
        <f>IFERROR(VLOOKUP($A29,[1]!LOOKUP_MDAPs,D$3,FALSE)/$I29,"")</f>
        <v>0.15333636895419137</v>
      </c>
      <c r="E29" s="66">
        <f>IFERROR(VLOOKUP($A29,[1]!LOOKUP_MDAPs,E$3,FALSE)/$I29,"")</f>
        <v>1.1478062963463403E-2</v>
      </c>
      <c r="F29" s="66">
        <f>IFERROR(VLOOKUP($A29,[1]!LOOKUP_MDAPs,F$3,FALSE)/$I29,"")</f>
        <v>0</v>
      </c>
      <c r="G29" s="66">
        <f>IFERROR(VLOOKUP($A29,[1]!LOOKUP_MDAPs,G$3,FALSE)/$I29,"")</f>
        <v>90.858207067077572</v>
      </c>
      <c r="H29" s="66">
        <f t="shared" si="28"/>
        <v>-95.342349414621935</v>
      </c>
      <c r="I29" s="65">
        <f>IFERROR(VLOOKUP($A29,[1]!LOOKUP_MDAPs,I$3,FALSE),"")</f>
        <v>8.3849513900000012</v>
      </c>
      <c r="J29" s="64" t="e">
        <f>VLOOKUP($A29,[1]!LOOKUP_SARS_2009_Change_Breakdown,J$3,FALSE)+0</f>
        <v>#NAME?</v>
      </c>
      <c r="K29" s="64" t="e">
        <f>VLOOKUP($A29,[1]!LOOKUP_SARS_2009_Change_Breakdown,K$3,FALSE)+0</f>
        <v>#NAME?</v>
      </c>
      <c r="L29" s="64" t="e">
        <f>VLOOKUP($A29,[1]!LOOKUP_SARS_2009_Change_Breakdown,L$3,FALSE)+0</f>
        <v>#NAME?</v>
      </c>
      <c r="M29" s="64" t="e">
        <f>VLOOKUP($A29,[1]!LOOKUP_SARS_2009_Change_Breakdown,M$3,FALSE)+0</f>
        <v>#NAME?</v>
      </c>
      <c r="N29" s="64" t="e">
        <f>VLOOKUP($A29,[1]!LOOKUP_SARS_2009_Change_Breakdown,N$3,FALSE)+0</f>
        <v>#NAME?</v>
      </c>
      <c r="O29" s="64" t="e">
        <f>VLOOKUP($A29,[1]!LOOKUP_SARS_2009_Change_Breakdown,O$3,FALSE)+0</f>
        <v>#NAME?</v>
      </c>
      <c r="P29" s="64" t="e">
        <f>VLOOKUP($A29,[1]!LOOKUP_SARS_2009_Change_Breakdown,P$3,FALSE)+0</f>
        <v>#NAME?</v>
      </c>
      <c r="Q29" s="64" t="e">
        <f>VLOOKUP($A29,[1]!LOOKUP_SARS_2009_Change_Breakdown,Q$3,FALSE)+0</f>
        <v>#NAME?</v>
      </c>
      <c r="R29" s="26" t="e">
        <f>VLOOKUP($A29,[1]!LOOKUP_SARS_2009,R$3,FALSE)</f>
        <v>#NAME?</v>
      </c>
      <c r="S29" s="1" t="e">
        <f t="shared" si="22"/>
        <v>#NAME?</v>
      </c>
      <c r="CK29" s="37"/>
      <c r="CL29" s="37"/>
      <c r="CM29" s="37"/>
      <c r="CN29" s="37"/>
      <c r="CO29" s="37"/>
      <c r="CP29" s="37"/>
      <c r="CQ29" s="37"/>
      <c r="CR29" s="37"/>
      <c r="CS29" s="63"/>
      <c r="CT29" s="62"/>
      <c r="CU29" s="19"/>
    </row>
    <row r="30" spans="1:99" s="1" customFormat="1" x14ac:dyDescent="0.25">
      <c r="A30" s="92" t="s">
        <v>31</v>
      </c>
      <c r="B30" s="66" t="str">
        <f>IFERROR(VLOOKUP($A30,[1]!LOOKUP_MDAPs,B$3,FALSE)/$I30,"")</f>
        <v/>
      </c>
      <c r="C30" s="66" t="str">
        <f>IFERROR(VLOOKUP($A30,[1]!LOOKUP_MDAPs,C$3,FALSE)/$I30,"")</f>
        <v/>
      </c>
      <c r="D30" s="66" t="str">
        <f>IFERROR(VLOOKUP($A30,[1]!LOOKUP_MDAPs,D$3,FALSE)/$I30,"")</f>
        <v/>
      </c>
      <c r="E30" s="66" t="str">
        <f>IFERROR(VLOOKUP($A30,[1]!LOOKUP_MDAPs,E$3,FALSE)/$I30,"")</f>
        <v/>
      </c>
      <c r="F30" s="66" t="str">
        <f>IFERROR(VLOOKUP($A30,[1]!LOOKUP_MDAPs,F$3,FALSE)/$I30,"")</f>
        <v/>
      </c>
      <c r="G30" s="66" t="str">
        <f>IFERROR(VLOOKUP($A30,[1]!LOOKUP_MDAPs,G$3,FALSE)/$I30,"")</f>
        <v/>
      </c>
      <c r="H30" s="66">
        <f t="shared" si="28"/>
        <v>1</v>
      </c>
      <c r="I30" s="65" t="str">
        <f>IFERROR(VLOOKUP($A30,[1]!LOOKUP_MDAPs,I$3,FALSE),"")</f>
        <v/>
      </c>
      <c r="J30" s="64" t="e">
        <f>VLOOKUP($A30,[1]!LOOKUP_SARS_2009_Change_Breakdown,J$3,FALSE)+0</f>
        <v>#NAME?</v>
      </c>
      <c r="K30" s="64" t="e">
        <f>VLOOKUP($A30,[1]!LOOKUP_SARS_2009_Change_Breakdown,K$3,FALSE)+0</f>
        <v>#NAME?</v>
      </c>
      <c r="L30" s="64" t="e">
        <f>VLOOKUP($A30,[1]!LOOKUP_SARS_2009_Change_Breakdown,L$3,FALSE)+0</f>
        <v>#NAME?</v>
      </c>
      <c r="M30" s="64" t="e">
        <f>VLOOKUP($A30,[1]!LOOKUP_SARS_2009_Change_Breakdown,M$3,FALSE)+0</f>
        <v>#NAME?</v>
      </c>
      <c r="N30" s="64" t="e">
        <f>VLOOKUP($A30,[1]!LOOKUP_SARS_2009_Change_Breakdown,N$3,FALSE)+0</f>
        <v>#NAME?</v>
      </c>
      <c r="O30" s="64" t="e">
        <f>VLOOKUP($A30,[1]!LOOKUP_SARS_2009_Change_Breakdown,O$3,FALSE)+0</f>
        <v>#NAME?</v>
      </c>
      <c r="P30" s="64" t="e">
        <f>VLOOKUP($A30,[1]!LOOKUP_SARS_2009_Change_Breakdown,P$3,FALSE)+0</f>
        <v>#NAME?</v>
      </c>
      <c r="Q30" s="64" t="e">
        <f>VLOOKUP($A30,[1]!LOOKUP_SARS_2009_Change_Breakdown,Q$3,FALSE)+0</f>
        <v>#NAME?</v>
      </c>
      <c r="R30" s="26" t="e">
        <f>VLOOKUP($A30,[1]!LOOKUP_SARS_2009,R$3,FALSE)</f>
        <v>#NAME?</v>
      </c>
      <c r="S30" s="1" t="e">
        <f t="shared" si="22"/>
        <v>#NAME?</v>
      </c>
      <c r="CK30" s="37"/>
      <c r="CL30" s="37"/>
      <c r="CM30" s="37"/>
      <c r="CN30" s="37"/>
      <c r="CO30" s="37"/>
      <c r="CP30" s="37"/>
      <c r="CQ30" s="37"/>
      <c r="CR30" s="37"/>
      <c r="CS30" s="63"/>
      <c r="CT30" s="62"/>
      <c r="CU30" s="19"/>
    </row>
    <row r="31" spans="1:99" s="1" customFormat="1" x14ac:dyDescent="0.25">
      <c r="A31" s="92" t="s">
        <v>16</v>
      </c>
      <c r="B31" s="66">
        <f>IFERROR(VLOOKUP($A31,[1]!LOOKUP_MDAPs,B$3,FALSE)/$I31,"")</f>
        <v>26.149283885992944</v>
      </c>
      <c r="C31" s="66">
        <f>IFERROR(VLOOKUP($A31,[1]!LOOKUP_MDAPs,C$3,FALSE)/$I31,"")</f>
        <v>14.042422444968661</v>
      </c>
      <c r="D31" s="66">
        <f>IFERROR(VLOOKUP($A31,[1]!LOOKUP_MDAPs,D$3,FALSE)/$I31,"")</f>
        <v>0.21422066111410273</v>
      </c>
      <c r="E31" s="66">
        <f>IFERROR(VLOOKUP($A31,[1]!LOOKUP_MDAPs,E$3,FALSE)/$I31,"")</f>
        <v>15.20811126266616</v>
      </c>
      <c r="F31" s="66">
        <f>IFERROR(VLOOKUP($A31,[1]!LOOKUP_MDAPs,F$3,FALSE)/$I31,"")</f>
        <v>0</v>
      </c>
      <c r="G31" s="66">
        <f>IFERROR(VLOOKUP($A31,[1]!LOOKUP_MDAPs,G$3,FALSE)/$I31,"")</f>
        <v>66.632743270910268</v>
      </c>
      <c r="H31" s="66">
        <f t="shared" si="28"/>
        <v>-121.24678152565214</v>
      </c>
      <c r="I31" s="65">
        <f>IFERROR(VLOOKUP($A31,[1]!LOOKUP_MDAPs,I$3,FALSE),"")</f>
        <v>3.6583700000000001</v>
      </c>
      <c r="J31" s="64" t="e">
        <f>VLOOKUP($A31,[1]!LOOKUP_SARS_2009_Change_Breakdown,J$3,FALSE)+0</f>
        <v>#NAME?</v>
      </c>
      <c r="K31" s="64" t="e">
        <f>VLOOKUP($A31,[1]!LOOKUP_SARS_2009_Change_Breakdown,K$3,FALSE)+0</f>
        <v>#NAME?</v>
      </c>
      <c r="L31" s="64" t="e">
        <f>VLOOKUP($A31,[1]!LOOKUP_SARS_2009_Change_Breakdown,L$3,FALSE)+0</f>
        <v>#NAME?</v>
      </c>
      <c r="M31" s="64" t="e">
        <f>VLOOKUP($A31,[1]!LOOKUP_SARS_2009_Change_Breakdown,M$3,FALSE)+0</f>
        <v>#NAME?</v>
      </c>
      <c r="N31" s="64" t="e">
        <f>VLOOKUP($A31,[1]!LOOKUP_SARS_2009_Change_Breakdown,N$3,FALSE)+0</f>
        <v>#NAME?</v>
      </c>
      <c r="O31" s="64" t="e">
        <f>VLOOKUP($A31,[1]!LOOKUP_SARS_2009_Change_Breakdown,O$3,FALSE)+0</f>
        <v>#NAME?</v>
      </c>
      <c r="P31" s="64" t="e">
        <f>VLOOKUP($A31,[1]!LOOKUP_SARS_2009_Change_Breakdown,P$3,FALSE)+0</f>
        <v>#NAME?</v>
      </c>
      <c r="Q31" s="64" t="e">
        <f>VLOOKUP($A31,[1]!LOOKUP_SARS_2009_Change_Breakdown,Q$3,FALSE)+0</f>
        <v>#NAME?</v>
      </c>
      <c r="R31" s="26" t="e">
        <f>VLOOKUP($A31,[1]!LOOKUP_SARS_2009,R$3,FALSE)</f>
        <v>#NAME?</v>
      </c>
      <c r="S31" s="1" t="e">
        <f t="shared" si="22"/>
        <v>#NAME?</v>
      </c>
      <c r="CK31" s="37"/>
      <c r="CL31" s="37"/>
      <c r="CM31" s="37"/>
      <c r="CN31" s="37"/>
      <c r="CO31" s="37"/>
      <c r="CP31" s="37"/>
      <c r="CQ31" s="37"/>
      <c r="CR31" s="37"/>
      <c r="CS31" s="63"/>
      <c r="CT31" s="62"/>
      <c r="CU31" s="19"/>
    </row>
    <row r="32" spans="1:99" s="1" customFormat="1" x14ac:dyDescent="0.25">
      <c r="A32" s="92" t="s">
        <v>22</v>
      </c>
      <c r="B32" s="66">
        <f>IFERROR(VLOOKUP($A32,[1]!LOOKUP_MDAPs,B$3,FALSE)/$I32,"")</f>
        <v>-2.7907852450705297</v>
      </c>
      <c r="C32" s="66">
        <f>IFERROR(VLOOKUP($A32,[1]!LOOKUP_MDAPs,C$3,FALSE)/$I32,"")</f>
        <v>-9.6289431471796778</v>
      </c>
      <c r="D32" s="66">
        <f>IFERROR(VLOOKUP($A32,[1]!LOOKUP_MDAPs,D$3,FALSE)/$I32,"")</f>
        <v>-88.305562007990531</v>
      </c>
      <c r="E32" s="66">
        <f>IFERROR(VLOOKUP($A32,[1]!LOOKUP_MDAPs,E$3,FALSE)/$I32,"")</f>
        <v>-2.3514010007600135</v>
      </c>
      <c r="F32" s="66">
        <f>IFERROR(VLOOKUP($A32,[1]!LOOKUP_MDAPs,F$3,FALSE)/$I32,"")</f>
        <v>0.20571157977116447</v>
      </c>
      <c r="G32" s="66">
        <f>IFERROR(VLOOKUP($A32,[1]!LOOKUP_MDAPs,G$3,FALSE)/$I32,"")</f>
        <v>-8978.7760356564777</v>
      </c>
      <c r="H32" s="66">
        <f t="shared" si="28"/>
        <v>9082.6470154777071</v>
      </c>
      <c r="I32" s="65">
        <f>IFERROR(VLOOKUP($A32,[1]!LOOKUP_MDAPs,I$3,FALSE),"")</f>
        <v>-1.1065590000000001</v>
      </c>
      <c r="J32" s="64" t="e">
        <f>VLOOKUP($A32,[1]!LOOKUP_SARS_2009_Change_Breakdown,J$3,FALSE)+0</f>
        <v>#NAME?</v>
      </c>
      <c r="K32" s="64" t="e">
        <f>VLOOKUP($A32,[1]!LOOKUP_SARS_2009_Change_Breakdown,K$3,FALSE)+0</f>
        <v>#NAME?</v>
      </c>
      <c r="L32" s="64" t="e">
        <f>VLOOKUP($A32,[1]!LOOKUP_SARS_2009_Change_Breakdown,L$3,FALSE)+0</f>
        <v>#NAME?</v>
      </c>
      <c r="M32" s="64" t="e">
        <f>VLOOKUP($A32,[1]!LOOKUP_SARS_2009_Change_Breakdown,M$3,FALSE)+0</f>
        <v>#NAME?</v>
      </c>
      <c r="N32" s="64" t="e">
        <f>VLOOKUP($A32,[1]!LOOKUP_SARS_2009_Change_Breakdown,N$3,FALSE)+0</f>
        <v>#NAME?</v>
      </c>
      <c r="O32" s="64" t="e">
        <f>VLOOKUP($A32,[1]!LOOKUP_SARS_2009_Change_Breakdown,O$3,FALSE)+0</f>
        <v>#NAME?</v>
      </c>
      <c r="P32" s="64" t="e">
        <f>VLOOKUP($A32,[1]!LOOKUP_SARS_2009_Change_Breakdown,P$3,FALSE)+0</f>
        <v>#NAME?</v>
      </c>
      <c r="Q32" s="64" t="e">
        <f>VLOOKUP($A32,[1]!LOOKUP_SARS_2009_Change_Breakdown,Q$3,FALSE)+0</f>
        <v>#NAME?</v>
      </c>
      <c r="R32" s="26" t="e">
        <f>VLOOKUP($A32,[1]!LOOKUP_SARS_2009,R$3,FALSE)</f>
        <v>#NAME?</v>
      </c>
      <c r="S32" s="1" t="e">
        <f t="shared" si="22"/>
        <v>#NAME?</v>
      </c>
      <c r="CK32" s="37"/>
      <c r="CL32" s="37"/>
      <c r="CM32" s="37"/>
      <c r="CN32" s="37"/>
      <c r="CO32" s="37"/>
      <c r="CP32" s="37"/>
      <c r="CQ32" s="37"/>
      <c r="CR32" s="37"/>
      <c r="CS32" s="63"/>
      <c r="CT32" s="62"/>
      <c r="CU32" s="19"/>
    </row>
    <row r="33" spans="1:99" s="1" customFormat="1" x14ac:dyDescent="0.25">
      <c r="A33" s="92" t="s">
        <v>23</v>
      </c>
      <c r="B33" s="66" t="str">
        <f>IFERROR(VLOOKUP($A33,[1]!LOOKUP_MDAPs,B$3,FALSE)/$I33,"")</f>
        <v/>
      </c>
      <c r="C33" s="66" t="str">
        <f>IFERROR(VLOOKUP($A33,[1]!LOOKUP_MDAPs,C$3,FALSE)/$I33,"")</f>
        <v/>
      </c>
      <c r="D33" s="66" t="str">
        <f>IFERROR(VLOOKUP($A33,[1]!LOOKUP_MDAPs,D$3,FALSE)/$I33,"")</f>
        <v/>
      </c>
      <c r="E33" s="66" t="str">
        <f>IFERROR(VLOOKUP($A33,[1]!LOOKUP_MDAPs,E$3,FALSE)/$I33,"")</f>
        <v/>
      </c>
      <c r="F33" s="66" t="str">
        <f>IFERROR(VLOOKUP($A33,[1]!LOOKUP_MDAPs,F$3,FALSE)/$I33,"")</f>
        <v/>
      </c>
      <c r="G33" s="66" t="str">
        <f>IFERROR(VLOOKUP($A33,[1]!LOOKUP_MDAPs,G$3,FALSE)/$I33,"")</f>
        <v/>
      </c>
      <c r="H33" s="66">
        <f t="shared" si="28"/>
        <v>1</v>
      </c>
      <c r="I33" s="65">
        <f>IFERROR(VLOOKUP($A33,[1]!LOOKUP_MDAPs,I$3,FALSE),"")</f>
        <v>0</v>
      </c>
      <c r="J33" s="64" t="e">
        <f>VLOOKUP($A33,[1]!LOOKUP_SARS_2009_Change_Breakdown,J$3,FALSE)+0</f>
        <v>#NAME?</v>
      </c>
      <c r="K33" s="64" t="e">
        <f>VLOOKUP($A33,[1]!LOOKUP_SARS_2009_Change_Breakdown,K$3,FALSE)+0</f>
        <v>#NAME?</v>
      </c>
      <c r="L33" s="64" t="e">
        <f>VLOOKUP($A33,[1]!LOOKUP_SARS_2009_Change_Breakdown,L$3,FALSE)+0</f>
        <v>#NAME?</v>
      </c>
      <c r="M33" s="64" t="e">
        <f>VLOOKUP($A33,[1]!LOOKUP_SARS_2009_Change_Breakdown,M$3,FALSE)+0</f>
        <v>#NAME?</v>
      </c>
      <c r="N33" s="64" t="e">
        <f>VLOOKUP($A33,[1]!LOOKUP_SARS_2009_Change_Breakdown,N$3,FALSE)+0</f>
        <v>#NAME?</v>
      </c>
      <c r="O33" s="64" t="e">
        <f>VLOOKUP($A33,[1]!LOOKUP_SARS_2009_Change_Breakdown,O$3,FALSE)+0</f>
        <v>#NAME?</v>
      </c>
      <c r="P33" s="64" t="e">
        <f>VLOOKUP($A33,[1]!LOOKUP_SARS_2009_Change_Breakdown,P$3,FALSE)+0</f>
        <v>#NAME?</v>
      </c>
      <c r="Q33" s="64" t="e">
        <f>VLOOKUP($A33,[1]!LOOKUP_SARS_2009_Change_Breakdown,Q$3,FALSE)+0</f>
        <v>#NAME?</v>
      </c>
      <c r="R33" s="26" t="e">
        <f>VLOOKUP($A33,[1]!LOOKUP_SARS_2009,R$3,FALSE)</f>
        <v>#NAME?</v>
      </c>
      <c r="S33" s="1" t="e">
        <f t="shared" si="22"/>
        <v>#NAME?</v>
      </c>
      <c r="CK33" s="37"/>
      <c r="CL33" s="37"/>
      <c r="CM33" s="37"/>
      <c r="CN33" s="37"/>
      <c r="CO33" s="37"/>
      <c r="CP33" s="37"/>
      <c r="CQ33" s="37"/>
      <c r="CR33" s="37"/>
      <c r="CS33" s="63"/>
      <c r="CT33" s="62"/>
      <c r="CU33" s="19"/>
    </row>
    <row r="34" spans="1:99" s="1" customFormat="1" x14ac:dyDescent="0.25">
      <c r="A34" s="92" t="s">
        <v>47</v>
      </c>
      <c r="B34" s="66">
        <f>IFERROR(VLOOKUP($A34,[1]!LOOKUP_MDAPs,B$3,FALSE)/$I34,"")</f>
        <v>2.7635585968795398</v>
      </c>
      <c r="C34" s="66">
        <f>IFERROR(VLOOKUP($A34,[1]!LOOKUP_MDAPs,C$3,FALSE)/$I34,"")</f>
        <v>0</v>
      </c>
      <c r="D34" s="66">
        <f>IFERROR(VLOOKUP($A34,[1]!LOOKUP_MDAPs,D$3,FALSE)/$I34,"")</f>
        <v>0</v>
      </c>
      <c r="E34" s="66">
        <f>IFERROR(VLOOKUP($A34,[1]!LOOKUP_MDAPs,E$3,FALSE)/$I34,"")</f>
        <v>0</v>
      </c>
      <c r="F34" s="66">
        <f>IFERROR(VLOOKUP($A34,[1]!LOOKUP_MDAPs,F$3,FALSE)/$I34,"")</f>
        <v>0</v>
      </c>
      <c r="G34" s="66">
        <f>IFERROR(VLOOKUP($A34,[1]!LOOKUP_MDAPs,G$3,FALSE)/$I34,"")</f>
        <v>0</v>
      </c>
      <c r="H34" s="66">
        <f t="shared" si="28"/>
        <v>-1.7635585968795398</v>
      </c>
      <c r="I34" s="65">
        <f>IFERROR(VLOOKUP($A34,[1]!LOOKUP_MDAPs,I$3,FALSE),"")</f>
        <v>1172.00481279</v>
      </c>
      <c r="J34" s="64" t="e">
        <f>VLOOKUP($A34,[1]!LOOKUP_SARS_2009_Change_Breakdown,J$3,FALSE)+0</f>
        <v>#NAME?</v>
      </c>
      <c r="K34" s="64" t="e">
        <f>VLOOKUP($A34,[1]!LOOKUP_SARS_2009_Change_Breakdown,K$3,FALSE)+0</f>
        <v>#NAME?</v>
      </c>
      <c r="L34" s="64" t="e">
        <f>VLOOKUP($A34,[1]!LOOKUP_SARS_2009_Change_Breakdown,L$3,FALSE)+0</f>
        <v>#NAME?</v>
      </c>
      <c r="M34" s="64" t="e">
        <f>VLOOKUP($A34,[1]!LOOKUP_SARS_2009_Change_Breakdown,M$3,FALSE)+0</f>
        <v>#NAME?</v>
      </c>
      <c r="N34" s="64" t="e">
        <f>VLOOKUP($A34,[1]!LOOKUP_SARS_2009_Change_Breakdown,N$3,FALSE)+0</f>
        <v>#NAME?</v>
      </c>
      <c r="O34" s="64" t="e">
        <f>VLOOKUP($A34,[1]!LOOKUP_SARS_2009_Change_Breakdown,O$3,FALSE)+0</f>
        <v>#NAME?</v>
      </c>
      <c r="P34" s="64" t="e">
        <f>VLOOKUP($A34,[1]!LOOKUP_SARS_2009_Change_Breakdown,P$3,FALSE)+0</f>
        <v>#NAME?</v>
      </c>
      <c r="Q34" s="64" t="e">
        <f>VLOOKUP($A34,[1]!LOOKUP_SARS_2009_Change_Breakdown,Q$3,FALSE)+0</f>
        <v>#NAME?</v>
      </c>
      <c r="R34" s="26" t="e">
        <f>VLOOKUP($A34,[1]!LOOKUP_SARS_2009,R$3,FALSE)</f>
        <v>#NAME?</v>
      </c>
      <c r="S34" s="1" t="e">
        <f t="shared" si="22"/>
        <v>#NAME?</v>
      </c>
      <c r="CK34" s="37"/>
      <c r="CL34" s="37"/>
      <c r="CM34" s="37"/>
      <c r="CN34" s="37"/>
      <c r="CO34" s="37"/>
      <c r="CP34" s="37"/>
      <c r="CQ34" s="37"/>
      <c r="CR34" s="37"/>
      <c r="CS34" s="63"/>
      <c r="CT34" s="62"/>
      <c r="CU34" s="19"/>
    </row>
    <row r="35" spans="1:99" s="1" customFormat="1" x14ac:dyDescent="0.25">
      <c r="A35" s="92" t="s">
        <v>55</v>
      </c>
      <c r="B35" s="66" t="str">
        <f>IFERROR(VLOOKUP($A35,[1]!LOOKUP_MDAPs,B$3,FALSE)/$I35,"")</f>
        <v/>
      </c>
      <c r="C35" s="66" t="str">
        <f>IFERROR(VLOOKUP($A35,[1]!LOOKUP_MDAPs,C$3,FALSE)/$I35,"")</f>
        <v/>
      </c>
      <c r="D35" s="66" t="str">
        <f>IFERROR(VLOOKUP($A35,[1]!LOOKUP_MDAPs,D$3,FALSE)/$I35,"")</f>
        <v/>
      </c>
      <c r="E35" s="66" t="str">
        <f>IFERROR(VLOOKUP($A35,[1]!LOOKUP_MDAPs,E$3,FALSE)/$I35,"")</f>
        <v/>
      </c>
      <c r="F35" s="66" t="str">
        <f>IFERROR(VLOOKUP($A35,[1]!LOOKUP_MDAPs,F$3,FALSE)/$I35,"")</f>
        <v/>
      </c>
      <c r="G35" s="66" t="str">
        <f>IFERROR(VLOOKUP($A35,[1]!LOOKUP_MDAPs,G$3,FALSE)/$I35,"")</f>
        <v/>
      </c>
      <c r="H35" s="66">
        <f t="shared" si="28"/>
        <v>1</v>
      </c>
      <c r="I35" s="65">
        <f>IFERROR(VLOOKUP($A35,[1]!LOOKUP_MDAPs,I$3,FALSE),"")</f>
        <v>0</v>
      </c>
      <c r="J35" s="64" t="e">
        <f>VLOOKUP($A35,[1]!LOOKUP_SARS_2009_Change_Breakdown,J$3,FALSE)+0</f>
        <v>#NAME?</v>
      </c>
      <c r="K35" s="64" t="e">
        <f>VLOOKUP($A35,[1]!LOOKUP_SARS_2009_Change_Breakdown,K$3,FALSE)+0</f>
        <v>#NAME?</v>
      </c>
      <c r="L35" s="64" t="e">
        <f>VLOOKUP($A35,[1]!LOOKUP_SARS_2009_Change_Breakdown,L$3,FALSE)+0</f>
        <v>#NAME?</v>
      </c>
      <c r="M35" s="64" t="e">
        <f>VLOOKUP($A35,[1]!LOOKUP_SARS_2009_Change_Breakdown,M$3,FALSE)+0</f>
        <v>#NAME?</v>
      </c>
      <c r="N35" s="64" t="e">
        <f>VLOOKUP($A35,[1]!LOOKUP_SARS_2009_Change_Breakdown,N$3,FALSE)+0</f>
        <v>#NAME?</v>
      </c>
      <c r="O35" s="64" t="e">
        <f>VLOOKUP($A35,[1]!LOOKUP_SARS_2009_Change_Breakdown,O$3,FALSE)+0</f>
        <v>#NAME?</v>
      </c>
      <c r="P35" s="64" t="e">
        <f>VLOOKUP($A35,[1]!LOOKUP_SARS_2009_Change_Breakdown,P$3,FALSE)+0</f>
        <v>#NAME?</v>
      </c>
      <c r="Q35" s="64" t="e">
        <f>VLOOKUP($A35,[1]!LOOKUP_SARS_2009_Change_Breakdown,Q$3,FALSE)+0</f>
        <v>#NAME?</v>
      </c>
      <c r="R35" s="26" t="e">
        <f>VLOOKUP($A35,[1]!LOOKUP_SARS_2009,R$3,FALSE)</f>
        <v>#NAME?</v>
      </c>
      <c r="S35" s="1" t="e">
        <f t="shared" si="22"/>
        <v>#NAME?</v>
      </c>
      <c r="CK35" s="37"/>
      <c r="CL35" s="37"/>
      <c r="CM35" s="37"/>
      <c r="CN35" s="37"/>
      <c r="CO35" s="37"/>
      <c r="CP35" s="37"/>
      <c r="CQ35" s="37"/>
      <c r="CR35" s="37"/>
      <c r="CS35" s="63"/>
      <c r="CT35" s="62"/>
      <c r="CU35" s="19"/>
    </row>
    <row r="36" spans="1:99" s="1" customFormat="1" x14ac:dyDescent="0.25">
      <c r="A36" s="92" t="s">
        <v>20</v>
      </c>
      <c r="B36" s="66">
        <f>IFERROR(VLOOKUP($A36,[1]!LOOKUP_MDAPs,B$3,FALSE)/$I36,"")</f>
        <v>5.1205251193581249</v>
      </c>
      <c r="C36" s="66">
        <f>IFERROR(VLOOKUP($A36,[1]!LOOKUP_MDAPs,C$3,FALSE)/$I36,"")</f>
        <v>0.33424648544702862</v>
      </c>
      <c r="D36" s="66">
        <f>IFERROR(VLOOKUP($A36,[1]!LOOKUP_MDAPs,D$3,FALSE)/$I36,"")</f>
        <v>3.0446390104855868E-3</v>
      </c>
      <c r="E36" s="66">
        <f>IFERROR(VLOOKUP($A36,[1]!LOOKUP_MDAPs,E$3,FALSE)/$I36,"")</f>
        <v>2.2401472375460125E-4</v>
      </c>
      <c r="F36" s="66">
        <f>IFERROR(VLOOKUP($A36,[1]!LOOKUP_MDAPs,F$3,FALSE)/$I36,"")</f>
        <v>0</v>
      </c>
      <c r="G36" s="66">
        <f>IFERROR(VLOOKUP($A36,[1]!LOOKUP_MDAPs,G$3,FALSE)/$I36,"")</f>
        <v>11.437861749736514</v>
      </c>
      <c r="H36" s="66">
        <f t="shared" si="28"/>
        <v>-15.895902008275907</v>
      </c>
      <c r="I36" s="65">
        <f>IFERROR(VLOOKUP($A36,[1]!LOOKUP_MDAPs,I$3,FALSE),"")</f>
        <v>59.003710909999995</v>
      </c>
      <c r="J36" s="64" t="e">
        <f>VLOOKUP($A36,[1]!LOOKUP_SARS_2009_Change_Breakdown,J$3,FALSE)+0</f>
        <v>#NAME?</v>
      </c>
      <c r="K36" s="64" t="e">
        <f>VLOOKUP($A36,[1]!LOOKUP_SARS_2009_Change_Breakdown,K$3,FALSE)+0</f>
        <v>#NAME?</v>
      </c>
      <c r="L36" s="64" t="e">
        <f>VLOOKUP($A36,[1]!LOOKUP_SARS_2009_Change_Breakdown,L$3,FALSE)+0</f>
        <v>#NAME?</v>
      </c>
      <c r="M36" s="64" t="e">
        <f>VLOOKUP($A36,[1]!LOOKUP_SARS_2009_Change_Breakdown,M$3,FALSE)+0</f>
        <v>#NAME?</v>
      </c>
      <c r="N36" s="64" t="e">
        <f>VLOOKUP($A36,[1]!LOOKUP_SARS_2009_Change_Breakdown,N$3,FALSE)+0</f>
        <v>#NAME?</v>
      </c>
      <c r="O36" s="64" t="e">
        <f>VLOOKUP($A36,[1]!LOOKUP_SARS_2009_Change_Breakdown,O$3,FALSE)+0</f>
        <v>#NAME?</v>
      </c>
      <c r="P36" s="64" t="e">
        <f>VLOOKUP($A36,[1]!LOOKUP_SARS_2009_Change_Breakdown,P$3,FALSE)+0</f>
        <v>#NAME?</v>
      </c>
      <c r="Q36" s="64" t="e">
        <f>VLOOKUP($A36,[1]!LOOKUP_SARS_2009_Change_Breakdown,Q$3,FALSE)+0</f>
        <v>#NAME?</v>
      </c>
      <c r="R36" s="26" t="e">
        <f>VLOOKUP($A36,[1]!LOOKUP_SARS_2009,R$3,FALSE)</f>
        <v>#NAME?</v>
      </c>
      <c r="S36" s="1" t="e">
        <f t="shared" si="22"/>
        <v>#NAME?</v>
      </c>
      <c r="CK36" s="37"/>
      <c r="CL36" s="37"/>
      <c r="CM36" s="37"/>
      <c r="CN36" s="37"/>
      <c r="CO36" s="37"/>
      <c r="CP36" s="37"/>
      <c r="CQ36" s="37"/>
      <c r="CR36" s="37"/>
      <c r="CS36" s="63"/>
      <c r="CT36" s="62"/>
      <c r="CU36" s="19"/>
    </row>
    <row r="37" spans="1:99" s="1" customFormat="1" x14ac:dyDescent="0.25">
      <c r="A37" s="92" t="s">
        <v>215</v>
      </c>
      <c r="B37" s="66" t="str">
        <f>IFERROR(VLOOKUP($A37,[1]!LOOKUP_MDAPs,B$3,FALSE)/$I37,"")</f>
        <v/>
      </c>
      <c r="C37" s="66" t="str">
        <f>IFERROR(VLOOKUP($A37,[1]!LOOKUP_MDAPs,C$3,FALSE)/$I37,"")</f>
        <v/>
      </c>
      <c r="D37" s="66" t="str">
        <f>IFERROR(VLOOKUP($A37,[1]!LOOKUP_MDAPs,D$3,FALSE)/$I37,"")</f>
        <v/>
      </c>
      <c r="E37" s="66" t="str">
        <f>IFERROR(VLOOKUP($A37,[1]!LOOKUP_MDAPs,E$3,FALSE)/$I37,"")</f>
        <v/>
      </c>
      <c r="F37" s="66" t="str">
        <f>IFERROR(VLOOKUP($A37,[1]!LOOKUP_MDAPs,F$3,FALSE)/$I37,"")</f>
        <v/>
      </c>
      <c r="G37" s="66" t="str">
        <f>IFERROR(VLOOKUP($A37,[1]!LOOKUP_MDAPs,G$3,FALSE)/$I37,"")</f>
        <v/>
      </c>
      <c r="H37" s="66">
        <f t="shared" si="28"/>
        <v>1</v>
      </c>
      <c r="I37" s="65">
        <f>IFERROR(VLOOKUP($A37,[1]!LOOKUP_MDAPs,I$3,FALSE),"")</f>
        <v>0</v>
      </c>
      <c r="J37" s="64" t="e">
        <f>VLOOKUP($A37,[1]!LOOKUP_SARS_2009_Change_Breakdown,J$3,FALSE)+0</f>
        <v>#NAME?</v>
      </c>
      <c r="K37" s="64" t="e">
        <f>VLOOKUP($A37,[1]!LOOKUP_SARS_2009_Change_Breakdown,K$3,FALSE)+0</f>
        <v>#NAME?</v>
      </c>
      <c r="L37" s="64" t="e">
        <f>VLOOKUP($A37,[1]!LOOKUP_SARS_2009_Change_Breakdown,L$3,FALSE)+0</f>
        <v>#NAME?</v>
      </c>
      <c r="M37" s="64" t="e">
        <f>VLOOKUP($A37,[1]!LOOKUP_SARS_2009_Change_Breakdown,M$3,FALSE)+0</f>
        <v>#NAME?</v>
      </c>
      <c r="N37" s="64" t="e">
        <f>VLOOKUP($A37,[1]!LOOKUP_SARS_2009_Change_Breakdown,N$3,FALSE)+0</f>
        <v>#NAME?</v>
      </c>
      <c r="O37" s="64" t="e">
        <f>VLOOKUP($A37,[1]!LOOKUP_SARS_2009_Change_Breakdown,O$3,FALSE)+0</f>
        <v>#NAME?</v>
      </c>
      <c r="P37" s="64" t="e">
        <f>VLOOKUP($A37,[1]!LOOKUP_SARS_2009_Change_Breakdown,P$3,FALSE)+0</f>
        <v>#NAME?</v>
      </c>
      <c r="Q37" s="64" t="e">
        <f>VLOOKUP($A37,[1]!LOOKUP_SARS_2009_Change_Breakdown,Q$3,FALSE)+0</f>
        <v>#NAME?</v>
      </c>
      <c r="R37" s="26" t="e">
        <f>VLOOKUP($A37,[1]!LOOKUP_SARS_2009,R$3,FALSE)</f>
        <v>#NAME?</v>
      </c>
      <c r="S37" s="1" t="e">
        <f t="shared" si="22"/>
        <v>#NAME?</v>
      </c>
      <c r="CK37" s="37"/>
      <c r="CL37" s="37"/>
      <c r="CM37" s="37"/>
      <c r="CN37" s="37"/>
      <c r="CO37" s="37"/>
      <c r="CP37" s="37"/>
      <c r="CQ37" s="37"/>
      <c r="CR37" s="37"/>
      <c r="CS37" s="63"/>
      <c r="CT37" s="62"/>
      <c r="CU37" s="19"/>
    </row>
    <row r="38" spans="1:99" s="1" customFormat="1" x14ac:dyDescent="0.25">
      <c r="A38" s="92" t="s">
        <v>11</v>
      </c>
      <c r="B38" s="66">
        <f>IFERROR(VLOOKUP($A38,[1]!LOOKUP_MDAPs,B$3,FALSE)/$I38,"")</f>
        <v>0.41830753894606498</v>
      </c>
      <c r="C38" s="66">
        <f>IFERROR(VLOOKUP($A38,[1]!LOOKUP_MDAPs,C$3,FALSE)/$I38,"")</f>
        <v>0.11004543590790712</v>
      </c>
      <c r="D38" s="66">
        <f>IFERROR(VLOOKUP($A38,[1]!LOOKUP_MDAPs,D$3,FALSE)/$I38,"")</f>
        <v>0.21991607391882151</v>
      </c>
      <c r="E38" s="66">
        <f>IFERROR(VLOOKUP($A38,[1]!LOOKUP_MDAPs,E$3,FALSE)/$I38,"")</f>
        <v>9.5668457140365949E-4</v>
      </c>
      <c r="F38" s="66">
        <f>IFERROR(VLOOKUP($A38,[1]!LOOKUP_MDAPs,F$3,FALSE)/$I38,"")</f>
        <v>0</v>
      </c>
      <c r="G38" s="66">
        <f>IFERROR(VLOOKUP($A38,[1]!LOOKUP_MDAPs,G$3,FALSE)/$I38,"")</f>
        <v>4.5811958005256184</v>
      </c>
      <c r="H38" s="66">
        <f t="shared" si="28"/>
        <v>-4.3304215338698153</v>
      </c>
      <c r="I38" s="65">
        <f>IFERROR(VLOOKUP($A38,[1]!LOOKUP_MDAPs,I$3,FALSE),"")</f>
        <v>480.82723788999994</v>
      </c>
      <c r="J38" s="64" t="e">
        <f>VLOOKUP($A38,[1]!LOOKUP_SARS_2009_Change_Breakdown,J$3,FALSE)+0</f>
        <v>#NAME?</v>
      </c>
      <c r="K38" s="64" t="e">
        <f>VLOOKUP($A38,[1]!LOOKUP_SARS_2009_Change_Breakdown,K$3,FALSE)+0</f>
        <v>#NAME?</v>
      </c>
      <c r="L38" s="64" t="e">
        <f>VLOOKUP($A38,[1]!LOOKUP_SARS_2009_Change_Breakdown,L$3,FALSE)+0</f>
        <v>#NAME?</v>
      </c>
      <c r="M38" s="64" t="e">
        <f>VLOOKUP($A38,[1]!LOOKUP_SARS_2009_Change_Breakdown,M$3,FALSE)+0</f>
        <v>#NAME?</v>
      </c>
      <c r="N38" s="64" t="e">
        <f>VLOOKUP($A38,[1]!LOOKUP_SARS_2009_Change_Breakdown,N$3,FALSE)+0</f>
        <v>#NAME?</v>
      </c>
      <c r="O38" s="64" t="e">
        <f>VLOOKUP($A38,[1]!LOOKUP_SARS_2009_Change_Breakdown,O$3,FALSE)+0</f>
        <v>#NAME?</v>
      </c>
      <c r="P38" s="64" t="e">
        <f>VLOOKUP($A38,[1]!LOOKUP_SARS_2009_Change_Breakdown,P$3,FALSE)+0</f>
        <v>#NAME?</v>
      </c>
      <c r="Q38" s="64" t="e">
        <f>VLOOKUP($A38,[1]!LOOKUP_SARS_2009_Change_Breakdown,Q$3,FALSE)+0</f>
        <v>#NAME?</v>
      </c>
      <c r="R38" s="26" t="e">
        <f>VLOOKUP($A38,[1]!LOOKUP_SARS_2009,R$3,FALSE)</f>
        <v>#NAME?</v>
      </c>
      <c r="S38" s="1" t="e">
        <f t="shared" si="22"/>
        <v>#NAME?</v>
      </c>
      <c r="U38" s="1">
        <v>10</v>
      </c>
      <c r="V38" s="1" t="str">
        <f>"Space "&amp;COLUMN()-21</f>
        <v>Space 1</v>
      </c>
      <c r="W38" s="72" t="str">
        <f>"Neg. "&amp;X38</f>
        <v>Neg. Economic</v>
      </c>
      <c r="X38" s="19" t="s">
        <v>128</v>
      </c>
      <c r="Y38" s="1" t="str">
        <f>"Space "&amp;COLUMN()-21</f>
        <v>Space 4</v>
      </c>
      <c r="Z38" s="72" t="str">
        <f>"Neg. "&amp;AA38</f>
        <v>Neg. Quantity</v>
      </c>
      <c r="AA38" s="19" t="s">
        <v>91</v>
      </c>
      <c r="AB38" s="1" t="str">
        <f>"Space "&amp;COLUMN()-21</f>
        <v>Space 7</v>
      </c>
      <c r="AC38" s="72" t="str">
        <f>"Neg. "&amp;AD38</f>
        <v>Neg. Schedule</v>
      </c>
      <c r="AD38" s="19" t="s">
        <v>88</v>
      </c>
      <c r="AE38" s="1" t="str">
        <f>"Space "&amp;COLUMN()-21</f>
        <v>Space 10</v>
      </c>
      <c r="AF38" s="72" t="str">
        <f>"Neg. "&amp;AG38</f>
        <v>Neg. Engineering</v>
      </c>
      <c r="AG38" s="19" t="s">
        <v>87</v>
      </c>
      <c r="AH38" s="1" t="str">
        <f>"Space "&amp;COLUMN()-21</f>
        <v>Space 13</v>
      </c>
      <c r="AI38" s="72" t="str">
        <f>"Neg. "&amp;AJ38</f>
        <v>Neg. Estimating</v>
      </c>
      <c r="AJ38" s="19" t="s">
        <v>86</v>
      </c>
      <c r="AK38" s="1" t="str">
        <f>"Space "&amp;COLUMN()-21</f>
        <v>Space 16</v>
      </c>
      <c r="AL38" s="72" t="str">
        <f>"Neg. "&amp;AM38</f>
        <v>Neg. Support</v>
      </c>
      <c r="AM38" s="19" t="s">
        <v>84</v>
      </c>
      <c r="AN38" s="1" t="str">
        <f>"Space "&amp;COLUMN()-21</f>
        <v>Space 19</v>
      </c>
      <c r="AO38" s="72" t="str">
        <f>"Neg. "&amp;AP38</f>
        <v>Neg. Other</v>
      </c>
      <c r="AP38" s="24" t="s">
        <v>85</v>
      </c>
      <c r="AQ38" s="1" t="str">
        <f>"Space "&amp;COLUMN()-30</f>
        <v>Space 13</v>
      </c>
      <c r="CK38" s="37"/>
      <c r="CL38" s="37"/>
      <c r="CM38" s="37"/>
      <c r="CN38" s="37"/>
      <c r="CO38" s="37"/>
      <c r="CP38" s="37"/>
      <c r="CQ38" s="37"/>
      <c r="CR38" s="37"/>
      <c r="CS38" s="63"/>
      <c r="CT38" s="62"/>
      <c r="CU38" s="19"/>
    </row>
    <row r="39" spans="1:99" s="1" customFormat="1" x14ac:dyDescent="0.25">
      <c r="A39" s="92" t="s">
        <v>32</v>
      </c>
      <c r="B39" s="66">
        <f>IFERROR(VLOOKUP($A39,[1]!LOOKUP_MDAPs,B$3,FALSE)/$I39,"")</f>
        <v>0.49238273932110627</v>
      </c>
      <c r="C39" s="66">
        <f>IFERROR(VLOOKUP($A39,[1]!LOOKUP_MDAPs,C$3,FALSE)/$I39,"")</f>
        <v>0.14179207364075111</v>
      </c>
      <c r="D39" s="66">
        <f>IFERROR(VLOOKUP($A39,[1]!LOOKUP_MDAPs,D$3,FALSE)/$I39,"")</f>
        <v>1.1544504627073723E-8</v>
      </c>
      <c r="E39" s="66">
        <f>IFERROR(VLOOKUP($A39,[1]!LOOKUP_MDAPs,E$3,FALSE)/$I39,"")</f>
        <v>1.2369936707909494E-4</v>
      </c>
      <c r="F39" s="66">
        <f>IFERROR(VLOOKUP($A39,[1]!LOOKUP_MDAPs,F$3,FALSE)/$I39,"")</f>
        <v>0</v>
      </c>
      <c r="G39" s="66">
        <f>IFERROR(VLOOKUP($A39,[1]!LOOKUP_MDAPs,G$3,FALSE)/$I39,"")</f>
        <v>13.118275335314383</v>
      </c>
      <c r="H39" s="66">
        <f t="shared" si="28"/>
        <v>-12.752573859187825</v>
      </c>
      <c r="I39" s="65">
        <f>IFERROR(VLOOKUP($A39,[1]!LOOKUP_MDAPs,I$3,FALSE),"")</f>
        <v>519.72780069999999</v>
      </c>
      <c r="J39" s="64" t="e">
        <f>VLOOKUP($A39,[1]!LOOKUP_SARS_2009_Change_Breakdown,J$3,FALSE)+0</f>
        <v>#NAME?</v>
      </c>
      <c r="K39" s="64" t="e">
        <f>VLOOKUP($A39,[1]!LOOKUP_SARS_2009_Change_Breakdown,K$3,FALSE)+0</f>
        <v>#NAME?</v>
      </c>
      <c r="L39" s="64" t="e">
        <f>VLOOKUP($A39,[1]!LOOKUP_SARS_2009_Change_Breakdown,L$3,FALSE)+0</f>
        <v>#NAME?</v>
      </c>
      <c r="M39" s="64" t="e">
        <f>VLOOKUP($A39,[1]!LOOKUP_SARS_2009_Change_Breakdown,M$3,FALSE)+0</f>
        <v>#NAME?</v>
      </c>
      <c r="N39" s="64" t="e">
        <f>VLOOKUP($A39,[1]!LOOKUP_SARS_2009_Change_Breakdown,N$3,FALSE)+0</f>
        <v>#NAME?</v>
      </c>
      <c r="O39" s="64" t="e">
        <f>VLOOKUP($A39,[1]!LOOKUP_SARS_2009_Change_Breakdown,O$3,FALSE)+0</f>
        <v>#NAME?</v>
      </c>
      <c r="P39" s="64" t="e">
        <f>VLOOKUP($A39,[1]!LOOKUP_SARS_2009_Change_Breakdown,P$3,FALSE)+0</f>
        <v>#NAME?</v>
      </c>
      <c r="Q39" s="64" t="e">
        <f>VLOOKUP($A39,[1]!LOOKUP_SARS_2009_Change_Breakdown,Q$3,FALSE)+0</f>
        <v>#NAME?</v>
      </c>
      <c r="R39" s="26" t="e">
        <f>VLOOKUP($A39,[1]!LOOKUP_SARS_2009,R$3,FALSE)</f>
        <v>#NAME?</v>
      </c>
      <c r="S39" s="1" t="e">
        <f t="shared" si="22"/>
        <v>#NAME?</v>
      </c>
      <c r="U39" s="1" t="str">
        <f t="shared" ref="U39:U45" si="56">U6</f>
        <v>Full and Open -Multiple Bidders</v>
      </c>
      <c r="V39" s="37" t="e">
        <f t="shared" ref="V39:V45" si="57">CEILING(MAX(W$39:W$45)*$U$38,1)/$U$38-W39</f>
        <v>#NAME?</v>
      </c>
      <c r="W39" s="37" t="e">
        <f t="shared" ref="W39:W45" si="58">AC6/$T6*-1</f>
        <v>#NAME?</v>
      </c>
      <c r="X39" s="37" t="e">
        <f t="shared" ref="X39:X45" si="59">V6/$T6</f>
        <v>#NAME?</v>
      </c>
      <c r="Y39" s="71" t="e">
        <f t="shared" ref="Y39:Y45" si="60">CEILING(MAX(X$39:X$45)*$U$38,1)/$U$38+MAX(CEILING(MAX(Z$39:Z$45)*$U$38,1)/$U$38,1/$U$38)-X39-Z39+1/$U$38</f>
        <v>#NAME?</v>
      </c>
      <c r="Z39" s="37" t="e">
        <f t="shared" ref="Z39:Z45" si="61">AD6/$T6*-1</f>
        <v>#NAME?</v>
      </c>
      <c r="AA39" s="37" t="e">
        <f t="shared" ref="AA39:AA45" si="62">W6/$T6</f>
        <v>#NAME?</v>
      </c>
      <c r="AB39" s="71" t="e">
        <f t="shared" ref="AB39:AB45" si="63">CEILING(MAX(AA$39:AA$45)*$U$38,1)/$U$38+MAX(CEILING(MAX(AC$39:AC$45)*$U$38,1)/$U$38,1/$U$38)-AA39-AC39+1/$U$38</f>
        <v>#NAME?</v>
      </c>
      <c r="AC39" s="37" t="e">
        <f t="shared" ref="AC39:AC45" si="64">AE6/$T6*-1</f>
        <v>#NAME?</v>
      </c>
      <c r="AD39" s="37" t="e">
        <f t="shared" ref="AD39:AD45" si="65">X6/$T6</f>
        <v>#NAME?</v>
      </c>
      <c r="AE39" s="71" t="e">
        <f t="shared" ref="AE39:AE45" si="66">CEILING(MAX(AD$39:AD$45)*$U$38,1)/$U$38+MAX(CEILING(MAX(AF$39:AF$45)*$U$38,1)/$U$38,1/$U$38)-AD39-AF39+1/$U$38</f>
        <v>#NAME?</v>
      </c>
      <c r="AF39" s="37" t="e">
        <f t="shared" ref="AF39:AF45" si="67">AF6/$T6*-1</f>
        <v>#NAME?</v>
      </c>
      <c r="AG39" s="37" t="e">
        <f t="shared" ref="AG39:AG45" si="68">Y6/$T6</f>
        <v>#NAME?</v>
      </c>
      <c r="AH39" s="71" t="e">
        <f t="shared" ref="AH39:AH45" si="69">CEILING(MAX(AG$39:AG$45)*$U$38,1)/$U$38+MAX(CEILING(MAX(AI$39:AI$45)*$U$38,1)/$U$38,1/$U$38)-AG39-AI39+1/$U$38</f>
        <v>#NAME?</v>
      </c>
      <c r="AI39" s="37" t="e">
        <f t="shared" ref="AI39:AI45" si="70">AG6/$T6*-1</f>
        <v>#NAME?</v>
      </c>
      <c r="AJ39" s="71" t="e">
        <f t="shared" ref="AJ39:AJ45" si="71">Z6/$T6</f>
        <v>#NAME?</v>
      </c>
      <c r="AK39" s="71" t="e">
        <f t="shared" ref="AK39:AK45" si="72">CEILING(MAX(AJ$39:AJ$45)*$U$38,1)/$U$38+MAX(CEILING(MAX(AL$39:AL$45)*$U$38,1)/$U$38,1/$U$38)-AJ39-AL39+1/$U$38</f>
        <v>#NAME?</v>
      </c>
      <c r="AL39" s="37" t="e">
        <f t="shared" ref="AL39:AL45" si="73">AI6/$T6*-1</f>
        <v>#NAME?</v>
      </c>
      <c r="AM39" s="37" t="e">
        <f t="shared" ref="AM39:AM45" si="74">AB6/$T6</f>
        <v>#NAME?</v>
      </c>
      <c r="AN39" s="71" t="e">
        <f t="shared" ref="AN39:AN45" si="75">CEILING(MAX(AM$39:AM$45)*$U$38,1)/$U$38+MAX(CEILING(MAX(AO$39:AO$45)*$U$38,1)/$U$38,1/$U$38)-AM39-AO39+1/$U$38</f>
        <v>#NAME?</v>
      </c>
      <c r="AO39" s="51" t="e">
        <f t="shared" ref="AO39:AO45" si="76">AH6/$T6*-1</f>
        <v>#NAME?</v>
      </c>
      <c r="AP39" s="51" t="e">
        <f t="shared" ref="AP39:AP45" si="77">AA6/$T6</f>
        <v>#NAME?</v>
      </c>
      <c r="AQ39" s="37" t="e">
        <f t="shared" ref="AQ39:AQ45" si="78">CEILING(MAX(AP$39:AP$45)*$U$38,1)/$U$38-AP39</f>
        <v>#NAME?</v>
      </c>
      <c r="AR39" s="19" t="e">
        <f t="shared" ref="AR39:AR45" si="79">SUM(V39:AQ39)</f>
        <v>#NAME?</v>
      </c>
      <c r="CK39" s="37"/>
      <c r="CL39" s="37"/>
      <c r="CM39" s="37"/>
      <c r="CN39" s="37"/>
      <c r="CO39" s="37"/>
      <c r="CP39" s="37"/>
      <c r="CQ39" s="37"/>
      <c r="CR39" s="37"/>
      <c r="CS39" s="63"/>
      <c r="CT39" s="62"/>
      <c r="CU39" s="19"/>
    </row>
    <row r="40" spans="1:99" s="1" customFormat="1" x14ac:dyDescent="0.25">
      <c r="A40" s="92" t="s">
        <v>51</v>
      </c>
      <c r="B40" s="66">
        <f>IFERROR(VLOOKUP($A40,[1]!LOOKUP_MDAPs,B$3,FALSE)/$I40,"")</f>
        <v>4.3669022062027478</v>
      </c>
      <c r="C40" s="66">
        <f>IFERROR(VLOOKUP($A40,[1]!LOOKUP_MDAPs,C$3,FALSE)/$I40,"")</f>
        <v>0.40006920304284654</v>
      </c>
      <c r="D40" s="66">
        <f>IFERROR(VLOOKUP($A40,[1]!LOOKUP_MDAPs,D$3,FALSE)/$I40,"")</f>
        <v>2.4299365097025265</v>
      </c>
      <c r="E40" s="66">
        <f>IFERROR(VLOOKUP($A40,[1]!LOOKUP_MDAPs,E$3,FALSE)/$I40,"")</f>
        <v>3.9180834693644744E-2</v>
      </c>
      <c r="F40" s="66">
        <f>IFERROR(VLOOKUP($A40,[1]!LOOKUP_MDAPs,F$3,FALSE)/$I40,"")</f>
        <v>4.0323733667945523E-4</v>
      </c>
      <c r="G40" s="66">
        <f>IFERROR(VLOOKUP($A40,[1]!LOOKUP_MDAPs,G$3,FALSE)/$I40,"")</f>
        <v>2.0438871572617288</v>
      </c>
      <c r="H40" s="66">
        <f t="shared" si="28"/>
        <v>-8.2803791482401738</v>
      </c>
      <c r="I40" s="65">
        <f>IFERROR(VLOOKUP($A40,[1]!LOOKUP_MDAPs,I$3,FALSE),"")</f>
        <v>585.85348753999995</v>
      </c>
      <c r="J40" s="64" t="e">
        <f>VLOOKUP($A40,[1]!LOOKUP_SARS_2009_Change_Breakdown,J$3,FALSE)+0</f>
        <v>#NAME?</v>
      </c>
      <c r="K40" s="64" t="e">
        <f>VLOOKUP($A40,[1]!LOOKUP_SARS_2009_Change_Breakdown,K$3,FALSE)+0</f>
        <v>#NAME?</v>
      </c>
      <c r="L40" s="64" t="e">
        <f>VLOOKUP($A40,[1]!LOOKUP_SARS_2009_Change_Breakdown,L$3,FALSE)+0</f>
        <v>#NAME?</v>
      </c>
      <c r="M40" s="64" t="e">
        <f>VLOOKUP($A40,[1]!LOOKUP_SARS_2009_Change_Breakdown,M$3,FALSE)+0</f>
        <v>#NAME?</v>
      </c>
      <c r="N40" s="64" t="e">
        <f>VLOOKUP($A40,[1]!LOOKUP_SARS_2009_Change_Breakdown,N$3,FALSE)+0</f>
        <v>#NAME?</v>
      </c>
      <c r="O40" s="64" t="e">
        <f>VLOOKUP($A40,[1]!LOOKUP_SARS_2009_Change_Breakdown,O$3,FALSE)+0</f>
        <v>#NAME?</v>
      </c>
      <c r="P40" s="64" t="e">
        <f>VLOOKUP($A40,[1]!LOOKUP_SARS_2009_Change_Breakdown,P$3,FALSE)+0</f>
        <v>#NAME?</v>
      </c>
      <c r="Q40" s="64" t="e">
        <f>VLOOKUP($A40,[1]!LOOKUP_SARS_2009_Change_Breakdown,Q$3,FALSE)+0</f>
        <v>#NAME?</v>
      </c>
      <c r="R40" s="26" t="e">
        <f>VLOOKUP($A40,[1]!LOOKUP_SARS_2009,R$3,FALSE)</f>
        <v>#NAME?</v>
      </c>
      <c r="S40" s="1" t="e">
        <f t="shared" si="22"/>
        <v>#NAME?</v>
      </c>
      <c r="U40" s="1" t="str">
        <f t="shared" si="56"/>
        <v>Full and Open -Single Bidder</v>
      </c>
      <c r="V40" s="37" t="e">
        <f t="shared" si="57"/>
        <v>#NAME?</v>
      </c>
      <c r="W40" s="37" t="e">
        <f t="shared" si="58"/>
        <v>#NAME?</v>
      </c>
      <c r="X40" s="37" t="e">
        <f t="shared" si="59"/>
        <v>#NAME?</v>
      </c>
      <c r="Y40" s="71" t="e">
        <f t="shared" si="60"/>
        <v>#NAME?</v>
      </c>
      <c r="Z40" s="37" t="e">
        <f t="shared" si="61"/>
        <v>#NAME?</v>
      </c>
      <c r="AA40" s="37" t="e">
        <f t="shared" si="62"/>
        <v>#NAME?</v>
      </c>
      <c r="AB40" s="71" t="e">
        <f t="shared" si="63"/>
        <v>#NAME?</v>
      </c>
      <c r="AC40" s="37" t="e">
        <f t="shared" si="64"/>
        <v>#NAME?</v>
      </c>
      <c r="AD40" s="37" t="e">
        <f t="shared" si="65"/>
        <v>#NAME?</v>
      </c>
      <c r="AE40" s="71" t="e">
        <f t="shared" si="66"/>
        <v>#NAME?</v>
      </c>
      <c r="AF40" s="37" t="e">
        <f t="shared" si="67"/>
        <v>#NAME?</v>
      </c>
      <c r="AG40" s="37" t="e">
        <f t="shared" si="68"/>
        <v>#NAME?</v>
      </c>
      <c r="AH40" s="71" t="e">
        <f t="shared" si="69"/>
        <v>#NAME?</v>
      </c>
      <c r="AI40" s="37" t="e">
        <f t="shared" si="70"/>
        <v>#NAME?</v>
      </c>
      <c r="AJ40" s="37" t="e">
        <f t="shared" si="71"/>
        <v>#NAME?</v>
      </c>
      <c r="AK40" s="71" t="e">
        <f t="shared" si="72"/>
        <v>#NAME?</v>
      </c>
      <c r="AL40" s="37" t="e">
        <f t="shared" si="73"/>
        <v>#NAME?</v>
      </c>
      <c r="AM40" s="37" t="e">
        <f t="shared" si="74"/>
        <v>#NAME?</v>
      </c>
      <c r="AN40" s="71" t="e">
        <f t="shared" si="75"/>
        <v>#NAME?</v>
      </c>
      <c r="AO40" s="51" t="e">
        <f t="shared" si="76"/>
        <v>#NAME?</v>
      </c>
      <c r="AP40" s="51" t="e">
        <f t="shared" si="77"/>
        <v>#NAME?</v>
      </c>
      <c r="AQ40" s="37" t="e">
        <f t="shared" si="78"/>
        <v>#NAME?</v>
      </c>
      <c r="AR40" s="19" t="e">
        <f t="shared" si="79"/>
        <v>#NAME?</v>
      </c>
      <c r="CK40" s="37"/>
      <c r="CL40" s="37"/>
      <c r="CM40" s="37"/>
      <c r="CN40" s="37"/>
      <c r="CO40" s="37"/>
      <c r="CP40" s="37"/>
      <c r="CQ40" s="37"/>
      <c r="CR40" s="37"/>
      <c r="CS40" s="63"/>
      <c r="CT40" s="62"/>
      <c r="CU40" s="19"/>
    </row>
    <row r="41" spans="1:99" s="1" customFormat="1" x14ac:dyDescent="0.25">
      <c r="A41" s="92" t="s">
        <v>216</v>
      </c>
      <c r="B41" s="66">
        <f>IFERROR(VLOOKUP($A41,[1]!LOOKUP_MDAPs,B$3,FALSE)/$I41,"")</f>
        <v>0.29191787989215923</v>
      </c>
      <c r="C41" s="66">
        <f>IFERROR(VLOOKUP($A41,[1]!LOOKUP_MDAPs,C$3,FALSE)/$I41,"")</f>
        <v>2.1015753506128227</v>
      </c>
      <c r="D41" s="66">
        <f>IFERROR(VLOOKUP($A41,[1]!LOOKUP_MDAPs,D$3,FALSE)/$I41,"")</f>
        <v>2.845429528869271E-2</v>
      </c>
      <c r="E41" s="66">
        <f>IFERROR(VLOOKUP($A41,[1]!LOOKUP_MDAPs,E$3,FALSE)/$I41,"")</f>
        <v>0</v>
      </c>
      <c r="F41" s="66">
        <f>IFERROR(VLOOKUP($A41,[1]!LOOKUP_MDAPs,F$3,FALSE)/$I41,"")</f>
        <v>0</v>
      </c>
      <c r="G41" s="66">
        <f>IFERROR(VLOOKUP($A41,[1]!LOOKUP_MDAPs,G$3,FALSE)/$I41,"")</f>
        <v>0.1650462561393497</v>
      </c>
      <c r="H41" s="66">
        <f t="shared" si="28"/>
        <v>-1.5869937819330242</v>
      </c>
      <c r="I41" s="65">
        <f>IFERROR(VLOOKUP($A41,[1]!LOOKUP_MDAPs,I$3,FALSE),"")</f>
        <v>22.492245670000003</v>
      </c>
      <c r="J41" s="64" t="e">
        <f>VLOOKUP($A41,[1]!LOOKUP_SARS_2009_Change_Breakdown,J$3,FALSE)+0</f>
        <v>#NAME?</v>
      </c>
      <c r="K41" s="64" t="e">
        <f>VLOOKUP($A41,[1]!LOOKUP_SARS_2009_Change_Breakdown,K$3,FALSE)+0</f>
        <v>#NAME?</v>
      </c>
      <c r="L41" s="64" t="e">
        <f>VLOOKUP($A41,[1]!LOOKUP_SARS_2009_Change_Breakdown,L$3,FALSE)+0</f>
        <v>#NAME?</v>
      </c>
      <c r="M41" s="64" t="e">
        <f>VLOOKUP($A41,[1]!LOOKUP_SARS_2009_Change_Breakdown,M$3,FALSE)+0</f>
        <v>#NAME?</v>
      </c>
      <c r="N41" s="64" t="e">
        <f>VLOOKUP($A41,[1]!LOOKUP_SARS_2009_Change_Breakdown,N$3,FALSE)+0</f>
        <v>#NAME?</v>
      </c>
      <c r="O41" s="64" t="e">
        <f>VLOOKUP($A41,[1]!LOOKUP_SARS_2009_Change_Breakdown,O$3,FALSE)+0</f>
        <v>#NAME?</v>
      </c>
      <c r="P41" s="64" t="e">
        <f>VLOOKUP($A41,[1]!LOOKUP_SARS_2009_Change_Breakdown,P$3,FALSE)+0</f>
        <v>#NAME?</v>
      </c>
      <c r="Q41" s="64" t="e">
        <f>VLOOKUP($A41,[1]!LOOKUP_SARS_2009_Change_Breakdown,Q$3,FALSE)+0</f>
        <v>#NAME?</v>
      </c>
      <c r="R41" s="26" t="e">
        <f>VLOOKUP($A41,[1]!LOOKUP_SARS_2009,R$3,FALSE)</f>
        <v>#NAME?</v>
      </c>
      <c r="S41" s="1" t="e">
        <f t="shared" si="22"/>
        <v>#NAME?</v>
      </c>
      <c r="U41" s="1" t="str">
        <f t="shared" si="56"/>
        <v>Partial -Multiple Bidders</v>
      </c>
      <c r="V41" s="37" t="e">
        <f t="shared" si="57"/>
        <v>#NAME?</v>
      </c>
      <c r="W41" s="37" t="e">
        <f t="shared" si="58"/>
        <v>#NAME?</v>
      </c>
      <c r="X41" s="37" t="e">
        <f t="shared" si="59"/>
        <v>#NAME?</v>
      </c>
      <c r="Y41" s="71" t="e">
        <f t="shared" si="60"/>
        <v>#NAME?</v>
      </c>
      <c r="Z41" s="37" t="e">
        <f t="shared" si="61"/>
        <v>#NAME?</v>
      </c>
      <c r="AA41" s="37" t="e">
        <f t="shared" si="62"/>
        <v>#NAME?</v>
      </c>
      <c r="AB41" s="71" t="e">
        <f t="shared" si="63"/>
        <v>#NAME?</v>
      </c>
      <c r="AC41" s="37" t="e">
        <f t="shared" si="64"/>
        <v>#NAME?</v>
      </c>
      <c r="AD41" s="37" t="e">
        <f t="shared" si="65"/>
        <v>#NAME?</v>
      </c>
      <c r="AE41" s="71" t="e">
        <f t="shared" si="66"/>
        <v>#NAME?</v>
      </c>
      <c r="AF41" s="37" t="e">
        <f t="shared" si="67"/>
        <v>#NAME?</v>
      </c>
      <c r="AG41" s="37" t="e">
        <f t="shared" si="68"/>
        <v>#NAME?</v>
      </c>
      <c r="AH41" s="71" t="e">
        <f t="shared" si="69"/>
        <v>#NAME?</v>
      </c>
      <c r="AI41" s="37" t="e">
        <f t="shared" si="70"/>
        <v>#NAME?</v>
      </c>
      <c r="AJ41" s="37" t="e">
        <f t="shared" si="71"/>
        <v>#NAME?</v>
      </c>
      <c r="AK41" s="71" t="e">
        <f t="shared" si="72"/>
        <v>#NAME?</v>
      </c>
      <c r="AL41" s="37" t="e">
        <f t="shared" si="73"/>
        <v>#NAME?</v>
      </c>
      <c r="AM41" s="37" t="e">
        <f t="shared" si="74"/>
        <v>#NAME?</v>
      </c>
      <c r="AN41" s="71" t="e">
        <f t="shared" si="75"/>
        <v>#NAME?</v>
      </c>
      <c r="AO41" s="51" t="e">
        <f t="shared" si="76"/>
        <v>#NAME?</v>
      </c>
      <c r="AP41" s="51" t="e">
        <f t="shared" si="77"/>
        <v>#NAME?</v>
      </c>
      <c r="AQ41" s="37" t="e">
        <f t="shared" si="78"/>
        <v>#NAME?</v>
      </c>
      <c r="AR41" s="19" t="e">
        <f t="shared" si="79"/>
        <v>#NAME?</v>
      </c>
      <c r="CK41" s="37"/>
      <c r="CL41" s="37"/>
      <c r="CM41" s="37"/>
      <c r="CN41" s="37"/>
      <c r="CO41" s="37"/>
      <c r="CP41" s="37"/>
      <c r="CQ41" s="37"/>
      <c r="CR41" s="37"/>
      <c r="CS41" s="63"/>
      <c r="CT41" s="62"/>
      <c r="CU41" s="19"/>
    </row>
    <row r="42" spans="1:99" s="1" customFormat="1" x14ac:dyDescent="0.25">
      <c r="A42" s="92" t="s">
        <v>8</v>
      </c>
      <c r="B42" s="66">
        <f>IFERROR(VLOOKUP($A42,[1]!LOOKUP_MDAPs,B$3,FALSE)/$I42,"")</f>
        <v>6.9222510265476194</v>
      </c>
      <c r="C42" s="66">
        <f>IFERROR(VLOOKUP($A42,[1]!LOOKUP_MDAPs,C$3,FALSE)/$I42,"")</f>
        <v>5.3859776948164653</v>
      </c>
      <c r="D42" s="66">
        <f>IFERROR(VLOOKUP($A42,[1]!LOOKUP_MDAPs,D$3,FALSE)/$I42,"")</f>
        <v>4.0748144749586705E-2</v>
      </c>
      <c r="E42" s="66">
        <f>IFERROR(VLOOKUP($A42,[1]!LOOKUP_MDAPs,E$3,FALSE)/$I42,"")</f>
        <v>0</v>
      </c>
      <c r="F42" s="66">
        <f>IFERROR(VLOOKUP($A42,[1]!LOOKUP_MDAPs,F$3,FALSE)/$I42,"")</f>
        <v>0</v>
      </c>
      <c r="G42" s="66">
        <f>IFERROR(VLOOKUP($A42,[1]!LOOKUP_MDAPs,G$3,FALSE)/$I42,"")</f>
        <v>163.23385983574025</v>
      </c>
      <c r="H42" s="66">
        <f t="shared" si="28"/>
        <v>-174.58283670185392</v>
      </c>
      <c r="I42" s="65">
        <f>IFERROR(VLOOKUP($A42,[1]!LOOKUP_MDAPs,I$3,FALSE),"")</f>
        <v>6.591024</v>
      </c>
      <c r="J42" s="64" t="e">
        <f>VLOOKUP($A42,[1]!LOOKUP_SARS_2009_Change_Breakdown,J$3,FALSE)+0</f>
        <v>#NAME?</v>
      </c>
      <c r="K42" s="64" t="e">
        <f>VLOOKUP($A42,[1]!LOOKUP_SARS_2009_Change_Breakdown,K$3,FALSE)+0</f>
        <v>#NAME?</v>
      </c>
      <c r="L42" s="64" t="e">
        <f>VLOOKUP($A42,[1]!LOOKUP_SARS_2009_Change_Breakdown,L$3,FALSE)+0</f>
        <v>#NAME?</v>
      </c>
      <c r="M42" s="64" t="e">
        <f>VLOOKUP($A42,[1]!LOOKUP_SARS_2009_Change_Breakdown,M$3,FALSE)+0</f>
        <v>#NAME?</v>
      </c>
      <c r="N42" s="64" t="e">
        <f>VLOOKUP($A42,[1]!LOOKUP_SARS_2009_Change_Breakdown,N$3,FALSE)+0</f>
        <v>#NAME?</v>
      </c>
      <c r="O42" s="64" t="e">
        <f>VLOOKUP($A42,[1]!LOOKUP_SARS_2009_Change_Breakdown,O$3,FALSE)+0</f>
        <v>#NAME?</v>
      </c>
      <c r="P42" s="64" t="e">
        <f>VLOOKUP($A42,[1]!LOOKUP_SARS_2009_Change_Breakdown,P$3,FALSE)+0</f>
        <v>#NAME?</v>
      </c>
      <c r="Q42" s="64" t="e">
        <f>VLOOKUP($A42,[1]!LOOKUP_SARS_2009_Change_Breakdown,Q$3,FALSE)+0</f>
        <v>#NAME?</v>
      </c>
      <c r="R42" s="26" t="e">
        <f>VLOOKUP($A42,[1]!LOOKUP_SARS_2009,R$3,FALSE)</f>
        <v>#NAME?</v>
      </c>
      <c r="S42" s="1" t="e">
        <f t="shared" si="22"/>
        <v>#NAME?</v>
      </c>
      <c r="U42" s="1" t="str">
        <f t="shared" si="56"/>
        <v>Partial -Single Bidder</v>
      </c>
      <c r="V42" s="37" t="e">
        <f t="shared" si="57"/>
        <v>#NAME?</v>
      </c>
      <c r="W42" s="37" t="e">
        <f t="shared" si="58"/>
        <v>#NAME?</v>
      </c>
      <c r="X42" s="37" t="e">
        <f t="shared" si="59"/>
        <v>#NAME?</v>
      </c>
      <c r="Y42" s="71" t="e">
        <f t="shared" si="60"/>
        <v>#NAME?</v>
      </c>
      <c r="Z42" s="37" t="e">
        <f t="shared" si="61"/>
        <v>#NAME?</v>
      </c>
      <c r="AA42" s="37" t="e">
        <f t="shared" si="62"/>
        <v>#NAME?</v>
      </c>
      <c r="AB42" s="71" t="e">
        <f t="shared" si="63"/>
        <v>#NAME?</v>
      </c>
      <c r="AC42" s="37" t="e">
        <f t="shared" si="64"/>
        <v>#NAME?</v>
      </c>
      <c r="AD42" s="37" t="e">
        <f t="shared" si="65"/>
        <v>#NAME?</v>
      </c>
      <c r="AE42" s="71" t="e">
        <f t="shared" si="66"/>
        <v>#NAME?</v>
      </c>
      <c r="AF42" s="37" t="e">
        <f t="shared" si="67"/>
        <v>#NAME?</v>
      </c>
      <c r="AG42" s="37" t="e">
        <f t="shared" si="68"/>
        <v>#NAME?</v>
      </c>
      <c r="AH42" s="71" t="e">
        <f t="shared" si="69"/>
        <v>#NAME?</v>
      </c>
      <c r="AI42" s="37" t="e">
        <f t="shared" si="70"/>
        <v>#NAME?</v>
      </c>
      <c r="AJ42" s="37" t="e">
        <f t="shared" si="71"/>
        <v>#NAME?</v>
      </c>
      <c r="AK42" s="71" t="e">
        <f t="shared" si="72"/>
        <v>#NAME?</v>
      </c>
      <c r="AL42" s="37" t="e">
        <f t="shared" si="73"/>
        <v>#NAME?</v>
      </c>
      <c r="AM42" s="37" t="e">
        <f t="shared" si="74"/>
        <v>#NAME?</v>
      </c>
      <c r="AN42" s="71" t="e">
        <f t="shared" si="75"/>
        <v>#NAME?</v>
      </c>
      <c r="AO42" s="51" t="e">
        <f t="shared" si="76"/>
        <v>#NAME?</v>
      </c>
      <c r="AP42" s="51" t="e">
        <f t="shared" si="77"/>
        <v>#NAME?</v>
      </c>
      <c r="AQ42" s="37" t="e">
        <f t="shared" si="78"/>
        <v>#NAME?</v>
      </c>
      <c r="AR42" s="19" t="e">
        <f t="shared" si="79"/>
        <v>#NAME?</v>
      </c>
      <c r="CK42" s="37"/>
      <c r="CL42" s="37"/>
      <c r="CM42" s="37"/>
      <c r="CN42" s="37"/>
      <c r="CO42" s="37"/>
      <c r="CP42" s="37"/>
      <c r="CQ42" s="37"/>
      <c r="CR42" s="37"/>
      <c r="CS42" s="63"/>
      <c r="CT42" s="62"/>
      <c r="CU42" s="19"/>
    </row>
    <row r="43" spans="1:99" s="1" customFormat="1" x14ac:dyDescent="0.25">
      <c r="A43" s="92" t="s">
        <v>15</v>
      </c>
      <c r="B43" s="66">
        <f>IFERROR(VLOOKUP($A43,[1]!LOOKUP_MDAPs,B$3,FALSE)/$I43,"")</f>
        <v>350.73260442384236</v>
      </c>
      <c r="C43" s="66">
        <f>IFERROR(VLOOKUP($A43,[1]!LOOKUP_MDAPs,C$3,FALSE)/$I43,"")</f>
        <v>35.750309870509398</v>
      </c>
      <c r="D43" s="66">
        <f>IFERROR(VLOOKUP($A43,[1]!LOOKUP_MDAPs,D$3,FALSE)/$I43,"")</f>
        <v>27.462387388522188</v>
      </c>
      <c r="E43" s="66">
        <f>IFERROR(VLOOKUP($A43,[1]!LOOKUP_MDAPs,E$3,FALSE)/$I43,"")</f>
        <v>1.8013742631128131</v>
      </c>
      <c r="F43" s="66">
        <f>IFERROR(VLOOKUP($A43,[1]!LOOKUP_MDAPs,F$3,FALSE)/$I43,"")</f>
        <v>0</v>
      </c>
      <c r="G43" s="66">
        <f>IFERROR(VLOOKUP($A43,[1]!LOOKUP_MDAPs,G$3,FALSE)/$I43,"")</f>
        <v>5649.3461664861188</v>
      </c>
      <c r="H43" s="66">
        <f t="shared" si="28"/>
        <v>-6064.0928424321055</v>
      </c>
      <c r="I43" s="65">
        <f>IFERROR(VLOOKUP($A43,[1]!LOOKUP_MDAPs,I$3,FALSE),"")</f>
        <v>0.158776</v>
      </c>
      <c r="J43" s="64" t="e">
        <f>VLOOKUP($A43,[1]!LOOKUP_SARS_2009_Change_Breakdown,J$3,FALSE)+0</f>
        <v>#NAME?</v>
      </c>
      <c r="K43" s="64" t="e">
        <f>VLOOKUP($A43,[1]!LOOKUP_SARS_2009_Change_Breakdown,K$3,FALSE)+0</f>
        <v>#NAME?</v>
      </c>
      <c r="L43" s="64" t="e">
        <f>VLOOKUP($A43,[1]!LOOKUP_SARS_2009_Change_Breakdown,L$3,FALSE)+0</f>
        <v>#NAME?</v>
      </c>
      <c r="M43" s="64" t="e">
        <f>VLOOKUP($A43,[1]!LOOKUP_SARS_2009_Change_Breakdown,M$3,FALSE)+0</f>
        <v>#NAME?</v>
      </c>
      <c r="N43" s="64" t="e">
        <f>VLOOKUP($A43,[1]!LOOKUP_SARS_2009_Change_Breakdown,N$3,FALSE)+0</f>
        <v>#NAME?</v>
      </c>
      <c r="O43" s="64" t="e">
        <f>VLOOKUP($A43,[1]!LOOKUP_SARS_2009_Change_Breakdown,O$3,FALSE)+0</f>
        <v>#NAME?</v>
      </c>
      <c r="P43" s="64" t="e">
        <f>VLOOKUP($A43,[1]!LOOKUP_SARS_2009_Change_Breakdown,P$3,FALSE)+0</f>
        <v>#NAME?</v>
      </c>
      <c r="Q43" s="64" t="e">
        <f>VLOOKUP($A43,[1]!LOOKUP_SARS_2009_Change_Breakdown,Q$3,FALSE)+0</f>
        <v>#NAME?</v>
      </c>
      <c r="R43" s="26" t="e">
        <f>VLOOKUP($A43,[1]!LOOKUP_SARS_2009,R$3,FALSE)</f>
        <v>#NAME?</v>
      </c>
      <c r="S43" s="1" t="e">
        <f t="shared" si="22"/>
        <v>#NAME?</v>
      </c>
      <c r="U43" s="1" t="str">
        <f t="shared" si="56"/>
        <v>Follow-On</v>
      </c>
      <c r="V43" s="37" t="e">
        <f t="shared" si="57"/>
        <v>#NAME?</v>
      </c>
      <c r="W43" s="37" t="e">
        <f t="shared" si="58"/>
        <v>#NAME?</v>
      </c>
      <c r="X43" s="37" t="e">
        <f t="shared" si="59"/>
        <v>#NAME?</v>
      </c>
      <c r="Y43" s="71" t="e">
        <f t="shared" si="60"/>
        <v>#NAME?</v>
      </c>
      <c r="Z43" s="37" t="e">
        <f t="shared" si="61"/>
        <v>#NAME?</v>
      </c>
      <c r="AA43" s="37" t="e">
        <f t="shared" si="62"/>
        <v>#NAME?</v>
      </c>
      <c r="AB43" s="71" t="e">
        <f t="shared" si="63"/>
        <v>#NAME?</v>
      </c>
      <c r="AC43" s="37" t="e">
        <f t="shared" si="64"/>
        <v>#NAME?</v>
      </c>
      <c r="AD43" s="37" t="e">
        <f t="shared" si="65"/>
        <v>#NAME?</v>
      </c>
      <c r="AE43" s="71" t="e">
        <f t="shared" si="66"/>
        <v>#NAME?</v>
      </c>
      <c r="AF43" s="37" t="e">
        <f t="shared" si="67"/>
        <v>#NAME?</v>
      </c>
      <c r="AG43" s="37" t="e">
        <f t="shared" si="68"/>
        <v>#NAME?</v>
      </c>
      <c r="AH43" s="71" t="e">
        <f t="shared" si="69"/>
        <v>#NAME?</v>
      </c>
      <c r="AI43" s="37" t="e">
        <f t="shared" si="70"/>
        <v>#NAME?</v>
      </c>
      <c r="AJ43" s="37" t="e">
        <f t="shared" si="71"/>
        <v>#NAME?</v>
      </c>
      <c r="AK43" s="71" t="e">
        <f t="shared" si="72"/>
        <v>#NAME?</v>
      </c>
      <c r="AL43" s="37" t="e">
        <f t="shared" si="73"/>
        <v>#NAME?</v>
      </c>
      <c r="AM43" s="37" t="e">
        <f t="shared" si="74"/>
        <v>#NAME?</v>
      </c>
      <c r="AN43" s="71" t="e">
        <f t="shared" si="75"/>
        <v>#NAME?</v>
      </c>
      <c r="AO43" s="51" t="e">
        <f t="shared" si="76"/>
        <v>#NAME?</v>
      </c>
      <c r="AP43" s="51" t="e">
        <f t="shared" si="77"/>
        <v>#NAME?</v>
      </c>
      <c r="AQ43" s="37" t="e">
        <f t="shared" si="78"/>
        <v>#NAME?</v>
      </c>
      <c r="AR43" s="19" t="e">
        <f t="shared" si="79"/>
        <v>#NAME?</v>
      </c>
      <c r="CK43" s="37"/>
      <c r="CL43" s="37"/>
      <c r="CM43" s="37"/>
      <c r="CN43" s="37"/>
      <c r="CO43" s="37"/>
      <c r="CP43" s="37"/>
      <c r="CQ43" s="37"/>
      <c r="CR43" s="37"/>
      <c r="CS43" s="63"/>
      <c r="CT43" s="62"/>
      <c r="CU43" s="19"/>
    </row>
    <row r="44" spans="1:99" s="1" customFormat="1" x14ac:dyDescent="0.25">
      <c r="A44" s="92" t="s">
        <v>26</v>
      </c>
      <c r="B44" s="66">
        <f>IFERROR(VLOOKUP($A44,[1]!LOOKUP_MDAPs,B$3,FALSE)/$I44,"")</f>
        <v>485.80395456412685</v>
      </c>
      <c r="C44" s="66">
        <f>IFERROR(VLOOKUP($A44,[1]!LOOKUP_MDAPs,C$3,FALSE)/$I44,"")</f>
        <v>40.534672741166425</v>
      </c>
      <c r="D44" s="66">
        <f>IFERROR(VLOOKUP($A44,[1]!LOOKUP_MDAPs,D$3,FALSE)/$I44,"")</f>
        <v>319.48268822447505</v>
      </c>
      <c r="E44" s="66">
        <f>IFERROR(VLOOKUP($A44,[1]!LOOKUP_MDAPs,E$3,FALSE)/$I44,"")</f>
        <v>33.86401723568143</v>
      </c>
      <c r="F44" s="66">
        <f>IFERROR(VLOOKUP($A44,[1]!LOOKUP_MDAPs,F$3,FALSE)/$I44,"")</f>
        <v>71.353417535212444</v>
      </c>
      <c r="G44" s="66">
        <f>IFERROR(VLOOKUP($A44,[1]!LOOKUP_MDAPs,G$3,FALSE)/$I44,"")</f>
        <v>3588.097256155223</v>
      </c>
      <c r="H44" s="66">
        <f t="shared" si="28"/>
        <v>-4538.1360064558849</v>
      </c>
      <c r="I44" s="65">
        <f>IFERROR(VLOOKUP($A44,[1]!LOOKUP_MDAPs,I$3,FALSE),"")</f>
        <v>7.471013E-2</v>
      </c>
      <c r="J44" s="64" t="e">
        <f>VLOOKUP($A44,[1]!LOOKUP_SARS_2009_Change_Breakdown,J$3,FALSE)+0</f>
        <v>#NAME?</v>
      </c>
      <c r="K44" s="64" t="e">
        <f>VLOOKUP($A44,[1]!LOOKUP_SARS_2009_Change_Breakdown,K$3,FALSE)+0</f>
        <v>#NAME?</v>
      </c>
      <c r="L44" s="64" t="e">
        <f>VLOOKUP($A44,[1]!LOOKUP_SARS_2009_Change_Breakdown,L$3,FALSE)+0</f>
        <v>#NAME?</v>
      </c>
      <c r="M44" s="64" t="e">
        <f>VLOOKUP($A44,[1]!LOOKUP_SARS_2009_Change_Breakdown,M$3,FALSE)+0</f>
        <v>#NAME?</v>
      </c>
      <c r="N44" s="64" t="e">
        <f>VLOOKUP($A44,[1]!LOOKUP_SARS_2009_Change_Breakdown,N$3,FALSE)+0</f>
        <v>#NAME?</v>
      </c>
      <c r="O44" s="64" t="e">
        <f>VLOOKUP($A44,[1]!LOOKUP_SARS_2009_Change_Breakdown,O$3,FALSE)+0</f>
        <v>#NAME?</v>
      </c>
      <c r="P44" s="64" t="e">
        <f>VLOOKUP($A44,[1]!LOOKUP_SARS_2009_Change_Breakdown,P$3,FALSE)+0</f>
        <v>#NAME?</v>
      </c>
      <c r="Q44" s="64" t="e">
        <f>VLOOKUP($A44,[1]!LOOKUP_SARS_2009_Change_Breakdown,Q$3,FALSE)+0</f>
        <v>#NAME?</v>
      </c>
      <c r="R44" s="26" t="e">
        <f>VLOOKUP($A44,[1]!LOOKUP_SARS_2009,R$3,FALSE)</f>
        <v>#NAME?</v>
      </c>
      <c r="S44" s="1" t="e">
        <f t="shared" ref="S44:S75" si="80">1/R44</f>
        <v>#NAME?</v>
      </c>
      <c r="U44" s="1" t="str">
        <f t="shared" si="56"/>
        <v>None</v>
      </c>
      <c r="V44" s="37" t="e">
        <f t="shared" si="57"/>
        <v>#NAME?</v>
      </c>
      <c r="W44" s="37" t="e">
        <f t="shared" si="58"/>
        <v>#NAME?</v>
      </c>
      <c r="X44" s="37" t="e">
        <f t="shared" si="59"/>
        <v>#NAME?</v>
      </c>
      <c r="Y44" s="71" t="e">
        <f t="shared" si="60"/>
        <v>#NAME?</v>
      </c>
      <c r="Z44" s="37" t="e">
        <f t="shared" si="61"/>
        <v>#NAME?</v>
      </c>
      <c r="AA44" s="37" t="e">
        <f t="shared" si="62"/>
        <v>#NAME?</v>
      </c>
      <c r="AB44" s="71" t="e">
        <f t="shared" si="63"/>
        <v>#NAME?</v>
      </c>
      <c r="AC44" s="37" t="e">
        <f t="shared" si="64"/>
        <v>#NAME?</v>
      </c>
      <c r="AD44" s="37" t="e">
        <f t="shared" si="65"/>
        <v>#NAME?</v>
      </c>
      <c r="AE44" s="71" t="e">
        <f t="shared" si="66"/>
        <v>#NAME?</v>
      </c>
      <c r="AF44" s="37" t="e">
        <f t="shared" si="67"/>
        <v>#NAME?</v>
      </c>
      <c r="AG44" s="37" t="e">
        <f t="shared" si="68"/>
        <v>#NAME?</v>
      </c>
      <c r="AH44" s="71" t="e">
        <f t="shared" si="69"/>
        <v>#NAME?</v>
      </c>
      <c r="AI44" s="37" t="e">
        <f t="shared" si="70"/>
        <v>#NAME?</v>
      </c>
      <c r="AJ44" s="37" t="e">
        <f t="shared" si="71"/>
        <v>#NAME?</v>
      </c>
      <c r="AK44" s="71" t="e">
        <f t="shared" si="72"/>
        <v>#NAME?</v>
      </c>
      <c r="AL44" s="37" t="e">
        <f t="shared" si="73"/>
        <v>#NAME?</v>
      </c>
      <c r="AM44" s="37" t="e">
        <f t="shared" si="74"/>
        <v>#NAME?</v>
      </c>
      <c r="AN44" s="71" t="e">
        <f t="shared" si="75"/>
        <v>#NAME?</v>
      </c>
      <c r="AO44" s="51" t="e">
        <f t="shared" si="76"/>
        <v>#NAME?</v>
      </c>
      <c r="AP44" s="51" t="e">
        <f t="shared" si="77"/>
        <v>#NAME?</v>
      </c>
      <c r="AQ44" s="37" t="e">
        <f t="shared" si="78"/>
        <v>#NAME?</v>
      </c>
      <c r="AR44" s="19" t="e">
        <f t="shared" si="79"/>
        <v>#NAME?</v>
      </c>
      <c r="CK44" s="37"/>
      <c r="CL44" s="37"/>
      <c r="CM44" s="37"/>
      <c r="CN44" s="37"/>
      <c r="CO44" s="37"/>
      <c r="CP44" s="37"/>
      <c r="CQ44" s="37"/>
      <c r="CR44" s="37"/>
      <c r="CS44" s="63"/>
      <c r="CT44" s="62"/>
      <c r="CU44" s="19"/>
    </row>
    <row r="45" spans="1:99" s="1" customFormat="1" x14ac:dyDescent="0.25">
      <c r="A45" s="92" t="s">
        <v>180</v>
      </c>
      <c r="B45" s="66" t="str">
        <f>IFERROR(VLOOKUP($A45,[1]!LOOKUP_MDAPs,B$3,FALSE)/$I45,"")</f>
        <v/>
      </c>
      <c r="C45" s="66" t="str">
        <f>IFERROR(VLOOKUP($A45,[1]!LOOKUP_MDAPs,C$3,FALSE)/$I45,"")</f>
        <v/>
      </c>
      <c r="D45" s="66" t="str">
        <f>IFERROR(VLOOKUP($A45,[1]!LOOKUP_MDAPs,D$3,FALSE)/$I45,"")</f>
        <v/>
      </c>
      <c r="E45" s="66" t="str">
        <f>IFERROR(VLOOKUP($A45,[1]!LOOKUP_MDAPs,E$3,FALSE)/$I45,"")</f>
        <v/>
      </c>
      <c r="F45" s="66" t="str">
        <f>IFERROR(VLOOKUP($A45,[1]!LOOKUP_MDAPs,F$3,FALSE)/$I45,"")</f>
        <v/>
      </c>
      <c r="G45" s="66" t="str">
        <f>IFERROR(VLOOKUP($A45,[1]!LOOKUP_MDAPs,G$3,FALSE)/$I45,"")</f>
        <v/>
      </c>
      <c r="H45" s="66">
        <f t="shared" si="28"/>
        <v>1</v>
      </c>
      <c r="I45" s="65">
        <f>IFERROR(VLOOKUP($A45,[1]!LOOKUP_MDAPs,I$3,FALSE),"")</f>
        <v>0</v>
      </c>
      <c r="J45" s="64" t="e">
        <f>VLOOKUP($A45,[1]!LOOKUP_SARS_2009_Change_Breakdown,J$3,FALSE)+0</f>
        <v>#NAME?</v>
      </c>
      <c r="K45" s="64" t="e">
        <f>VLOOKUP($A45,[1]!LOOKUP_SARS_2009_Change_Breakdown,K$3,FALSE)+0</f>
        <v>#NAME?</v>
      </c>
      <c r="L45" s="64" t="e">
        <f>VLOOKUP($A45,[1]!LOOKUP_SARS_2009_Change_Breakdown,L$3,FALSE)+0</f>
        <v>#NAME?</v>
      </c>
      <c r="M45" s="64" t="e">
        <f>VLOOKUP($A45,[1]!LOOKUP_SARS_2009_Change_Breakdown,M$3,FALSE)+0</f>
        <v>#NAME?</v>
      </c>
      <c r="N45" s="64" t="e">
        <f>VLOOKUP($A45,[1]!LOOKUP_SARS_2009_Change_Breakdown,N$3,FALSE)+0</f>
        <v>#NAME?</v>
      </c>
      <c r="O45" s="64" t="e">
        <f>VLOOKUP($A45,[1]!LOOKUP_SARS_2009_Change_Breakdown,O$3,FALSE)+0</f>
        <v>#NAME?</v>
      </c>
      <c r="P45" s="64" t="e">
        <f>VLOOKUP($A45,[1]!LOOKUP_SARS_2009_Change_Breakdown,P$3,FALSE)+0</f>
        <v>#NAME?</v>
      </c>
      <c r="Q45" s="64" t="e">
        <f>VLOOKUP($A45,[1]!LOOKUP_SARS_2009_Change_Breakdown,Q$3,FALSE)+0</f>
        <v>#NAME?</v>
      </c>
      <c r="R45" s="26" t="e">
        <f>VLOOKUP($A45,[1]!LOOKUP_SARS_2009,R$3,FALSE)</f>
        <v>#NAME?</v>
      </c>
      <c r="S45" s="1" t="e">
        <f t="shared" si="80"/>
        <v>#NAME?</v>
      </c>
      <c r="U45" s="1" t="str">
        <f t="shared" si="56"/>
        <v>Unclear Competition</v>
      </c>
      <c r="V45" s="37" t="e">
        <f t="shared" si="57"/>
        <v>#NAME?</v>
      </c>
      <c r="W45" s="37" t="e">
        <f t="shared" si="58"/>
        <v>#NAME?</v>
      </c>
      <c r="X45" s="37" t="e">
        <f t="shared" si="59"/>
        <v>#NAME?</v>
      </c>
      <c r="Y45" s="71" t="e">
        <f t="shared" si="60"/>
        <v>#NAME?</v>
      </c>
      <c r="Z45" s="37" t="e">
        <f t="shared" si="61"/>
        <v>#NAME?</v>
      </c>
      <c r="AA45" s="37" t="e">
        <f t="shared" si="62"/>
        <v>#NAME?</v>
      </c>
      <c r="AB45" s="71" t="e">
        <f t="shared" si="63"/>
        <v>#NAME?</v>
      </c>
      <c r="AC45" s="37" t="e">
        <f t="shared" si="64"/>
        <v>#NAME?</v>
      </c>
      <c r="AD45" s="37" t="e">
        <f t="shared" si="65"/>
        <v>#NAME?</v>
      </c>
      <c r="AE45" s="71" t="e">
        <f t="shared" si="66"/>
        <v>#NAME?</v>
      </c>
      <c r="AF45" s="37" t="e">
        <f t="shared" si="67"/>
        <v>#NAME?</v>
      </c>
      <c r="AG45" s="37" t="e">
        <f t="shared" si="68"/>
        <v>#NAME?</v>
      </c>
      <c r="AH45" s="71" t="e">
        <f t="shared" si="69"/>
        <v>#NAME?</v>
      </c>
      <c r="AI45" s="37" t="e">
        <f t="shared" si="70"/>
        <v>#NAME?</v>
      </c>
      <c r="AJ45" s="37" t="e">
        <f t="shared" si="71"/>
        <v>#NAME?</v>
      </c>
      <c r="AK45" s="71" t="e">
        <f t="shared" si="72"/>
        <v>#NAME?</v>
      </c>
      <c r="AL45" s="37" t="e">
        <f t="shared" si="73"/>
        <v>#NAME?</v>
      </c>
      <c r="AM45" s="37" t="e">
        <f t="shared" si="74"/>
        <v>#NAME?</v>
      </c>
      <c r="AN45" s="71" t="e">
        <f t="shared" si="75"/>
        <v>#NAME?</v>
      </c>
      <c r="AO45" s="51" t="e">
        <f t="shared" si="76"/>
        <v>#NAME?</v>
      </c>
      <c r="AP45" s="51" t="e">
        <f t="shared" si="77"/>
        <v>#NAME?</v>
      </c>
      <c r="AQ45" s="37" t="e">
        <f t="shared" si="78"/>
        <v>#NAME?</v>
      </c>
      <c r="AR45" s="19" t="e">
        <f t="shared" si="79"/>
        <v>#NAME?</v>
      </c>
      <c r="CK45" s="37"/>
      <c r="CL45" s="37"/>
      <c r="CM45" s="37"/>
      <c r="CN45" s="37"/>
      <c r="CO45" s="37"/>
      <c r="CP45" s="37"/>
      <c r="CQ45" s="37"/>
      <c r="CR45" s="37"/>
      <c r="CS45" s="63"/>
      <c r="CT45" s="62"/>
      <c r="CU45" s="19"/>
    </row>
    <row r="46" spans="1:99" s="1" customFormat="1" x14ac:dyDescent="0.25">
      <c r="A46" s="92" t="s">
        <v>178</v>
      </c>
      <c r="B46" s="66" t="str">
        <f>IFERROR(VLOOKUP($A46,[1]!LOOKUP_MDAPs,B$3,FALSE)/$I46,"")</f>
        <v/>
      </c>
      <c r="C46" s="66" t="str">
        <f>IFERROR(VLOOKUP($A46,[1]!LOOKUP_MDAPs,C$3,FALSE)/$I46,"")</f>
        <v/>
      </c>
      <c r="D46" s="66" t="str">
        <f>IFERROR(VLOOKUP($A46,[1]!LOOKUP_MDAPs,D$3,FALSE)/$I46,"")</f>
        <v/>
      </c>
      <c r="E46" s="66" t="str">
        <f>IFERROR(VLOOKUP($A46,[1]!LOOKUP_MDAPs,E$3,FALSE)/$I46,"")</f>
        <v/>
      </c>
      <c r="F46" s="66" t="str">
        <f>IFERROR(VLOOKUP($A46,[1]!LOOKUP_MDAPs,F$3,FALSE)/$I46,"")</f>
        <v/>
      </c>
      <c r="G46" s="66" t="str">
        <f>IFERROR(VLOOKUP($A46,[1]!LOOKUP_MDAPs,G$3,FALSE)/$I46,"")</f>
        <v/>
      </c>
      <c r="H46" s="66">
        <f t="shared" si="28"/>
        <v>1</v>
      </c>
      <c r="I46" s="65">
        <f>IFERROR(VLOOKUP($A46,[1]!LOOKUP_MDAPs,I$3,FALSE),"")</f>
        <v>0</v>
      </c>
      <c r="J46" s="64" t="e">
        <f>VLOOKUP($A46,[1]!LOOKUP_SARS_2009_Change_Breakdown,J$3,FALSE)+0</f>
        <v>#NAME?</v>
      </c>
      <c r="K46" s="64" t="e">
        <f>VLOOKUP($A46,[1]!LOOKUP_SARS_2009_Change_Breakdown,K$3,FALSE)+0</f>
        <v>#NAME?</v>
      </c>
      <c r="L46" s="64" t="e">
        <f>VLOOKUP($A46,[1]!LOOKUP_SARS_2009_Change_Breakdown,L$3,FALSE)+0</f>
        <v>#NAME?</v>
      </c>
      <c r="M46" s="64" t="e">
        <f>VLOOKUP($A46,[1]!LOOKUP_SARS_2009_Change_Breakdown,M$3,FALSE)+0</f>
        <v>#NAME?</v>
      </c>
      <c r="N46" s="64" t="e">
        <f>VLOOKUP($A46,[1]!LOOKUP_SARS_2009_Change_Breakdown,N$3,FALSE)+0</f>
        <v>#NAME?</v>
      </c>
      <c r="O46" s="64" t="e">
        <f>VLOOKUP($A46,[1]!LOOKUP_SARS_2009_Change_Breakdown,O$3,FALSE)+0</f>
        <v>#NAME?</v>
      </c>
      <c r="P46" s="64" t="e">
        <f>VLOOKUP($A46,[1]!LOOKUP_SARS_2009_Change_Breakdown,P$3,FALSE)+0</f>
        <v>#NAME?</v>
      </c>
      <c r="Q46" s="64" t="e">
        <f>VLOOKUP($A46,[1]!LOOKUP_SARS_2009_Change_Breakdown,Q$3,FALSE)+0</f>
        <v>#NAME?</v>
      </c>
      <c r="R46" s="26" t="e">
        <f>VLOOKUP($A46,[1]!LOOKUP_SARS_2009,R$3,FALSE)</f>
        <v>#NAME?</v>
      </c>
      <c r="S46" s="1" t="e">
        <f t="shared" si="80"/>
        <v>#NAME?</v>
      </c>
      <c r="CK46" s="37"/>
      <c r="CL46" s="37"/>
      <c r="CM46" s="37"/>
      <c r="CN46" s="37"/>
      <c r="CO46" s="37"/>
      <c r="CP46" s="37"/>
      <c r="CQ46" s="37"/>
      <c r="CR46" s="37"/>
      <c r="CS46" s="63"/>
      <c r="CT46" s="62"/>
      <c r="CU46" s="19"/>
    </row>
    <row r="47" spans="1:99" s="1" customFormat="1" x14ac:dyDescent="0.25">
      <c r="A47" s="92" t="s">
        <v>217</v>
      </c>
      <c r="B47" s="66" t="str">
        <f>IFERROR(VLOOKUP($A47,[1]!LOOKUP_MDAPs,B$3,FALSE)/$I47,"")</f>
        <v/>
      </c>
      <c r="C47" s="66" t="str">
        <f>IFERROR(VLOOKUP($A47,[1]!LOOKUP_MDAPs,C$3,FALSE)/$I47,"")</f>
        <v/>
      </c>
      <c r="D47" s="66" t="str">
        <f>IFERROR(VLOOKUP($A47,[1]!LOOKUP_MDAPs,D$3,FALSE)/$I47,"")</f>
        <v/>
      </c>
      <c r="E47" s="66" t="str">
        <f>IFERROR(VLOOKUP($A47,[1]!LOOKUP_MDAPs,E$3,FALSE)/$I47,"")</f>
        <v/>
      </c>
      <c r="F47" s="66" t="str">
        <f>IFERROR(VLOOKUP($A47,[1]!LOOKUP_MDAPs,F$3,FALSE)/$I47,"")</f>
        <v/>
      </c>
      <c r="G47" s="66" t="str">
        <f>IFERROR(VLOOKUP($A47,[1]!LOOKUP_MDAPs,G$3,FALSE)/$I47,"")</f>
        <v/>
      </c>
      <c r="H47" s="66">
        <f t="shared" si="28"/>
        <v>1</v>
      </c>
      <c r="I47" s="65">
        <f>IFERROR(VLOOKUP($A47,[1]!LOOKUP_MDAPs,I$3,FALSE),"")</f>
        <v>0</v>
      </c>
      <c r="J47" s="64" t="e">
        <f>VLOOKUP($A47,[1]!LOOKUP_SARS_2009_Change_Breakdown,J$3,FALSE)+0</f>
        <v>#NAME?</v>
      </c>
      <c r="K47" s="64" t="e">
        <f>VLOOKUP($A47,[1]!LOOKUP_SARS_2009_Change_Breakdown,K$3,FALSE)+0</f>
        <v>#NAME?</v>
      </c>
      <c r="L47" s="64" t="e">
        <f>VLOOKUP($A47,[1]!LOOKUP_SARS_2009_Change_Breakdown,L$3,FALSE)+0</f>
        <v>#NAME?</v>
      </c>
      <c r="M47" s="64" t="e">
        <f>VLOOKUP($A47,[1]!LOOKUP_SARS_2009_Change_Breakdown,M$3,FALSE)+0</f>
        <v>#NAME?</v>
      </c>
      <c r="N47" s="64" t="e">
        <f>VLOOKUP($A47,[1]!LOOKUP_SARS_2009_Change_Breakdown,N$3,FALSE)+0</f>
        <v>#NAME?</v>
      </c>
      <c r="O47" s="64" t="e">
        <f>VLOOKUP($A47,[1]!LOOKUP_SARS_2009_Change_Breakdown,O$3,FALSE)+0</f>
        <v>#NAME?</v>
      </c>
      <c r="P47" s="64" t="e">
        <f>VLOOKUP($A47,[1]!LOOKUP_SARS_2009_Change_Breakdown,P$3,FALSE)+0</f>
        <v>#NAME?</v>
      </c>
      <c r="Q47" s="64" t="e">
        <f>VLOOKUP($A47,[1]!LOOKUP_SARS_2009_Change_Breakdown,Q$3,FALSE)+0</f>
        <v>#NAME?</v>
      </c>
      <c r="R47" s="26" t="e">
        <f>VLOOKUP($A47,[1]!LOOKUP_SARS_2009,R$3,FALSE)</f>
        <v>#NAME?</v>
      </c>
      <c r="S47" s="1" t="e">
        <f t="shared" si="80"/>
        <v>#NAME?</v>
      </c>
      <c r="V47" s="37"/>
      <c r="X47" s="19" t="e">
        <f>SUM(V39:X39)</f>
        <v>#NAME?</v>
      </c>
      <c r="Y47" s="19" t="e">
        <f>MAX(CEILING(MAX(X$39:X$45)*$U$38,1)/$U$38+CEILING(MAX(Z$39:Z$45)*$U$38,1)/$U$38,0.2)-X47-Z47</f>
        <v>#NAME?</v>
      </c>
      <c r="Z47" s="19" t="e">
        <f>SUM(V39:X39)</f>
        <v>#NAME?</v>
      </c>
      <c r="AB47" s="19"/>
      <c r="AD47" s="70" t="e">
        <f>MAX(AD39:AD45)</f>
        <v>#NAME?</v>
      </c>
      <c r="AE47" s="19"/>
      <c r="AF47" s="70" t="e">
        <f>MAX(AF39:AF45)</f>
        <v>#NAME?</v>
      </c>
      <c r="AH47" s="19"/>
      <c r="AK47" s="19"/>
      <c r="AN47" s="19"/>
      <c r="CK47" s="37"/>
      <c r="CL47" s="37"/>
      <c r="CM47" s="37"/>
      <c r="CN47" s="37"/>
      <c r="CO47" s="37"/>
      <c r="CP47" s="37"/>
      <c r="CQ47" s="37"/>
      <c r="CR47" s="37"/>
      <c r="CS47" s="63"/>
      <c r="CT47" s="62"/>
      <c r="CU47" s="19"/>
    </row>
    <row r="48" spans="1:99" s="1" customFormat="1" x14ac:dyDescent="0.25">
      <c r="A48" s="92" t="s">
        <v>29</v>
      </c>
      <c r="B48" s="66" t="str">
        <f>IFERROR(VLOOKUP($A48,[1]!LOOKUP_MDAPs,B$3,FALSE)/$I48,"")</f>
        <v/>
      </c>
      <c r="C48" s="66" t="str">
        <f>IFERROR(VLOOKUP($A48,[1]!LOOKUP_MDAPs,C$3,FALSE)/$I48,"")</f>
        <v/>
      </c>
      <c r="D48" s="66" t="str">
        <f>IFERROR(VLOOKUP($A48,[1]!LOOKUP_MDAPs,D$3,FALSE)/$I48,"")</f>
        <v/>
      </c>
      <c r="E48" s="66" t="str">
        <f>IFERROR(VLOOKUP($A48,[1]!LOOKUP_MDAPs,E$3,FALSE)/$I48,"")</f>
        <v/>
      </c>
      <c r="F48" s="66" t="str">
        <f>IFERROR(VLOOKUP($A48,[1]!LOOKUP_MDAPs,F$3,FALSE)/$I48,"")</f>
        <v/>
      </c>
      <c r="G48" s="66" t="str">
        <f>IFERROR(VLOOKUP($A48,[1]!LOOKUP_MDAPs,G$3,FALSE)/$I48,"")</f>
        <v/>
      </c>
      <c r="H48" s="66">
        <f t="shared" si="28"/>
        <v>1</v>
      </c>
      <c r="I48" s="65">
        <f>IFERROR(VLOOKUP($A48,[1]!LOOKUP_MDAPs,I$3,FALSE),"")</f>
        <v>0</v>
      </c>
      <c r="J48" s="64" t="e">
        <f>VLOOKUP($A48,[1]!LOOKUP_SARS_2009_Change_Breakdown,J$3,FALSE)+0</f>
        <v>#NAME?</v>
      </c>
      <c r="K48" s="64" t="e">
        <f>VLOOKUP($A48,[1]!LOOKUP_SARS_2009_Change_Breakdown,K$3,FALSE)+0</f>
        <v>#NAME?</v>
      </c>
      <c r="L48" s="64" t="e">
        <f>VLOOKUP($A48,[1]!LOOKUP_SARS_2009_Change_Breakdown,L$3,FALSE)+0</f>
        <v>#NAME?</v>
      </c>
      <c r="M48" s="64" t="e">
        <f>VLOOKUP($A48,[1]!LOOKUP_SARS_2009_Change_Breakdown,M$3,FALSE)+0</f>
        <v>#NAME?</v>
      </c>
      <c r="N48" s="64" t="e">
        <f>VLOOKUP($A48,[1]!LOOKUP_SARS_2009_Change_Breakdown,N$3,FALSE)+0</f>
        <v>#NAME?</v>
      </c>
      <c r="O48" s="64" t="e">
        <f>VLOOKUP($A48,[1]!LOOKUP_SARS_2009_Change_Breakdown,O$3,FALSE)+0</f>
        <v>#NAME?</v>
      </c>
      <c r="P48" s="64" t="e">
        <f>VLOOKUP($A48,[1]!LOOKUP_SARS_2009_Change_Breakdown,P$3,FALSE)+0</f>
        <v>#NAME?</v>
      </c>
      <c r="Q48" s="64" t="e">
        <f>VLOOKUP($A48,[1]!LOOKUP_SARS_2009_Change_Breakdown,Q$3,FALSE)+0</f>
        <v>#NAME?</v>
      </c>
      <c r="R48" s="26" t="e">
        <f>VLOOKUP($A48,[1]!LOOKUP_SARS_2009,R$3,FALSE)</f>
        <v>#NAME?</v>
      </c>
      <c r="S48" s="1" t="e">
        <f t="shared" si="80"/>
        <v>#NAME?</v>
      </c>
      <c r="CK48" s="37"/>
      <c r="CL48" s="37"/>
      <c r="CM48" s="37"/>
      <c r="CN48" s="37"/>
      <c r="CO48" s="37"/>
      <c r="CP48" s="37"/>
      <c r="CQ48" s="37"/>
      <c r="CR48" s="37"/>
      <c r="CS48" s="63"/>
      <c r="CT48" s="62"/>
      <c r="CU48" s="19"/>
    </row>
    <row r="49" spans="1:99" s="1" customFormat="1" x14ac:dyDescent="0.25">
      <c r="A49" s="92" t="s">
        <v>48</v>
      </c>
      <c r="B49" s="66">
        <f>IFERROR(VLOOKUP($A49,[1]!LOOKUP_MDAPs,B$3,FALSE)/$I49,"")</f>
        <v>3.021342877927697</v>
      </c>
      <c r="C49" s="66">
        <f>IFERROR(VLOOKUP($A49,[1]!LOOKUP_MDAPs,C$3,FALSE)/$I49,"")</f>
        <v>0.60345616792337686</v>
      </c>
      <c r="D49" s="66">
        <f>IFERROR(VLOOKUP($A49,[1]!LOOKUP_MDAPs,D$3,FALSE)/$I49,"")</f>
        <v>7.8137676133990669E-2</v>
      </c>
      <c r="E49" s="66">
        <f>IFERROR(VLOOKUP($A49,[1]!LOOKUP_MDAPs,E$3,FALSE)/$I49,"")</f>
        <v>1.0508954706021005</v>
      </c>
      <c r="F49" s="66">
        <f>IFERROR(VLOOKUP($A49,[1]!LOOKUP_MDAPs,F$3,FALSE)/$I49,"")</f>
        <v>0.35436906909141996</v>
      </c>
      <c r="G49" s="66">
        <f>IFERROR(VLOOKUP($A49,[1]!LOOKUP_MDAPs,G$3,FALSE)/$I49,"")</f>
        <v>76.334004596725975</v>
      </c>
      <c r="H49" s="66">
        <f t="shared" si="28"/>
        <v>-80.442205858404563</v>
      </c>
      <c r="I49" s="65">
        <f>IFERROR(VLOOKUP($A49,[1]!LOOKUP_MDAPs,I$3,FALSE),"")</f>
        <v>138.84225033000001</v>
      </c>
      <c r="J49" s="64" t="e">
        <f>VLOOKUP($A49,[1]!LOOKUP_SARS_2009_Change_Breakdown,J$3,FALSE)+0</f>
        <v>#NAME?</v>
      </c>
      <c r="K49" s="64" t="e">
        <f>VLOOKUP($A49,[1]!LOOKUP_SARS_2009_Change_Breakdown,K$3,FALSE)+0</f>
        <v>#NAME?</v>
      </c>
      <c r="L49" s="64" t="e">
        <f>VLOOKUP($A49,[1]!LOOKUP_SARS_2009_Change_Breakdown,L$3,FALSE)+0</f>
        <v>#NAME?</v>
      </c>
      <c r="M49" s="64" t="e">
        <f>VLOOKUP($A49,[1]!LOOKUP_SARS_2009_Change_Breakdown,M$3,FALSE)+0</f>
        <v>#NAME?</v>
      </c>
      <c r="N49" s="64" t="e">
        <f>VLOOKUP($A49,[1]!LOOKUP_SARS_2009_Change_Breakdown,N$3,FALSE)+0</f>
        <v>#NAME?</v>
      </c>
      <c r="O49" s="64" t="e">
        <f>VLOOKUP($A49,[1]!LOOKUP_SARS_2009_Change_Breakdown,O$3,FALSE)+0</f>
        <v>#NAME?</v>
      </c>
      <c r="P49" s="64" t="e">
        <f>VLOOKUP($A49,[1]!LOOKUP_SARS_2009_Change_Breakdown,P$3,FALSE)+0</f>
        <v>#NAME?</v>
      </c>
      <c r="Q49" s="64" t="e">
        <f>VLOOKUP($A49,[1]!LOOKUP_SARS_2009_Change_Breakdown,Q$3,FALSE)+0</f>
        <v>#NAME?</v>
      </c>
      <c r="R49" s="26" t="e">
        <f>VLOOKUP($A49,[1]!LOOKUP_SARS_2009,R$3,FALSE)</f>
        <v>#NAME?</v>
      </c>
      <c r="S49" s="1" t="e">
        <f t="shared" si="80"/>
        <v>#NAME?</v>
      </c>
      <c r="V49" s="1">
        <v>0</v>
      </c>
      <c r="W49" s="1">
        <v>1</v>
      </c>
      <c r="X49" s="1">
        <v>2</v>
      </c>
      <c r="Y49" s="1">
        <v>3</v>
      </c>
      <c r="Z49" s="1">
        <v>4</v>
      </c>
      <c r="AA49" s="1">
        <v>5</v>
      </c>
      <c r="AB49" s="1">
        <v>6</v>
      </c>
      <c r="AC49" s="1">
        <v>7</v>
      </c>
      <c r="CK49" s="37"/>
      <c r="CL49" s="37"/>
      <c r="CM49" s="37"/>
      <c r="CN49" s="37"/>
      <c r="CO49" s="37"/>
      <c r="CP49" s="37"/>
      <c r="CQ49" s="37"/>
      <c r="CR49" s="37"/>
      <c r="CS49" s="63"/>
      <c r="CT49" s="62"/>
      <c r="CU49" s="19"/>
    </row>
    <row r="50" spans="1:99" s="1" customFormat="1" x14ac:dyDescent="0.25">
      <c r="A50" s="92" t="s">
        <v>244</v>
      </c>
      <c r="B50" s="66">
        <f>IFERROR(VLOOKUP($A50,[1]!LOOKUP_MDAPs,B$3,FALSE)/$I50,"")</f>
        <v>3.1738058535499183E-3</v>
      </c>
      <c r="C50" s="66">
        <f>IFERROR(VLOOKUP($A50,[1]!LOOKUP_MDAPs,C$3,FALSE)/$I50,"")</f>
        <v>2.870384118752769E-3</v>
      </c>
      <c r="D50" s="66">
        <f>IFERROR(VLOOKUP($A50,[1]!LOOKUP_MDAPs,D$3,FALSE)/$I50,"")</f>
        <v>0.43056737588551286</v>
      </c>
      <c r="E50" s="66">
        <f>IFERROR(VLOOKUP($A50,[1]!LOOKUP_MDAPs,E$3,FALSE)/$I50,"")</f>
        <v>0</v>
      </c>
      <c r="F50" s="66">
        <f>IFERROR(VLOOKUP($A50,[1]!LOOKUP_MDAPs,F$3,FALSE)/$I50,"")</f>
        <v>0.33788908109197396</v>
      </c>
      <c r="G50" s="66">
        <f>IFERROR(VLOOKUP($A50,[1]!LOOKUP_MDAPs,G$3,FALSE)/$I50,"")</f>
        <v>14.81481944704583</v>
      </c>
      <c r="H50" s="66">
        <f t="shared" si="28"/>
        <v>-14.589320093995619</v>
      </c>
      <c r="I50" s="65">
        <f>IFERROR(VLOOKUP($A50,[1]!LOOKUP_MDAPs,I$3,FALSE),"")</f>
        <v>1355.5955715400003</v>
      </c>
      <c r="J50" s="64" t="e">
        <f>VLOOKUP($A50,[1]!LOOKUP_SARS_2009_Change_Breakdown,J$3,FALSE)+0</f>
        <v>#NAME?</v>
      </c>
      <c r="K50" s="64" t="e">
        <f>VLOOKUP($A50,[1]!LOOKUP_SARS_2009_Change_Breakdown,K$3,FALSE)+0</f>
        <v>#NAME?</v>
      </c>
      <c r="L50" s="64" t="e">
        <f>VLOOKUP($A50,[1]!LOOKUP_SARS_2009_Change_Breakdown,L$3,FALSE)+0</f>
        <v>#NAME?</v>
      </c>
      <c r="M50" s="64" t="e">
        <f>VLOOKUP($A50,[1]!LOOKUP_SARS_2009_Change_Breakdown,M$3,FALSE)+0</f>
        <v>#NAME?</v>
      </c>
      <c r="N50" s="64" t="e">
        <f>VLOOKUP($A50,[1]!LOOKUP_SARS_2009_Change_Breakdown,N$3,FALSE)+0</f>
        <v>#NAME?</v>
      </c>
      <c r="O50" s="64" t="e">
        <f>VLOOKUP($A50,[1]!LOOKUP_SARS_2009_Change_Breakdown,O$3,FALSE)+0</f>
        <v>#NAME?</v>
      </c>
      <c r="P50" s="64" t="e">
        <f>VLOOKUP($A50,[1]!LOOKUP_SARS_2009_Change_Breakdown,P$3,FALSE)+0</f>
        <v>#NAME?</v>
      </c>
      <c r="Q50" s="64" t="e">
        <f>VLOOKUP($A50,[1]!LOOKUP_SARS_2009_Change_Breakdown,Q$3,FALSE)+0</f>
        <v>#NAME?</v>
      </c>
      <c r="R50" s="26" t="e">
        <f>VLOOKUP($A50,[1]!LOOKUP_SARS_2009,R$3,FALSE)</f>
        <v>#NAME?</v>
      </c>
      <c r="S50" s="1" t="e">
        <f t="shared" si="80"/>
        <v>#NAME?</v>
      </c>
      <c r="V50" s="19" t="str">
        <f>X38</f>
        <v>Economic</v>
      </c>
      <c r="W50" s="19" t="str">
        <f>AD38</f>
        <v>Schedule</v>
      </c>
      <c r="X50" s="19" t="str">
        <f>AG38</f>
        <v>Engineering</v>
      </c>
      <c r="Y50" s="19" t="str">
        <f>AJ38</f>
        <v>Estimating</v>
      </c>
      <c r="Z50" s="19" t="str">
        <f>AM38</f>
        <v>Support</v>
      </c>
      <c r="AA50" s="19" t="str">
        <f>AP38</f>
        <v>Other</v>
      </c>
      <c r="AB50" s="19" t="str">
        <f>AA38</f>
        <v>Quantity</v>
      </c>
      <c r="AC50" s="9" t="s">
        <v>82</v>
      </c>
      <c r="CK50" s="37"/>
      <c r="CL50" s="37"/>
      <c r="CM50" s="37"/>
      <c r="CN50" s="37"/>
      <c r="CO50" s="37"/>
      <c r="CP50" s="37"/>
      <c r="CQ50" s="37"/>
      <c r="CR50" s="37"/>
      <c r="CS50" s="63"/>
      <c r="CT50" s="62"/>
      <c r="CU50" s="19"/>
    </row>
    <row r="51" spans="1:99" s="1" customFormat="1" x14ac:dyDescent="0.25">
      <c r="A51" s="92" t="s">
        <v>10</v>
      </c>
      <c r="B51" s="66">
        <f>IFERROR(VLOOKUP($A51,[1]!LOOKUP_MDAPs,B$3,FALSE)/$I51,"")</f>
        <v>9.2329750169076637E-3</v>
      </c>
      <c r="C51" s="66">
        <f>IFERROR(VLOOKUP($A51,[1]!LOOKUP_MDAPs,C$3,FALSE)/$I51,"")</f>
        <v>3.0818101501944306E-3</v>
      </c>
      <c r="D51" s="66">
        <f>IFERROR(VLOOKUP($A51,[1]!LOOKUP_MDAPs,D$3,FALSE)/$I51,"")</f>
        <v>2.9797963442400151E-2</v>
      </c>
      <c r="E51" s="66">
        <f>IFERROR(VLOOKUP($A51,[1]!LOOKUP_MDAPs,E$3,FALSE)/$I51,"")</f>
        <v>1.9473340421032356E-3</v>
      </c>
      <c r="F51" s="66">
        <f>IFERROR(VLOOKUP($A51,[1]!LOOKUP_MDAPs,F$3,FALSE)/$I51,"")</f>
        <v>4.9085789415268292E-4</v>
      </c>
      <c r="G51" s="66">
        <f>IFERROR(VLOOKUP($A51,[1]!LOOKUP_MDAPs,G$3,FALSE)/$I51,"")</f>
        <v>1.7923521440300043</v>
      </c>
      <c r="H51" s="66">
        <f t="shared" si="28"/>
        <v>-0.83690308457576257</v>
      </c>
      <c r="I51" s="65">
        <f>IFERROR(VLOOKUP($A51,[1]!LOOKUP_MDAPs,I$3,FALSE),"")</f>
        <v>4508.23323076</v>
      </c>
      <c r="J51" s="64" t="e">
        <f>VLOOKUP($A51,[1]!LOOKUP_SARS_2009_Change_Breakdown,J$3,FALSE)+0</f>
        <v>#NAME?</v>
      </c>
      <c r="K51" s="64" t="e">
        <f>VLOOKUP($A51,[1]!LOOKUP_SARS_2009_Change_Breakdown,K$3,FALSE)+0</f>
        <v>#NAME?</v>
      </c>
      <c r="L51" s="64" t="e">
        <f>VLOOKUP($A51,[1]!LOOKUP_SARS_2009_Change_Breakdown,L$3,FALSE)+0</f>
        <v>#NAME?</v>
      </c>
      <c r="M51" s="64" t="e">
        <f>VLOOKUP($A51,[1]!LOOKUP_SARS_2009_Change_Breakdown,M$3,FALSE)+0</f>
        <v>#NAME?</v>
      </c>
      <c r="N51" s="64" t="e">
        <f>VLOOKUP($A51,[1]!LOOKUP_SARS_2009_Change_Breakdown,N$3,FALSE)+0</f>
        <v>#NAME?</v>
      </c>
      <c r="O51" s="64" t="e">
        <f>VLOOKUP($A51,[1]!LOOKUP_SARS_2009_Change_Breakdown,O$3,FALSE)+0</f>
        <v>#NAME?</v>
      </c>
      <c r="P51" s="64" t="e">
        <f>VLOOKUP($A51,[1]!LOOKUP_SARS_2009_Change_Breakdown,P$3,FALSE)+0</f>
        <v>#NAME?</v>
      </c>
      <c r="Q51" s="64" t="e">
        <f>VLOOKUP($A51,[1]!LOOKUP_SARS_2009_Change_Breakdown,Q$3,FALSE)+0</f>
        <v>#NAME?</v>
      </c>
      <c r="R51" s="26" t="e">
        <f>VLOOKUP($A51,[1]!LOOKUP_SARS_2009,R$3,FALSE)</f>
        <v>#NAME?</v>
      </c>
      <c r="S51" s="1" t="e">
        <f t="shared" si="80"/>
        <v>#NAME?</v>
      </c>
      <c r="V51" s="24" t="e">
        <f>SUM($V$45:X$45)+CEILING(MAX(X$39:X$45)*$U$38,1)/$U$38-X45</f>
        <v>#NAME?</v>
      </c>
      <c r="W51" s="24" t="e">
        <f>SUM($V$45:AD$45)+CEILING(MAX(AD$39:AD$45)*$U$38,1)/$U$38-AD45</f>
        <v>#NAME?</v>
      </c>
      <c r="X51" s="24" t="e">
        <f>SUM($V$45:AG$45)+CEILING(MAX(AG$39:AG$45)*$U$38,1)/$U$38-AG45</f>
        <v>#NAME?</v>
      </c>
      <c r="Y51" s="24" t="e">
        <f>SUM($V$45:AJ$45)+CEILING(MAX(AJ$39:AJ$45)*$U$38,1)/$U$38-AJ45</f>
        <v>#NAME?</v>
      </c>
      <c r="Z51" s="24" t="e">
        <f>SUM($V$45:AM$45)+CEILING(MAX(AM$39:AM$45)*$U$38,1)/$U$38-AM45</f>
        <v>#NAME?</v>
      </c>
      <c r="AA51" s="24" t="e">
        <f>SUM($V$45:AP$45)+CEILING(MAX(AP$39:AP$45)*$U$38,1)/$U$38-AP45</f>
        <v>#NAME?</v>
      </c>
      <c r="AB51" s="24" t="e">
        <f>SUM($V$45:AP$45)+CEILING(MAX(AA$39:AA$45)*$U$38,1)/$U$38-AA45</f>
        <v>#NAME?</v>
      </c>
      <c r="AC51" s="19" t="e">
        <f>SUM(V45:AQ45)</f>
        <v>#NAME?</v>
      </c>
      <c r="CK51" s="37"/>
      <c r="CL51" s="37"/>
      <c r="CM51" s="37"/>
      <c r="CN51" s="37"/>
      <c r="CO51" s="37"/>
      <c r="CP51" s="37"/>
      <c r="CQ51" s="37"/>
      <c r="CR51" s="37"/>
      <c r="CS51" s="63"/>
      <c r="CT51" s="62"/>
      <c r="CU51" s="19"/>
    </row>
    <row r="52" spans="1:99" s="1" customFormat="1" x14ac:dyDescent="0.25">
      <c r="A52" s="92" t="s">
        <v>1</v>
      </c>
      <c r="B52" s="66" t="str">
        <f>IFERROR(VLOOKUP($A52,[1]!LOOKUP_MDAPs,B$3,FALSE)/$I52,"")</f>
        <v/>
      </c>
      <c r="C52" s="66" t="str">
        <f>IFERROR(VLOOKUP($A52,[1]!LOOKUP_MDAPs,C$3,FALSE)/$I52,"")</f>
        <v/>
      </c>
      <c r="D52" s="66" t="str">
        <f>IFERROR(VLOOKUP($A52,[1]!LOOKUP_MDAPs,D$3,FALSE)/$I52,"")</f>
        <v/>
      </c>
      <c r="E52" s="66" t="str">
        <f>IFERROR(VLOOKUP($A52,[1]!LOOKUP_MDAPs,E$3,FALSE)/$I52,"")</f>
        <v/>
      </c>
      <c r="F52" s="66" t="str">
        <f>IFERROR(VLOOKUP($A52,[1]!LOOKUP_MDAPs,F$3,FALSE)/$I52,"")</f>
        <v/>
      </c>
      <c r="G52" s="66" t="str">
        <f>IFERROR(VLOOKUP($A52,[1]!LOOKUP_MDAPs,G$3,FALSE)/$I52,"")</f>
        <v/>
      </c>
      <c r="H52" s="66">
        <f t="shared" si="28"/>
        <v>1</v>
      </c>
      <c r="I52" s="65">
        <f>IFERROR(VLOOKUP($A52,[1]!LOOKUP_MDAPs,I$3,FALSE),"")</f>
        <v>0</v>
      </c>
      <c r="J52" s="64" t="e">
        <f>VLOOKUP($A52,[1]!LOOKUP_SARS_2009_Change_Breakdown,J$3,FALSE)+0</f>
        <v>#NAME?</v>
      </c>
      <c r="K52" s="64" t="e">
        <f>VLOOKUP($A52,[1]!LOOKUP_SARS_2009_Change_Breakdown,K$3,FALSE)+0</f>
        <v>#NAME?</v>
      </c>
      <c r="L52" s="64" t="e">
        <f>VLOOKUP($A52,[1]!LOOKUP_SARS_2009_Change_Breakdown,L$3,FALSE)+0</f>
        <v>#NAME?</v>
      </c>
      <c r="M52" s="64" t="e">
        <f>VLOOKUP($A52,[1]!LOOKUP_SARS_2009_Change_Breakdown,M$3,FALSE)+0</f>
        <v>#NAME?</v>
      </c>
      <c r="N52" s="64" t="e">
        <f>VLOOKUP($A52,[1]!LOOKUP_SARS_2009_Change_Breakdown,N$3,FALSE)+0</f>
        <v>#NAME?</v>
      </c>
      <c r="O52" s="64" t="e">
        <f>VLOOKUP($A52,[1]!LOOKUP_SARS_2009_Change_Breakdown,O$3,FALSE)+0</f>
        <v>#NAME?</v>
      </c>
      <c r="P52" s="64" t="e">
        <f>VLOOKUP($A52,[1]!LOOKUP_SARS_2009_Change_Breakdown,P$3,FALSE)+0</f>
        <v>#NAME?</v>
      </c>
      <c r="Q52" s="64" t="e">
        <f>VLOOKUP($A52,[1]!LOOKUP_SARS_2009_Change_Breakdown,Q$3,FALSE)+0</f>
        <v>#NAME?</v>
      </c>
      <c r="R52" s="26" t="e">
        <f>VLOOKUP($A52,[1]!LOOKUP_SARS_2009,R$3,FALSE)</f>
        <v>#NAME?</v>
      </c>
      <c r="S52" s="1" t="e">
        <f t="shared" si="80"/>
        <v>#NAME?</v>
      </c>
      <c r="V52" s="1" t="e">
        <f>MIN(CEILING(MAX(X$39:X$45)*$U$38,1)/$U$38*-1,-0.1)</f>
        <v>#NAME?</v>
      </c>
      <c r="W52" s="1" t="e">
        <f>MIN(CEILING(MAX(AC$39:AC$45)*$U$38,1)/$U$38*-1,-0.1)</f>
        <v>#NAME?</v>
      </c>
      <c r="X52" s="1" t="e">
        <f>MIN(CEILING(MAX(AF$39:AF$45)*$U$38,1)/$U$38*-1,-0.1)</f>
        <v>#NAME?</v>
      </c>
      <c r="Y52" s="1" t="e">
        <f>MIN(CEILING(MAX(AI$39:AI$45)*$U$38,1)/$U$38*-1,-0.1)</f>
        <v>#NAME?</v>
      </c>
      <c r="Z52" s="1" t="e">
        <f>MIN(CEILING(MAX(AL$39:AL$45)*$U$38,1)/$U$38*-1,-0.1)</f>
        <v>#NAME?</v>
      </c>
      <c r="AA52" s="1" t="e">
        <f>MIN(CEILING(MAX(AO$39:AO$45)*$U$38,1)/$U$38*-1,-0.1)</f>
        <v>#NAME?</v>
      </c>
      <c r="AB52" s="1" t="e">
        <f>MIN(CEILING(MAX(Z$39:Z$45)*$U$38,1)/$U$38*-1,-0.1)</f>
        <v>#NAME?</v>
      </c>
      <c r="AE52" s="19"/>
      <c r="AH52" s="19"/>
      <c r="AK52" s="19"/>
      <c r="AN52" s="19"/>
      <c r="CK52" s="37"/>
      <c r="CL52" s="37"/>
      <c r="CM52" s="37"/>
      <c r="CN52" s="37"/>
      <c r="CO52" s="37"/>
      <c r="CP52" s="37"/>
      <c r="CQ52" s="37"/>
      <c r="CR52" s="37"/>
      <c r="CS52" s="63"/>
      <c r="CT52" s="62"/>
      <c r="CU52" s="19"/>
    </row>
    <row r="53" spans="1:99" s="1" customFormat="1" x14ac:dyDescent="0.25">
      <c r="A53" s="92" t="s">
        <v>14</v>
      </c>
      <c r="B53" s="66">
        <f>IFERROR(VLOOKUP($A53,[1]!LOOKUP_MDAPs,B$3,FALSE)/$I53,"")</f>
        <v>0.96416998061293524</v>
      </c>
      <c r="C53" s="66">
        <f>IFERROR(VLOOKUP($A53,[1]!LOOKUP_MDAPs,C$3,FALSE)/$I53,"")</f>
        <v>0.14812843350469468</v>
      </c>
      <c r="D53" s="66">
        <f>IFERROR(VLOOKUP($A53,[1]!LOOKUP_MDAPs,D$3,FALSE)/$I53,"")</f>
        <v>0.4135437598564673</v>
      </c>
      <c r="E53" s="66">
        <f>IFERROR(VLOOKUP($A53,[1]!LOOKUP_MDAPs,E$3,FALSE)/$I53,"")</f>
        <v>5.8355466491853754E-2</v>
      </c>
      <c r="F53" s="66">
        <f>IFERROR(VLOOKUP($A53,[1]!LOOKUP_MDAPs,F$3,FALSE)/$I53,"")</f>
        <v>0</v>
      </c>
      <c r="G53" s="66">
        <f>IFERROR(VLOOKUP($A53,[1]!LOOKUP_MDAPs,G$3,FALSE)/$I53,"")</f>
        <v>4.9047631955223947</v>
      </c>
      <c r="H53" s="66">
        <f t="shared" si="28"/>
        <v>-5.4889608359883457</v>
      </c>
      <c r="I53" s="65">
        <f>IFERROR(VLOOKUP($A53,[1]!LOOKUP_MDAPs,I$3,FALSE),"")</f>
        <v>418.99699153999995</v>
      </c>
      <c r="J53" s="64" t="e">
        <f>VLOOKUP($A53,[1]!LOOKUP_SARS_2009_Change_Breakdown,J$3,FALSE)+0</f>
        <v>#NAME?</v>
      </c>
      <c r="K53" s="64" t="e">
        <f>VLOOKUP($A53,[1]!LOOKUP_SARS_2009_Change_Breakdown,K$3,FALSE)+0</f>
        <v>#NAME?</v>
      </c>
      <c r="L53" s="64" t="e">
        <f>VLOOKUP($A53,[1]!LOOKUP_SARS_2009_Change_Breakdown,L$3,FALSE)+0</f>
        <v>#NAME?</v>
      </c>
      <c r="M53" s="64" t="e">
        <f>VLOOKUP($A53,[1]!LOOKUP_SARS_2009_Change_Breakdown,M$3,FALSE)+0</f>
        <v>#NAME?</v>
      </c>
      <c r="N53" s="64" t="e">
        <f>VLOOKUP($A53,[1]!LOOKUP_SARS_2009_Change_Breakdown,N$3,FALSE)+0</f>
        <v>#NAME?</v>
      </c>
      <c r="O53" s="64" t="e">
        <f>VLOOKUP($A53,[1]!LOOKUP_SARS_2009_Change_Breakdown,O$3,FALSE)+0</f>
        <v>#NAME?</v>
      </c>
      <c r="P53" s="64" t="e">
        <f>VLOOKUP($A53,[1]!LOOKUP_SARS_2009_Change_Breakdown,P$3,FALSE)+0</f>
        <v>#NAME?</v>
      </c>
      <c r="Q53" s="64" t="e">
        <f>VLOOKUP($A53,[1]!LOOKUP_SARS_2009_Change_Breakdown,Q$3,FALSE)+0</f>
        <v>#NAME?</v>
      </c>
      <c r="R53" s="26" t="e">
        <f>VLOOKUP($A53,[1]!LOOKUP_SARS_2009,R$3,FALSE)</f>
        <v>#NAME?</v>
      </c>
      <c r="S53" s="1" t="e">
        <f t="shared" si="80"/>
        <v>#NAME?</v>
      </c>
      <c r="W53" s="1">
        <f>COUNTIF(V54,"&gt;100")</f>
        <v>0</v>
      </c>
      <c r="Y53" s="19"/>
      <c r="Z53" s="19"/>
      <c r="AB53" s="19"/>
      <c r="AE53" s="19" t="e">
        <f>SUM(V39:X39)</f>
        <v>#NAME?</v>
      </c>
      <c r="AH53" s="19"/>
      <c r="AK53" s="19"/>
      <c r="AN53" s="19" t="e">
        <f>SUM(V39:AB39)</f>
        <v>#NAME?</v>
      </c>
      <c r="AR53" s="19"/>
      <c r="AU53" s="19" t="e">
        <f>SUM(V39:AF39)</f>
        <v>#NAME?</v>
      </c>
      <c r="AZ53" s="19" t="e">
        <f>SUM(V39:AI39)</f>
        <v>#NAME?</v>
      </c>
      <c r="BI53" s="19" t="e">
        <f>SUM(V39:AK39)</f>
        <v>#NAME?</v>
      </c>
      <c r="BN53" s="19" t="e">
        <f>SUM(V39:AL39)</f>
        <v>#NAME?</v>
      </c>
      <c r="BP53" s="19" t="e">
        <f>SUM(V39:AQ39)</f>
        <v>#NAME?</v>
      </c>
      <c r="CK53" s="37"/>
      <c r="CL53" s="37"/>
      <c r="CM53" s="37"/>
      <c r="CN53" s="37"/>
      <c r="CO53" s="37"/>
      <c r="CP53" s="37"/>
      <c r="CQ53" s="37"/>
      <c r="CR53" s="37"/>
      <c r="CS53" s="63"/>
      <c r="CT53" s="62"/>
      <c r="CU53" s="19"/>
    </row>
    <row r="54" spans="1:99" s="1" customFormat="1" x14ac:dyDescent="0.25">
      <c r="A54" s="92" t="s">
        <v>218</v>
      </c>
      <c r="B54" s="66">
        <f>IFERROR(VLOOKUP($A54,[1]!LOOKUP_MDAPs,B$3,FALSE)/$I54,"")</f>
        <v>1.4006754602791613</v>
      </c>
      <c r="C54" s="66">
        <f>IFERROR(VLOOKUP($A54,[1]!LOOKUP_MDAPs,C$3,FALSE)/$I54,"")</f>
        <v>0.13615973514039112</v>
      </c>
      <c r="D54" s="66">
        <f>IFERROR(VLOOKUP($A54,[1]!LOOKUP_MDAPs,D$3,FALSE)/$I54,"")</f>
        <v>9.9088604313867359E-2</v>
      </c>
      <c r="E54" s="66">
        <f>IFERROR(VLOOKUP($A54,[1]!LOOKUP_MDAPs,E$3,FALSE)/$I54,"")</f>
        <v>0.1038837709771006</v>
      </c>
      <c r="F54" s="66">
        <f>IFERROR(VLOOKUP($A54,[1]!LOOKUP_MDAPs,F$3,FALSE)/$I54,"")</f>
        <v>0</v>
      </c>
      <c r="G54" s="66">
        <f>IFERROR(VLOOKUP($A54,[1]!LOOKUP_MDAPs,G$3,FALSE)/$I54,"")</f>
        <v>95.837558665433122</v>
      </c>
      <c r="H54" s="66">
        <f t="shared" si="28"/>
        <v>-96.577366236143646</v>
      </c>
      <c r="I54" s="65">
        <f>IFERROR(VLOOKUP($A54,[1]!LOOKUP_MDAPs,I$3,FALSE),"")</f>
        <v>44.930242290000002</v>
      </c>
      <c r="J54" s="64" t="e">
        <f>VLOOKUP($A54,[1]!LOOKUP_SARS_2009_Change_Breakdown,J$3,FALSE)+0</f>
        <v>#NAME?</v>
      </c>
      <c r="K54" s="64" t="e">
        <f>VLOOKUP($A54,[1]!LOOKUP_SARS_2009_Change_Breakdown,K$3,FALSE)+0</f>
        <v>#NAME?</v>
      </c>
      <c r="L54" s="64" t="e">
        <f>VLOOKUP($A54,[1]!LOOKUP_SARS_2009_Change_Breakdown,L$3,FALSE)+0</f>
        <v>#NAME?</v>
      </c>
      <c r="M54" s="64" t="e">
        <f>VLOOKUP($A54,[1]!LOOKUP_SARS_2009_Change_Breakdown,M$3,FALSE)+0</f>
        <v>#NAME?</v>
      </c>
      <c r="N54" s="64" t="e">
        <f>VLOOKUP($A54,[1]!LOOKUP_SARS_2009_Change_Breakdown,N$3,FALSE)+0</f>
        <v>#NAME?</v>
      </c>
      <c r="O54" s="64" t="e">
        <f>VLOOKUP($A54,[1]!LOOKUP_SARS_2009_Change_Breakdown,O$3,FALSE)+0</f>
        <v>#NAME?</v>
      </c>
      <c r="P54" s="64" t="e">
        <f>VLOOKUP($A54,[1]!LOOKUP_SARS_2009_Change_Breakdown,P$3,FALSE)+0</f>
        <v>#NAME?</v>
      </c>
      <c r="Q54" s="64" t="e">
        <f>VLOOKUP($A54,[1]!LOOKUP_SARS_2009_Change_Breakdown,Q$3,FALSE)+0</f>
        <v>#NAME?</v>
      </c>
      <c r="R54" s="26" t="e">
        <f>VLOOKUP($A54,[1]!LOOKUP_SARS_2009,R$3,FALSE)</f>
        <v>#NAME?</v>
      </c>
      <c r="S54" s="1" t="e">
        <f t="shared" si="80"/>
        <v>#NAME?</v>
      </c>
      <c r="V54" s="69">
        <v>0</v>
      </c>
      <c r="W54" s="1" t="e">
        <f>IF(HLOOKUP(COUNTIF($V54:V54,"=100"),$V$49:$AC$51,3,FALSE)=V$56,100,0)</f>
        <v>#NAME?</v>
      </c>
      <c r="X54" s="1" t="e">
        <f>IF(HLOOKUP(COUNTIF($V54:W54,"=100"),$V$49:$AC$51,3,FALSE)=W$56,100,0)</f>
        <v>#NAME?</v>
      </c>
      <c r="Y54" s="1" t="e">
        <f>IF(HLOOKUP(COUNTIF($V54:X54,"=100"),$V$49:$AC$51,3,FALSE)=X$56,100,0)</f>
        <v>#NAME?</v>
      </c>
      <c r="Z54" s="1" t="e">
        <f>IF(HLOOKUP(COUNTIF($V54:Y54,"=100"),$V$49:$AC$51,3,FALSE)=Y$56,100,0)</f>
        <v>#NAME?</v>
      </c>
      <c r="AA54" s="1" t="e">
        <f>IF(HLOOKUP(COUNTIF($V54:Z54,"=100"),$V$49:$AC$51,3,FALSE)=Z$56,100,0)</f>
        <v>#NAME?</v>
      </c>
      <c r="AB54" s="1" t="e">
        <f>IF(HLOOKUP(COUNTIF($V54:AA54,"=100"),$V$49:$AC$51,3,FALSE)=AA$56,100,0)</f>
        <v>#NAME?</v>
      </c>
      <c r="AC54" s="1" t="e">
        <f>IF(HLOOKUP(COUNTIF($V54:AB54,"=100"),$V$49:$AC$51,3,FALSE)=AB$56,100,0)</f>
        <v>#NAME?</v>
      </c>
      <c r="AD54" s="1" t="e">
        <f>IF(HLOOKUP(COUNTIF($V54:AC54,"=100"),$V$49:$AC$51,3,FALSE)=AC$56,100,0)</f>
        <v>#NAME?</v>
      </c>
      <c r="AE54" s="1" t="e">
        <f>IF(HLOOKUP(COUNTIF($V54:AD54,"=100"),$V$49:$AC$51,3,FALSE)=AD$56,100,0)</f>
        <v>#NAME?</v>
      </c>
      <c r="AF54" s="1" t="e">
        <f>IF(HLOOKUP(COUNTIF($V54:AE54,"=100"),$V$49:$AC$51,3,FALSE)=AE$56,100,0)</f>
        <v>#NAME?</v>
      </c>
      <c r="AG54" s="1" t="e">
        <f>IF(HLOOKUP(COUNTIF($V54:AF54,"=100"),$V$49:$AC$51,3,FALSE)=AF$56,100,0)</f>
        <v>#NAME?</v>
      </c>
      <c r="AH54" s="1" t="e">
        <f>IF(HLOOKUP(COUNTIF($V54:AG54,"=100"),$V$49:$AC$51,3,FALSE)=AG$56,100,0)</f>
        <v>#NAME?</v>
      </c>
      <c r="AI54" s="1" t="e">
        <f>IF(HLOOKUP(COUNTIF($V54:AH54,"=100"),$V$49:$AC$51,3,FALSE)=AH$56,100,0)</f>
        <v>#NAME?</v>
      </c>
      <c r="AJ54" s="1" t="e">
        <f>IF(HLOOKUP(COUNTIF($V54:AI54,"=100"),$V$49:$AC$51,3,FALSE)=AI$56,100,0)</f>
        <v>#NAME?</v>
      </c>
      <c r="AK54" s="1" t="e">
        <f>IF(HLOOKUP(COUNTIF($V54:AJ54,"=100"),$V$49:$AC$51,3,FALSE)=AJ$56,100,0)</f>
        <v>#NAME?</v>
      </c>
      <c r="AL54" s="1" t="e">
        <f>IF(HLOOKUP(COUNTIF($V54:AK54,"=100"),$V$49:$AC$51,3,FALSE)=AK$56,100,0)</f>
        <v>#NAME?</v>
      </c>
      <c r="AM54" s="1" t="e">
        <f>IF(HLOOKUP(COUNTIF($V54:AL54,"=100"),$V$49:$AC$51,3,FALSE)=AL$56,100,0)</f>
        <v>#NAME?</v>
      </c>
      <c r="AN54" s="1" t="e">
        <f>IF(HLOOKUP(COUNTIF($V54:AM54,"=100"),$V$49:$AC$51,3,FALSE)=AM$56,100,0)</f>
        <v>#NAME?</v>
      </c>
      <c r="AO54" s="1" t="e">
        <f>IF(HLOOKUP(COUNTIF($V54:AN54,"=100"),$V$49:$AC$51,3,FALSE)=AN$56,100,0)</f>
        <v>#NAME?</v>
      </c>
      <c r="AP54" s="1" t="e">
        <f>IF(HLOOKUP(COUNTIF($V54:AO54,"=100"),$V$49:$AC$51,3,FALSE)=AO$56,100,0)</f>
        <v>#NAME?</v>
      </c>
      <c r="AQ54" s="1" t="e">
        <f>IF(HLOOKUP(COUNTIF($V54:AP54,"=100"),$V$49:$AC$51,3,FALSE)=AP$56,100,0)</f>
        <v>#NAME?</v>
      </c>
      <c r="AR54" s="1" t="e">
        <f>IF(HLOOKUP(COUNTIF($V54:AQ54,"=100"),$V$49:$AC$51,3,FALSE)=AQ$56,100,0)</f>
        <v>#NAME?</v>
      </c>
      <c r="AS54" s="1" t="e">
        <f>IF(HLOOKUP(COUNTIF($V54:AR54,"=100"),$V$49:$AC$51,3,FALSE)=AR$56,100,0)</f>
        <v>#NAME?</v>
      </c>
      <c r="AT54" s="1" t="e">
        <f>IF(HLOOKUP(COUNTIF($V54:AS54,"=100"),$V$49:$AC$51,3,FALSE)=AS$56,100,0)</f>
        <v>#NAME?</v>
      </c>
      <c r="AU54" s="1" t="e">
        <f>IF(HLOOKUP(COUNTIF($V54:AT54,"=100"),$V$49:$AC$51,3,FALSE)=AT$56,100,0)</f>
        <v>#NAME?</v>
      </c>
      <c r="AV54" s="1" t="e">
        <f>IF(HLOOKUP(COUNTIF($V54:AU54,"=100"),$V$49:$AC$51,3,FALSE)=AU$56,100,0)</f>
        <v>#NAME?</v>
      </c>
      <c r="AW54" s="1" t="e">
        <f>IF(HLOOKUP(COUNTIF($V54:AV54,"=100"),$V$49:$AC$51,3,FALSE)=AV$56,100,0)</f>
        <v>#NAME?</v>
      </c>
      <c r="AX54" s="1" t="e">
        <f>IF(HLOOKUP(COUNTIF($V54:AW54,"=100"),$V$49:$AC$51,3,FALSE)=AW$56,100,0)</f>
        <v>#NAME?</v>
      </c>
      <c r="AY54" s="1" t="e">
        <f>IF(HLOOKUP(COUNTIF($V54:AX54,"=100"),$V$49:$AC$51,3,FALSE)=AX$56,100,0)</f>
        <v>#NAME?</v>
      </c>
      <c r="AZ54" s="1" t="e">
        <f>IF(HLOOKUP(COUNTIF($V54:AY54,"=100"),$V$49:$AC$51,3,FALSE)=AY$56,100,0)</f>
        <v>#NAME?</v>
      </c>
      <c r="BA54" s="1" t="e">
        <f>IF(HLOOKUP(COUNTIF($V54:AZ54,"=100"),$V$49:$AC$51,3,FALSE)=AZ$56,100,0)</f>
        <v>#NAME?</v>
      </c>
      <c r="BB54" s="1" t="e">
        <f>IF(HLOOKUP(COUNTIF($V54:BA54,"=100"),$V$49:$AC$51,3,FALSE)=BA$56,100,0)</f>
        <v>#NAME?</v>
      </c>
      <c r="BC54" s="1" t="e">
        <f>IF(HLOOKUP(COUNTIF($V54:BB54,"=100"),$V$49:$AC$51,3,FALSE)=BB$56,100,0)</f>
        <v>#NAME?</v>
      </c>
      <c r="BD54" s="1" t="e">
        <f>IF(HLOOKUP(COUNTIF($V54:BC54,"=100"),$V$49:$AC$51,3,FALSE)=BC$56,100,0)</f>
        <v>#NAME?</v>
      </c>
      <c r="BE54" s="1" t="e">
        <f>IF(HLOOKUP(COUNTIF($V54:BD54,"=100"),$V$49:$AC$51,3,FALSE)=BD$56,100,0)</f>
        <v>#NAME?</v>
      </c>
      <c r="BF54" s="1" t="e">
        <f>IF(HLOOKUP(COUNTIF($V54:BE54,"=100"),$V$49:$AC$51,3,FALSE)=BE$56,100,0)</f>
        <v>#NAME?</v>
      </c>
      <c r="BG54" s="1" t="e">
        <f>IF(HLOOKUP(COUNTIF($V54:BF54,"=100"),$V$49:$AC$51,3,FALSE)=BF$56,100,0)</f>
        <v>#NAME?</v>
      </c>
      <c r="BH54" s="1" t="e">
        <f>IF(HLOOKUP(COUNTIF($V54:BG54,"=100"),$V$49:$AC$51,3,FALSE)=BG$56,100,0)</f>
        <v>#NAME?</v>
      </c>
      <c r="BI54" s="1" t="e">
        <f>IF(HLOOKUP(COUNTIF($V54:BH54,"=100"),$V$49:$AC$51,3,FALSE)=BH$56,100,0)</f>
        <v>#NAME?</v>
      </c>
      <c r="BJ54" s="1" t="e">
        <f>IF(HLOOKUP(COUNTIF($V54:BI54,"=100"),$V$49:$AC$51,3,FALSE)=BI$56,100,0)</f>
        <v>#NAME?</v>
      </c>
      <c r="BK54" s="1" t="e">
        <f>IF(HLOOKUP(COUNTIF($V54:BJ54,"=100"),$V$49:$AC$51,3,FALSE)=BJ$56,100,0)</f>
        <v>#NAME?</v>
      </c>
      <c r="BL54" s="1" t="e">
        <f>IF(HLOOKUP(COUNTIF($V54:BK54,"=100"),$V$49:$AC$51,3,FALSE)=BK$56,100,0)</f>
        <v>#NAME?</v>
      </c>
      <c r="BM54" s="1" t="e">
        <f>IF(HLOOKUP(COUNTIF($V54:BL54,"=100"),$V$49:$AC$51,3,FALSE)=BL$56,100,0)</f>
        <v>#NAME?</v>
      </c>
      <c r="BN54" s="1" t="e">
        <f>IF(HLOOKUP(COUNTIF($V54:BM54,"=100"),$V$49:$AC$51,3,FALSE)=BM$56,100,0)</f>
        <v>#NAME?</v>
      </c>
      <c r="BO54" s="1" t="e">
        <f>IF(HLOOKUP(COUNTIF($V54:BN54,"=100"),$V$49:$AC$51,3,FALSE)=BN$56,100,0)</f>
        <v>#NAME?</v>
      </c>
      <c r="BP54" s="1" t="e">
        <f>IF(HLOOKUP(COUNTIF($V54:BO54,"=100"),$V$49:$AC$51,3,FALSE)=BO$56,100,0)</f>
        <v>#NAME?</v>
      </c>
      <c r="BQ54" s="1" t="e">
        <f>IF(HLOOKUP(COUNTIF($V54:BP54,"=100"),$V$49:$AC$51,3,FALSE)=BP$56,100,0)</f>
        <v>#NAME?</v>
      </c>
      <c r="BR54" s="1" t="e">
        <f>IF(HLOOKUP(COUNTIF($V54:BQ54,"=100"),$V$49:$AC$51,3,FALSE)=BQ$56,100,0)</f>
        <v>#NAME?</v>
      </c>
      <c r="BS54" s="1" t="e">
        <f>IF(HLOOKUP(COUNTIF($V54:BR54,"=100"),$V$49:$AC$51,3,FALSE)=BR$56,100,0)</f>
        <v>#NAME?</v>
      </c>
      <c r="BT54" s="1" t="e">
        <f>IF(HLOOKUP(COUNTIF($V54:BS54,"=100"),$V$49:$AC$51,3,FALSE)=BS$56,100,0)</f>
        <v>#NAME?</v>
      </c>
      <c r="BU54" s="1" t="e">
        <f>IF(HLOOKUP(COUNTIF($V54:BT54,"=100"),$V$49:$AC$51,3,FALSE)=BT$56,100,0)</f>
        <v>#NAME?</v>
      </c>
      <c r="BV54" s="1" t="e">
        <f>IF(HLOOKUP(COUNTIF($V54:BU54,"=100"),$V$49:$AC$51,3,FALSE)=BU$56,100,0)</f>
        <v>#NAME?</v>
      </c>
      <c r="CK54" s="37"/>
      <c r="CL54" s="37"/>
      <c r="CM54" s="37"/>
      <c r="CN54" s="37"/>
      <c r="CO54" s="37"/>
      <c r="CP54" s="37"/>
      <c r="CQ54" s="37"/>
      <c r="CR54" s="37"/>
      <c r="CS54" s="63"/>
      <c r="CT54" s="62"/>
      <c r="CU54" s="19"/>
    </row>
    <row r="55" spans="1:99" s="1" customFormat="1" x14ac:dyDescent="0.25">
      <c r="A55" s="92" t="s">
        <v>7</v>
      </c>
      <c r="B55" s="66">
        <f>IFERROR(VLOOKUP($A55,[1]!LOOKUP_MDAPs,B$3,FALSE)/$I55,"")</f>
        <v>32.155159515419115</v>
      </c>
      <c r="C55" s="66">
        <f>IFERROR(VLOOKUP($A55,[1]!LOOKUP_MDAPs,C$3,FALSE)/$I55,"")</f>
        <v>19.036437143076018</v>
      </c>
      <c r="D55" s="66">
        <f>IFERROR(VLOOKUP($A55,[1]!LOOKUP_MDAPs,D$3,FALSE)/$I55,"")</f>
        <v>13.250845941164997</v>
      </c>
      <c r="E55" s="66">
        <f>IFERROR(VLOOKUP($A55,[1]!LOOKUP_MDAPs,E$3,FALSE)/$I55,"")</f>
        <v>2.7750312317185277</v>
      </c>
      <c r="F55" s="66">
        <f>IFERROR(VLOOKUP($A55,[1]!LOOKUP_MDAPs,F$3,FALSE)/$I55,"")</f>
        <v>1.5543492492408837</v>
      </c>
      <c r="G55" s="66">
        <f>IFERROR(VLOOKUP($A55,[1]!LOOKUP_MDAPs,G$3,FALSE)/$I55,"")</f>
        <v>191.07742411970358</v>
      </c>
      <c r="H55" s="66">
        <f t="shared" si="28"/>
        <v>-258.84924720032313</v>
      </c>
      <c r="I55" s="65">
        <f>IFERROR(VLOOKUP($A55,[1]!LOOKUP_MDAPs,I$3,FALSE),"")</f>
        <v>2.8717600000000001</v>
      </c>
      <c r="J55" s="64" t="e">
        <f>VLOOKUP($A55,[1]!LOOKUP_SARS_2009_Change_Breakdown,J$3,FALSE)+0</f>
        <v>#NAME?</v>
      </c>
      <c r="K55" s="64" t="e">
        <f>VLOOKUP($A55,[1]!LOOKUP_SARS_2009_Change_Breakdown,K$3,FALSE)+0</f>
        <v>#NAME?</v>
      </c>
      <c r="L55" s="64" t="e">
        <f>VLOOKUP($A55,[1]!LOOKUP_SARS_2009_Change_Breakdown,L$3,FALSE)+0</f>
        <v>#NAME?</v>
      </c>
      <c r="M55" s="64" t="e">
        <f>VLOOKUP($A55,[1]!LOOKUP_SARS_2009_Change_Breakdown,M$3,FALSE)+0</f>
        <v>#NAME?</v>
      </c>
      <c r="N55" s="64" t="e">
        <f>VLOOKUP($A55,[1]!LOOKUP_SARS_2009_Change_Breakdown,N$3,FALSE)+0</f>
        <v>#NAME?</v>
      </c>
      <c r="O55" s="64" t="e">
        <f>VLOOKUP($A55,[1]!LOOKUP_SARS_2009_Change_Breakdown,O$3,FALSE)+0</f>
        <v>#NAME?</v>
      </c>
      <c r="P55" s="64" t="e">
        <f>VLOOKUP($A55,[1]!LOOKUP_SARS_2009_Change_Breakdown,P$3,FALSE)+0</f>
        <v>#NAME?</v>
      </c>
      <c r="Q55" s="64" t="e">
        <f>VLOOKUP($A55,[1]!LOOKUP_SARS_2009_Change_Breakdown,Q$3,FALSE)+0</f>
        <v>#NAME?</v>
      </c>
      <c r="R55" s="26" t="e">
        <f>VLOOKUP($A55,[1]!LOOKUP_SARS_2009,R$3,FALSE)</f>
        <v>#NAME?</v>
      </c>
      <c r="S55" s="1" t="e">
        <f t="shared" si="80"/>
        <v>#NAME?</v>
      </c>
      <c r="V55" s="68" t="e">
        <f>V52</f>
        <v>#NAME?</v>
      </c>
      <c r="W55" s="19" t="str">
        <f>IF(V54=100,HLOOKUP(COUNTIF($V54:V54,"=100"),$V$49:$AC$52,4,FALSE),IF(U55="","",U55+10%))</f>
        <v/>
      </c>
      <c r="X55" s="19" t="e">
        <f>IF(W54=100,HLOOKUP(COUNTIF($V54:W54,"=100"),$V$49:$AC$52,4,FALSE),IF(V55="","",V55+10%))</f>
        <v>#NAME?</v>
      </c>
      <c r="Y55" s="19" t="e">
        <f>IF(X54=100,HLOOKUP(COUNTIF($V54:X54,"=100"),$V$49:$AC$52,4,FALSE),IF(W55="","",W55+10%))</f>
        <v>#NAME?</v>
      </c>
      <c r="Z55" s="19" t="e">
        <f>IF(Y54=100,HLOOKUP(COUNTIF($V54:Y54,"=100"),$V$49:$AC$52,4,FALSE),IF(X55="","",X55+10%))</f>
        <v>#NAME?</v>
      </c>
      <c r="AA55" s="19" t="e">
        <f>IF(Z54=100,HLOOKUP(COUNTIF($V54:Z54,"=100"),$V$49:$AC$52,4,FALSE),IF(Y55="","",Y55+10%))</f>
        <v>#NAME?</v>
      </c>
      <c r="AB55" s="19" t="e">
        <f>IF(AA54=100,HLOOKUP(COUNTIF($V54:AA54,"=100"),$V$49:$AC$52,4,FALSE),IF(Z55="","",Z55+10%))</f>
        <v>#NAME?</v>
      </c>
      <c r="AC55" s="19" t="e">
        <f>IF(AB54=100,HLOOKUP(COUNTIF($V54:AB54,"=100"),$V$49:$AC$52,4,FALSE),IF(AA55="","",AA55+10%))</f>
        <v>#NAME?</v>
      </c>
      <c r="AD55" s="19" t="e">
        <f>IF(AC54=100,HLOOKUP(COUNTIF($V54:AC54,"=100"),$V$49:$AC$52,4,FALSE),IF(AB55="","",AB55+10%))</f>
        <v>#NAME?</v>
      </c>
      <c r="AE55" s="19" t="e">
        <f>IF(AD54=100,HLOOKUP(COUNTIF($V54:AD54,"=100"),$V$49:$AC$52,4,FALSE),IF(AC55="","",AC55+10%))</f>
        <v>#NAME?</v>
      </c>
      <c r="AF55" s="19" t="e">
        <f>IF(AE54=100,HLOOKUP(COUNTIF($V54:AE54,"=100"),$V$49:$AC$52,4,FALSE),IF(AD55="","",AD55+10%))</f>
        <v>#NAME?</v>
      </c>
      <c r="AG55" s="19" t="e">
        <f>IF(AF54=100,HLOOKUP(COUNTIF($V54:AF54,"=100"),$V$49:$AC$52,4,FALSE),IF(AE55="","",AE55+10%))</f>
        <v>#NAME?</v>
      </c>
      <c r="AH55" s="19" t="e">
        <f>IF(AG54=100,HLOOKUP(COUNTIF($V54:AG54,"=100"),$V$49:$AC$52,4,FALSE),IF(AF55="","",AF55+10%))</f>
        <v>#NAME?</v>
      </c>
      <c r="AI55" s="19" t="e">
        <f>IF(AH54=100,HLOOKUP(COUNTIF($V54:AH54,"=100"),$V$49:$AC$52,4,FALSE),IF(AG55="","",AG55+10%))</f>
        <v>#NAME?</v>
      </c>
      <c r="AJ55" s="19" t="e">
        <f>IF(AI54=100,HLOOKUP(COUNTIF($V54:AI54,"=100"),$V$49:$AC$52,4,FALSE),IF(AH55="","",AH55+10%))</f>
        <v>#NAME?</v>
      </c>
      <c r="AK55" s="19" t="e">
        <f>IF(AJ54=100,HLOOKUP(COUNTIF($V54:AJ54,"=100"),$V$49:$AC$52,4,FALSE),IF(AI55="","",AI55+10%))</f>
        <v>#NAME?</v>
      </c>
      <c r="AL55" s="19" t="e">
        <f>IF(AK54=100,HLOOKUP(COUNTIF($V54:AK54,"=100"),$V$49:$AC$52,4,FALSE),IF(AJ55="","",AJ55+10%))</f>
        <v>#NAME?</v>
      </c>
      <c r="AM55" s="19" t="e">
        <f>IF(AL54=100,HLOOKUP(COUNTIF($V54:AL54,"=100"),$V$49:$AC$52,4,FALSE),IF(AK55="","",AK55+10%))</f>
        <v>#NAME?</v>
      </c>
      <c r="AN55" s="19" t="e">
        <f>IF(AM54=100,HLOOKUP(COUNTIF($V54:AM54,"=100"),$V$49:$AC$52,4,FALSE),IF(AL55="","",AL55+10%))</f>
        <v>#NAME?</v>
      </c>
      <c r="AO55" s="19" t="e">
        <f>IF(AN54=100,HLOOKUP(COUNTIF($V54:AN54,"=100"),$V$49:$AC$52,4,FALSE),IF(AM55="","",AM55+10%))</f>
        <v>#NAME?</v>
      </c>
      <c r="AP55" s="19" t="e">
        <f>IF(AO54=100,HLOOKUP(COUNTIF($V54:AO54,"=100"),$V$49:$AC$52,4,FALSE),IF(AN55="","",AN55+10%))</f>
        <v>#NAME?</v>
      </c>
      <c r="AQ55" s="19" t="e">
        <f>IF(AP54=100,HLOOKUP(COUNTIF($V54:AP54,"=100"),$V$49:$AC$52,4,FALSE),IF(AO55="","",AO55+10%))</f>
        <v>#NAME?</v>
      </c>
      <c r="AR55" s="19" t="e">
        <f>IF(AQ54=100,HLOOKUP(COUNTIF($V54:AQ54,"=100"),$V$49:$AC$52,4,FALSE),IF(AP55="","",AP55+10%))</f>
        <v>#NAME?</v>
      </c>
      <c r="AS55" s="19" t="e">
        <f>IF(AR54=100,HLOOKUP(COUNTIF($V54:AR54,"=100"),$V$49:$AC$52,4,FALSE),IF(AQ55="","",AQ55+10%))</f>
        <v>#NAME?</v>
      </c>
      <c r="AT55" s="19" t="e">
        <f>IF(AS54=100,HLOOKUP(COUNTIF($V54:AS54,"=100"),$V$49:$AC$52,4,FALSE),IF(AR55="","",AR55+10%))</f>
        <v>#NAME?</v>
      </c>
      <c r="AU55" s="19" t="e">
        <f>IF(AT54=100,HLOOKUP(COUNTIF($V54:AT54,"=100"),$V$49:$AC$52,4,FALSE),IF(AS55="","",AS55+10%))</f>
        <v>#NAME?</v>
      </c>
      <c r="AV55" s="19" t="e">
        <f>IF(AU54=100,HLOOKUP(COUNTIF($V54:AU54,"=100"),$V$49:$AC$52,4,FALSE),IF(AT55="","",AT55+10%))</f>
        <v>#NAME?</v>
      </c>
      <c r="AW55" s="19" t="e">
        <f>IF(AV54=100,HLOOKUP(COUNTIF($V54:AV54,"=100"),$V$49:$AC$52,4,FALSE),IF(AU55="","",AU55+10%))</f>
        <v>#NAME?</v>
      </c>
      <c r="AX55" s="19" t="e">
        <f>IF(AW54=100,HLOOKUP(COUNTIF($V54:AW54,"=100"),$V$49:$AC$52,4,FALSE),IF(AV55="","",AV55+10%))</f>
        <v>#NAME?</v>
      </c>
      <c r="AY55" s="19" t="e">
        <f>IF(AX54=100,HLOOKUP(COUNTIF($V54:AX54,"=100"),$V$49:$AC$52,4,FALSE),IF(AW55="","",AW55+10%))</f>
        <v>#NAME?</v>
      </c>
      <c r="AZ55" s="19" t="e">
        <f>IF(AY54=100,HLOOKUP(COUNTIF($V54:AY54,"=100"),$V$49:$AC$52,4,FALSE),IF(AX55="","",AX55+10%))</f>
        <v>#NAME?</v>
      </c>
      <c r="BA55" s="19" t="e">
        <f>IF(AZ54=100,HLOOKUP(COUNTIF($V54:AZ54,"=100"),$V$49:$AC$52,4,FALSE),IF(AY55="","",AY55+10%))</f>
        <v>#NAME?</v>
      </c>
      <c r="BB55" s="19" t="e">
        <f>IF(BA54=100,HLOOKUP(COUNTIF($V54:BA54,"=100"),$V$49:$AC$52,4,FALSE),IF(AZ55="","",AZ55+10%))</f>
        <v>#NAME?</v>
      </c>
      <c r="BC55" s="19" t="e">
        <f>IF(BB54=100,HLOOKUP(COUNTIF($V54:BB54,"=100"),$V$49:$AC$52,4,FALSE),IF(BA55="","",BA55+10%))</f>
        <v>#NAME?</v>
      </c>
      <c r="BD55" s="19" t="e">
        <f>IF(BC54=100,HLOOKUP(COUNTIF($V54:BC54,"=100"),$V$49:$AC$52,4,FALSE),IF(BB55="","",BB55+10%))</f>
        <v>#NAME?</v>
      </c>
      <c r="BE55" s="19" t="e">
        <f>IF(BD54=100,HLOOKUP(COUNTIF($V54:BD54,"=100"),$V$49:$AC$52,4,FALSE),IF(BC55="","",BC55+10%))</f>
        <v>#NAME?</v>
      </c>
      <c r="BF55" s="19" t="e">
        <f>IF(BE54=100,HLOOKUP(COUNTIF($V54:BE54,"=100"),$V$49:$AC$52,4,FALSE),IF(BD55="","",BD55+10%))</f>
        <v>#NAME?</v>
      </c>
      <c r="BG55" s="19" t="e">
        <f>IF(BF54=100,HLOOKUP(COUNTIF($V54:BF54,"=100"),$V$49:$AC$52,4,FALSE),IF(BE55="","",BE55+10%))</f>
        <v>#NAME?</v>
      </c>
      <c r="BH55" s="19" t="e">
        <f>IF(BG54=100,HLOOKUP(COUNTIF($V54:BG54,"=100"),$V$49:$AC$52,4,FALSE),IF(BF55="","",BF55+10%))</f>
        <v>#NAME?</v>
      </c>
      <c r="BI55" s="19" t="e">
        <f>IF(BH54=100,HLOOKUP(COUNTIF($V54:BH54,"=100"),$V$49:$AC$52,4,FALSE),IF(BG55="","",BG55+10%))</f>
        <v>#NAME?</v>
      </c>
      <c r="BJ55" s="19" t="e">
        <f>IF(BI54=100,HLOOKUP(COUNTIF($V54:BI54,"=100"),$V$49:$AC$52,4,FALSE),IF(BH55="","",BH55+10%))</f>
        <v>#NAME?</v>
      </c>
      <c r="BK55" s="19" t="e">
        <f>IF(BJ54=100,HLOOKUP(COUNTIF($V54:BJ54,"=100"),$V$49:$AC$52,4,FALSE),IF(BI55="","",BI55+10%))</f>
        <v>#NAME?</v>
      </c>
      <c r="BL55" s="19" t="e">
        <f>IF(BK54=100,HLOOKUP(COUNTIF($V54:BK54,"=100"),$V$49:$AC$52,4,FALSE),IF(BJ55="","",BJ55+10%))</f>
        <v>#NAME?</v>
      </c>
      <c r="BM55" s="19" t="e">
        <f>IF(BL54=100,HLOOKUP(COUNTIF($V54:BL54,"=100"),$V$49:$AC$52,4,FALSE),IF(BK55="","",BK55+10%))</f>
        <v>#NAME?</v>
      </c>
      <c r="BN55" s="19" t="e">
        <f>IF(BM54=100,HLOOKUP(COUNTIF($V54:BM54,"=100"),$V$49:$AC$52,4,FALSE),IF(BL55="","",BL55+10%))</f>
        <v>#NAME?</v>
      </c>
      <c r="BO55" s="19" t="e">
        <f>IF(BN54=100,HLOOKUP(COUNTIF($V54:BN54,"=100"),$V$49:$AC$52,4,FALSE),IF(BM55="","",BM55+10%))</f>
        <v>#NAME?</v>
      </c>
      <c r="BP55" s="19" t="e">
        <f>IF(BO54=100,HLOOKUP(COUNTIF($V54:BO54,"=100"),$V$49:$AC$52,4,FALSE),IF(BN55="","",BN55+10%))</f>
        <v>#NAME?</v>
      </c>
      <c r="BQ55" s="19" t="e">
        <f>IF(BP54=100,HLOOKUP(COUNTIF($V54:BP54,"=100"),$V$49:$AC$52,4,FALSE),IF(BO55="","",BO55+10%))</f>
        <v>#NAME?</v>
      </c>
      <c r="BR55" s="19" t="e">
        <f>IF(BQ54=100,HLOOKUP(COUNTIF($V54:BQ54,"=100"),$V$49:$AC$52,4,FALSE),IF(BP55="","",BP55+10%))</f>
        <v>#NAME?</v>
      </c>
      <c r="BS55" s="19" t="e">
        <f>IF(BR54=100,HLOOKUP(COUNTIF($V54:BR54,"=100"),$V$49:$AC$52,4,FALSE),IF(BQ55="","",BQ55+10%))</f>
        <v>#NAME?</v>
      </c>
      <c r="BT55" s="19" t="e">
        <f>IF(BS54=100,HLOOKUP(COUNTIF($V54:BS54,"=100"),$V$49:$AC$52,4,FALSE),IF(BR55="","",BR55+10%))</f>
        <v>#NAME?</v>
      </c>
      <c r="BU55" s="19" t="e">
        <f>IF(BT54=100,HLOOKUP(COUNTIF($V54:BT54,"=100"),$V$49:$AC$52,4,FALSE),IF(BS55="","",BS55+10%))</f>
        <v>#NAME?</v>
      </c>
      <c r="BV55" s="19" t="e">
        <f>IF(BU54=100,HLOOKUP(COUNTIF($V54:BU54,"=100"),$V$49:$AC$52,4,FALSE),IF(BT55="","",BT55+10%))</f>
        <v>#NAME?</v>
      </c>
      <c r="CK55" s="37"/>
      <c r="CL55" s="37"/>
      <c r="CM55" s="37"/>
      <c r="CN55" s="37"/>
      <c r="CO55" s="37"/>
      <c r="CP55" s="37"/>
      <c r="CQ55" s="37"/>
      <c r="CR55" s="37"/>
      <c r="CS55" s="63"/>
      <c r="CT55" s="62"/>
      <c r="CU55" s="19"/>
    </row>
    <row r="56" spans="1:99" s="1" customFormat="1" x14ac:dyDescent="0.25">
      <c r="A56" s="92" t="s">
        <v>54</v>
      </c>
      <c r="B56" s="66">
        <f>IFERROR(VLOOKUP($A56,[1]!LOOKUP_MDAPs,B$3,FALSE)/$I56,"")</f>
        <v>2.0811083859189514</v>
      </c>
      <c r="C56" s="66">
        <f>IFERROR(VLOOKUP($A56,[1]!LOOKUP_MDAPs,C$3,FALSE)/$I56,"")</f>
        <v>0.70458908350913141</v>
      </c>
      <c r="D56" s="66">
        <f>IFERROR(VLOOKUP($A56,[1]!LOOKUP_MDAPs,D$3,FALSE)/$I56,"")</f>
        <v>4.7179529963893851E-3</v>
      </c>
      <c r="E56" s="66">
        <f>IFERROR(VLOOKUP($A56,[1]!LOOKUP_MDAPs,E$3,FALSE)/$I56,"")</f>
        <v>0</v>
      </c>
      <c r="F56" s="66">
        <f>IFERROR(VLOOKUP($A56,[1]!LOOKUP_MDAPs,F$3,FALSE)/$I56,"")</f>
        <v>0</v>
      </c>
      <c r="G56" s="66">
        <f>IFERROR(VLOOKUP($A56,[1]!LOOKUP_MDAPs,G$3,FALSE)/$I56,"")</f>
        <v>2.2727553982874618</v>
      </c>
      <c r="H56" s="66">
        <f t="shared" si="28"/>
        <v>-4.0631708207119335</v>
      </c>
      <c r="I56" s="65">
        <f>IFERROR(VLOOKUP($A56,[1]!LOOKUP_MDAPs,I$3,FALSE),"")</f>
        <v>43.312688819999998</v>
      </c>
      <c r="J56" s="64" t="e">
        <f>VLOOKUP($A56,[1]!LOOKUP_SARS_2009_Change_Breakdown,J$3,FALSE)+0</f>
        <v>#NAME?</v>
      </c>
      <c r="K56" s="64" t="e">
        <f>VLOOKUP($A56,[1]!LOOKUP_SARS_2009_Change_Breakdown,K$3,FALSE)+0</f>
        <v>#NAME?</v>
      </c>
      <c r="L56" s="64" t="e">
        <f>VLOOKUP($A56,[1]!LOOKUP_SARS_2009_Change_Breakdown,L$3,FALSE)+0</f>
        <v>#NAME?</v>
      </c>
      <c r="M56" s="64" t="e">
        <f>VLOOKUP($A56,[1]!LOOKUP_SARS_2009_Change_Breakdown,M$3,FALSE)+0</f>
        <v>#NAME?</v>
      </c>
      <c r="N56" s="64" t="e">
        <f>VLOOKUP($A56,[1]!LOOKUP_SARS_2009_Change_Breakdown,N$3,FALSE)+0</f>
        <v>#NAME?</v>
      </c>
      <c r="O56" s="64" t="e">
        <f>VLOOKUP($A56,[1]!LOOKUP_SARS_2009_Change_Breakdown,O$3,FALSE)+0</f>
        <v>#NAME?</v>
      </c>
      <c r="P56" s="64" t="e">
        <f>VLOOKUP($A56,[1]!LOOKUP_SARS_2009_Change_Breakdown,P$3,FALSE)+0</f>
        <v>#NAME?</v>
      </c>
      <c r="Q56" s="64" t="e">
        <f>VLOOKUP($A56,[1]!LOOKUP_SARS_2009_Change_Breakdown,Q$3,FALSE)+0</f>
        <v>#NAME?</v>
      </c>
      <c r="R56" s="26" t="e">
        <f>VLOOKUP($A56,[1]!LOOKUP_SARS_2009,R$3,FALSE)</f>
        <v>#NAME?</v>
      </c>
      <c r="S56" s="1" t="e">
        <f t="shared" si="80"/>
        <v>#NAME?</v>
      </c>
      <c r="V56" s="19">
        <v>0</v>
      </c>
      <c r="W56" s="67">
        <f t="shared" ref="W56:BB56" si="81">V56+5%</f>
        <v>0.05</v>
      </c>
      <c r="X56" s="67">
        <f t="shared" si="81"/>
        <v>0.1</v>
      </c>
      <c r="Y56" s="67">
        <f t="shared" si="81"/>
        <v>0.15000000000000002</v>
      </c>
      <c r="Z56" s="67">
        <f t="shared" si="81"/>
        <v>0.2</v>
      </c>
      <c r="AA56" s="67">
        <f t="shared" si="81"/>
        <v>0.25</v>
      </c>
      <c r="AB56" s="67">
        <f t="shared" si="81"/>
        <v>0.3</v>
      </c>
      <c r="AC56" s="67">
        <f t="shared" si="81"/>
        <v>0.35</v>
      </c>
      <c r="AD56" s="67">
        <f t="shared" si="81"/>
        <v>0.39999999999999997</v>
      </c>
      <c r="AE56" s="67">
        <f t="shared" si="81"/>
        <v>0.44999999999999996</v>
      </c>
      <c r="AF56" s="67">
        <f t="shared" si="81"/>
        <v>0.49999999999999994</v>
      </c>
      <c r="AG56" s="67">
        <f t="shared" si="81"/>
        <v>0.54999999999999993</v>
      </c>
      <c r="AH56" s="67">
        <f t="shared" si="81"/>
        <v>0.6</v>
      </c>
      <c r="AI56" s="67">
        <f t="shared" si="81"/>
        <v>0.65</v>
      </c>
      <c r="AJ56" s="67">
        <f t="shared" si="81"/>
        <v>0.70000000000000007</v>
      </c>
      <c r="AK56" s="67">
        <f t="shared" si="81"/>
        <v>0.75000000000000011</v>
      </c>
      <c r="AL56" s="67">
        <f t="shared" si="81"/>
        <v>0.80000000000000016</v>
      </c>
      <c r="AM56" s="67">
        <f t="shared" si="81"/>
        <v>0.8500000000000002</v>
      </c>
      <c r="AN56" s="67">
        <f t="shared" si="81"/>
        <v>0.90000000000000024</v>
      </c>
      <c r="AO56" s="67">
        <f t="shared" si="81"/>
        <v>0.95000000000000029</v>
      </c>
      <c r="AP56" s="67">
        <f t="shared" si="81"/>
        <v>1.0000000000000002</v>
      </c>
      <c r="AQ56" s="67">
        <f t="shared" si="81"/>
        <v>1.0500000000000003</v>
      </c>
      <c r="AR56" s="67">
        <f t="shared" si="81"/>
        <v>1.1000000000000003</v>
      </c>
      <c r="AS56" s="67">
        <f t="shared" si="81"/>
        <v>1.1500000000000004</v>
      </c>
      <c r="AT56" s="67">
        <f t="shared" si="81"/>
        <v>1.2000000000000004</v>
      </c>
      <c r="AU56" s="67">
        <f t="shared" si="81"/>
        <v>1.2500000000000004</v>
      </c>
      <c r="AV56" s="67">
        <f t="shared" si="81"/>
        <v>1.3000000000000005</v>
      </c>
      <c r="AW56" s="67">
        <f t="shared" si="81"/>
        <v>1.3500000000000005</v>
      </c>
      <c r="AX56" s="67">
        <f t="shared" si="81"/>
        <v>1.4000000000000006</v>
      </c>
      <c r="AY56" s="67">
        <f t="shared" si="81"/>
        <v>1.4500000000000006</v>
      </c>
      <c r="AZ56" s="67">
        <f t="shared" si="81"/>
        <v>1.5000000000000007</v>
      </c>
      <c r="BA56" s="67">
        <f t="shared" si="81"/>
        <v>1.5500000000000007</v>
      </c>
      <c r="BB56" s="67">
        <f t="shared" si="81"/>
        <v>1.6000000000000008</v>
      </c>
      <c r="BC56" s="67">
        <f t="shared" ref="BC56:BV56" si="82">BB56+5%</f>
        <v>1.6500000000000008</v>
      </c>
      <c r="BD56" s="67">
        <f t="shared" si="82"/>
        <v>1.7000000000000008</v>
      </c>
      <c r="BE56" s="67">
        <f t="shared" si="82"/>
        <v>1.7500000000000009</v>
      </c>
      <c r="BF56" s="67">
        <f t="shared" si="82"/>
        <v>1.8000000000000009</v>
      </c>
      <c r="BG56" s="67">
        <f t="shared" si="82"/>
        <v>1.850000000000001</v>
      </c>
      <c r="BH56" s="67">
        <f t="shared" si="82"/>
        <v>1.900000000000001</v>
      </c>
      <c r="BI56" s="67">
        <f t="shared" si="82"/>
        <v>1.9500000000000011</v>
      </c>
      <c r="BJ56" s="67">
        <f t="shared" si="82"/>
        <v>2.0000000000000009</v>
      </c>
      <c r="BK56" s="67">
        <f t="shared" si="82"/>
        <v>2.0500000000000007</v>
      </c>
      <c r="BL56" s="67">
        <f t="shared" si="82"/>
        <v>2.1000000000000005</v>
      </c>
      <c r="BM56" s="67">
        <f t="shared" si="82"/>
        <v>2.1500000000000004</v>
      </c>
      <c r="BN56" s="67">
        <f t="shared" si="82"/>
        <v>2.2000000000000002</v>
      </c>
      <c r="BO56" s="67">
        <f t="shared" si="82"/>
        <v>2.25</v>
      </c>
      <c r="BP56" s="67">
        <f t="shared" si="82"/>
        <v>2.2999999999999998</v>
      </c>
      <c r="BQ56" s="67">
        <f t="shared" si="82"/>
        <v>2.3499999999999996</v>
      </c>
      <c r="BR56" s="67">
        <f t="shared" si="82"/>
        <v>2.3999999999999995</v>
      </c>
      <c r="BS56" s="67">
        <f t="shared" si="82"/>
        <v>2.4499999999999993</v>
      </c>
      <c r="BT56" s="67">
        <f t="shared" si="82"/>
        <v>2.4999999999999991</v>
      </c>
      <c r="BU56" s="67">
        <f t="shared" si="82"/>
        <v>2.5499999999999989</v>
      </c>
      <c r="BV56" s="67">
        <f t="shared" si="82"/>
        <v>2.5999999999999988</v>
      </c>
      <c r="CK56" s="37"/>
      <c r="CL56" s="37"/>
      <c r="CM56" s="37"/>
      <c r="CN56" s="37"/>
      <c r="CO56" s="37"/>
      <c r="CP56" s="37"/>
      <c r="CQ56" s="37"/>
      <c r="CR56" s="37"/>
      <c r="CS56" s="63"/>
      <c r="CT56" s="62"/>
      <c r="CU56" s="19"/>
    </row>
    <row r="57" spans="1:99" s="1" customFormat="1" x14ac:dyDescent="0.25">
      <c r="A57" s="92" t="s">
        <v>53</v>
      </c>
      <c r="B57" s="66">
        <f>IFERROR(VLOOKUP($A57,[1]!LOOKUP_MDAPs,B$3,FALSE)/$I57,"")</f>
        <v>1.1488958859416145</v>
      </c>
      <c r="C57" s="66">
        <f>IFERROR(VLOOKUP($A57,[1]!LOOKUP_MDAPs,C$3,FALSE)/$I57,"")</f>
        <v>-6.8675434341924678E-3</v>
      </c>
      <c r="D57" s="66">
        <f>IFERROR(VLOOKUP($A57,[1]!LOOKUP_MDAPs,D$3,FALSE)/$I57,"")</f>
        <v>0.11779421665629171</v>
      </c>
      <c r="E57" s="66">
        <f>IFERROR(VLOOKUP($A57,[1]!LOOKUP_MDAPs,E$3,FALSE)/$I57,"")</f>
        <v>0.33518553649636956</v>
      </c>
      <c r="F57" s="66">
        <f>IFERROR(VLOOKUP($A57,[1]!LOOKUP_MDAPs,F$3,FALSE)/$I57,"")</f>
        <v>6.8004969987942472</v>
      </c>
      <c r="G57" s="66">
        <f>IFERROR(VLOOKUP($A57,[1]!LOOKUP_MDAPs,G$3,FALSE)/$I57,"")</f>
        <v>128.09729110442296</v>
      </c>
      <c r="H57" s="66">
        <f t="shared" si="28"/>
        <v>-135.4927961988773</v>
      </c>
      <c r="I57" s="65">
        <f>IFERROR(VLOOKUP($A57,[1]!LOOKUP_MDAPs,I$3,FALSE),"")</f>
        <v>3.4519359400000003</v>
      </c>
      <c r="J57" s="64" t="e">
        <f>VLOOKUP($A57,[1]!LOOKUP_SARS_2009_Change_Breakdown,J$3,FALSE)+0</f>
        <v>#NAME?</v>
      </c>
      <c r="K57" s="64" t="e">
        <f>VLOOKUP($A57,[1]!LOOKUP_SARS_2009_Change_Breakdown,K$3,FALSE)+0</f>
        <v>#NAME?</v>
      </c>
      <c r="L57" s="64" t="e">
        <f>VLOOKUP($A57,[1]!LOOKUP_SARS_2009_Change_Breakdown,L$3,FALSE)+0</f>
        <v>#NAME?</v>
      </c>
      <c r="M57" s="64" t="e">
        <f>VLOOKUP($A57,[1]!LOOKUP_SARS_2009_Change_Breakdown,M$3,FALSE)+0</f>
        <v>#NAME?</v>
      </c>
      <c r="N57" s="64" t="e">
        <f>VLOOKUP($A57,[1]!LOOKUP_SARS_2009_Change_Breakdown,N$3,FALSE)+0</f>
        <v>#NAME?</v>
      </c>
      <c r="O57" s="64" t="e">
        <f>VLOOKUP($A57,[1]!LOOKUP_SARS_2009_Change_Breakdown,O$3,FALSE)+0</f>
        <v>#NAME?</v>
      </c>
      <c r="P57" s="64" t="e">
        <f>VLOOKUP($A57,[1]!LOOKUP_SARS_2009_Change_Breakdown,P$3,FALSE)+0</f>
        <v>#NAME?</v>
      </c>
      <c r="Q57" s="64" t="e">
        <f>VLOOKUP($A57,[1]!LOOKUP_SARS_2009_Change_Breakdown,Q$3,FALSE)+0</f>
        <v>#NAME?</v>
      </c>
      <c r="R57" s="26" t="e">
        <f>VLOOKUP($A57,[1]!LOOKUP_SARS_2009,R$3,FALSE)</f>
        <v>#NAME?</v>
      </c>
      <c r="S57" s="1" t="e">
        <f t="shared" si="80"/>
        <v>#NAME?</v>
      </c>
      <c r="CK57" s="37"/>
      <c r="CL57" s="37"/>
      <c r="CM57" s="37"/>
      <c r="CN57" s="37"/>
      <c r="CO57" s="37"/>
      <c r="CP57" s="37"/>
      <c r="CQ57" s="37"/>
      <c r="CR57" s="37"/>
      <c r="CS57" s="63"/>
      <c r="CT57" s="62"/>
      <c r="CU57" s="19"/>
    </row>
    <row r="58" spans="1:99" s="1" customFormat="1" x14ac:dyDescent="0.25">
      <c r="A58" s="92" t="s">
        <v>4</v>
      </c>
      <c r="B58" s="66" t="str">
        <f>IFERROR(VLOOKUP($A58,[1]!LOOKUP_MDAPs,B$3,FALSE)/$I58,"")</f>
        <v/>
      </c>
      <c r="C58" s="66" t="str">
        <f>IFERROR(VLOOKUP($A58,[1]!LOOKUP_MDAPs,C$3,FALSE)/$I58,"")</f>
        <v/>
      </c>
      <c r="D58" s="66" t="str">
        <f>IFERROR(VLOOKUP($A58,[1]!LOOKUP_MDAPs,D$3,FALSE)/$I58,"")</f>
        <v/>
      </c>
      <c r="E58" s="66" t="str">
        <f>IFERROR(VLOOKUP($A58,[1]!LOOKUP_MDAPs,E$3,FALSE)/$I58,"")</f>
        <v/>
      </c>
      <c r="F58" s="66" t="str">
        <f>IFERROR(VLOOKUP($A58,[1]!LOOKUP_MDAPs,F$3,FALSE)/$I58,"")</f>
        <v/>
      </c>
      <c r="G58" s="66" t="str">
        <f>IFERROR(VLOOKUP($A58,[1]!LOOKUP_MDAPs,G$3,FALSE)/$I58,"")</f>
        <v/>
      </c>
      <c r="H58" s="66">
        <f t="shared" si="28"/>
        <v>1</v>
      </c>
      <c r="I58" s="65">
        <f>IFERROR(VLOOKUP($A58,[1]!LOOKUP_MDAPs,I$3,FALSE),"")</f>
        <v>0</v>
      </c>
      <c r="J58" s="64" t="e">
        <f>VLOOKUP($A58,[1]!LOOKUP_SARS_2009_Change_Breakdown,J$3,FALSE)+0</f>
        <v>#NAME?</v>
      </c>
      <c r="K58" s="64" t="e">
        <f>VLOOKUP($A58,[1]!LOOKUP_SARS_2009_Change_Breakdown,K$3,FALSE)+0</f>
        <v>#NAME?</v>
      </c>
      <c r="L58" s="64" t="e">
        <f>VLOOKUP($A58,[1]!LOOKUP_SARS_2009_Change_Breakdown,L$3,FALSE)+0</f>
        <v>#NAME?</v>
      </c>
      <c r="M58" s="64" t="e">
        <f>VLOOKUP($A58,[1]!LOOKUP_SARS_2009_Change_Breakdown,M$3,FALSE)+0</f>
        <v>#NAME?</v>
      </c>
      <c r="N58" s="64" t="e">
        <f>VLOOKUP($A58,[1]!LOOKUP_SARS_2009_Change_Breakdown,N$3,FALSE)+0</f>
        <v>#NAME?</v>
      </c>
      <c r="O58" s="64" t="e">
        <f>VLOOKUP($A58,[1]!LOOKUP_SARS_2009_Change_Breakdown,O$3,FALSE)+0</f>
        <v>#NAME?</v>
      </c>
      <c r="P58" s="64" t="e">
        <f>VLOOKUP($A58,[1]!LOOKUP_SARS_2009_Change_Breakdown,P$3,FALSE)+0</f>
        <v>#NAME?</v>
      </c>
      <c r="Q58" s="64" t="e">
        <f>VLOOKUP($A58,[1]!LOOKUP_SARS_2009_Change_Breakdown,Q$3,FALSE)+0</f>
        <v>#NAME?</v>
      </c>
      <c r="R58" s="26" t="e">
        <f>VLOOKUP($A58,[1]!LOOKUP_SARS_2009,R$3,FALSE)</f>
        <v>#NAME?</v>
      </c>
      <c r="S58" s="1" t="e">
        <f t="shared" si="80"/>
        <v>#NAME?</v>
      </c>
      <c r="CK58" s="37"/>
      <c r="CL58" s="37"/>
      <c r="CM58" s="37"/>
      <c r="CN58" s="37"/>
      <c r="CO58" s="37"/>
      <c r="CP58" s="37"/>
      <c r="CQ58" s="37"/>
      <c r="CR58" s="37"/>
      <c r="CS58" s="63"/>
      <c r="CT58" s="62"/>
      <c r="CU58" s="19"/>
    </row>
    <row r="59" spans="1:99" s="1" customFormat="1" x14ac:dyDescent="0.25">
      <c r="A59" s="92" t="s">
        <v>39</v>
      </c>
      <c r="B59" s="66">
        <f>IFERROR(VLOOKUP($A59,[1]!LOOKUP_MDAPs,B$3,FALSE)/$I59,"")</f>
        <v>2.1297813164976875</v>
      </c>
      <c r="C59" s="66">
        <f>IFERROR(VLOOKUP($A59,[1]!LOOKUP_MDAPs,C$3,FALSE)/$I59,"")</f>
        <v>1.5699568286189129</v>
      </c>
      <c r="D59" s="66">
        <f>IFERROR(VLOOKUP($A59,[1]!LOOKUP_MDAPs,D$3,FALSE)/$I59,"")</f>
        <v>0.60577094693554934</v>
      </c>
      <c r="E59" s="66">
        <f>IFERROR(VLOOKUP($A59,[1]!LOOKUP_MDAPs,E$3,FALSE)/$I59,"")</f>
        <v>22.869580643323904</v>
      </c>
      <c r="F59" s="66">
        <f>IFERROR(VLOOKUP($A59,[1]!LOOKUP_MDAPs,F$3,FALSE)/$I59,"")</f>
        <v>6.8021917364615857E-4</v>
      </c>
      <c r="G59" s="66">
        <f>IFERROR(VLOOKUP($A59,[1]!LOOKUP_MDAPs,G$3,FALSE)/$I59,"")</f>
        <v>18.548375015082808</v>
      </c>
      <c r="H59" s="66">
        <f t="shared" si="28"/>
        <v>-44.724144969632505</v>
      </c>
      <c r="I59" s="65">
        <f>IFERROR(VLOOKUP($A59,[1]!LOOKUP_MDAPs,I$3,FALSE),"")</f>
        <v>42.171701579999997</v>
      </c>
      <c r="J59" s="64" t="e">
        <f>VLOOKUP($A59,[1]!LOOKUP_SARS_2009_Change_Breakdown,J$3,FALSE)+0</f>
        <v>#NAME?</v>
      </c>
      <c r="K59" s="64" t="e">
        <f>VLOOKUP($A59,[1]!LOOKUP_SARS_2009_Change_Breakdown,K$3,FALSE)+0</f>
        <v>#NAME?</v>
      </c>
      <c r="L59" s="64" t="e">
        <f>VLOOKUP($A59,[1]!LOOKUP_SARS_2009_Change_Breakdown,L$3,FALSE)+0</f>
        <v>#NAME?</v>
      </c>
      <c r="M59" s="64" t="e">
        <f>VLOOKUP($A59,[1]!LOOKUP_SARS_2009_Change_Breakdown,M$3,FALSE)+0</f>
        <v>#NAME?</v>
      </c>
      <c r="N59" s="64" t="e">
        <f>VLOOKUP($A59,[1]!LOOKUP_SARS_2009_Change_Breakdown,N$3,FALSE)+0</f>
        <v>#NAME?</v>
      </c>
      <c r="O59" s="64" t="e">
        <f>VLOOKUP($A59,[1]!LOOKUP_SARS_2009_Change_Breakdown,O$3,FALSE)+0</f>
        <v>#NAME?</v>
      </c>
      <c r="P59" s="64" t="e">
        <f>VLOOKUP($A59,[1]!LOOKUP_SARS_2009_Change_Breakdown,P$3,FALSE)+0</f>
        <v>#NAME?</v>
      </c>
      <c r="Q59" s="64" t="e">
        <f>VLOOKUP($A59,[1]!LOOKUP_SARS_2009_Change_Breakdown,Q$3,FALSE)+0</f>
        <v>#NAME?</v>
      </c>
      <c r="R59" s="26" t="e">
        <f>VLOOKUP($A59,[1]!LOOKUP_SARS_2009,R$3,FALSE)</f>
        <v>#NAME?</v>
      </c>
      <c r="S59" s="1" t="e">
        <f t="shared" si="80"/>
        <v>#NAME?</v>
      </c>
      <c r="CK59" s="37"/>
      <c r="CL59" s="37"/>
      <c r="CM59" s="37"/>
      <c r="CN59" s="37"/>
      <c r="CO59" s="37"/>
      <c r="CP59" s="37"/>
      <c r="CQ59" s="37"/>
      <c r="CR59" s="37"/>
      <c r="CS59" s="63"/>
      <c r="CT59" s="62"/>
      <c r="CU59" s="19"/>
    </row>
    <row r="60" spans="1:99" s="1" customFormat="1" x14ac:dyDescent="0.25">
      <c r="A60" s="92" t="s">
        <v>3</v>
      </c>
      <c r="B60" s="66" t="str">
        <f>IFERROR(VLOOKUP($A60,[1]!LOOKUP_MDAPs,B$3,FALSE)/$I60,"")</f>
        <v/>
      </c>
      <c r="C60" s="66" t="str">
        <f>IFERROR(VLOOKUP($A60,[1]!LOOKUP_MDAPs,C$3,FALSE)/$I60,"")</f>
        <v/>
      </c>
      <c r="D60" s="66" t="str">
        <f>IFERROR(VLOOKUP($A60,[1]!LOOKUP_MDAPs,D$3,FALSE)/$I60,"")</f>
        <v/>
      </c>
      <c r="E60" s="66" t="str">
        <f>IFERROR(VLOOKUP($A60,[1]!LOOKUP_MDAPs,E$3,FALSE)/$I60,"")</f>
        <v/>
      </c>
      <c r="F60" s="66" t="str">
        <f>IFERROR(VLOOKUP($A60,[1]!LOOKUP_MDAPs,F$3,FALSE)/$I60,"")</f>
        <v/>
      </c>
      <c r="G60" s="66" t="str">
        <f>IFERROR(VLOOKUP($A60,[1]!LOOKUP_MDAPs,G$3,FALSE)/$I60,"")</f>
        <v/>
      </c>
      <c r="H60" s="66">
        <f t="shared" si="28"/>
        <v>1</v>
      </c>
      <c r="I60" s="65">
        <f>IFERROR(VLOOKUP($A60,[1]!LOOKUP_MDAPs,I$3,FALSE),"")</f>
        <v>0</v>
      </c>
      <c r="J60" s="64" t="e">
        <f>VLOOKUP($A60,[1]!LOOKUP_SARS_2009_Change_Breakdown,J$3,FALSE)+0</f>
        <v>#NAME?</v>
      </c>
      <c r="K60" s="64" t="e">
        <f>VLOOKUP($A60,[1]!LOOKUP_SARS_2009_Change_Breakdown,K$3,FALSE)+0</f>
        <v>#NAME?</v>
      </c>
      <c r="L60" s="64" t="e">
        <f>VLOOKUP($A60,[1]!LOOKUP_SARS_2009_Change_Breakdown,L$3,FALSE)+0</f>
        <v>#NAME?</v>
      </c>
      <c r="M60" s="64" t="e">
        <f>VLOOKUP($A60,[1]!LOOKUP_SARS_2009_Change_Breakdown,M$3,FALSE)+0</f>
        <v>#NAME?</v>
      </c>
      <c r="N60" s="64" t="e">
        <f>VLOOKUP($A60,[1]!LOOKUP_SARS_2009_Change_Breakdown,N$3,FALSE)+0</f>
        <v>#NAME?</v>
      </c>
      <c r="O60" s="64" t="e">
        <f>VLOOKUP($A60,[1]!LOOKUP_SARS_2009_Change_Breakdown,O$3,FALSE)+0</f>
        <v>#NAME?</v>
      </c>
      <c r="P60" s="64" t="e">
        <f>VLOOKUP($A60,[1]!LOOKUP_SARS_2009_Change_Breakdown,P$3,FALSE)+0</f>
        <v>#NAME?</v>
      </c>
      <c r="Q60" s="64" t="e">
        <f>VLOOKUP($A60,[1]!LOOKUP_SARS_2009_Change_Breakdown,Q$3,FALSE)+0</f>
        <v>#NAME?</v>
      </c>
      <c r="R60" s="26" t="e">
        <f>VLOOKUP($A60,[1]!LOOKUP_SARS_2009,R$3,FALSE)</f>
        <v>#NAME?</v>
      </c>
      <c r="S60" s="1" t="e">
        <f t="shared" si="80"/>
        <v>#NAME?</v>
      </c>
      <c r="CK60" s="37"/>
      <c r="CL60" s="37"/>
      <c r="CM60" s="37"/>
      <c r="CN60" s="37"/>
      <c r="CO60" s="37"/>
      <c r="CP60" s="37"/>
      <c r="CQ60" s="37"/>
      <c r="CR60" s="37"/>
      <c r="CS60" s="63"/>
      <c r="CT60" s="62"/>
      <c r="CU60" s="19"/>
    </row>
    <row r="61" spans="1:99" s="1" customFormat="1" x14ac:dyDescent="0.25">
      <c r="A61" s="92" t="s">
        <v>179</v>
      </c>
      <c r="B61" s="66" t="str">
        <f>IFERROR(VLOOKUP($A61,[1]!LOOKUP_MDAPs,B$3,FALSE)/$I61,"")</f>
        <v/>
      </c>
      <c r="C61" s="66" t="str">
        <f>IFERROR(VLOOKUP($A61,[1]!LOOKUP_MDAPs,C$3,FALSE)/$I61,"")</f>
        <v/>
      </c>
      <c r="D61" s="66" t="str">
        <f>IFERROR(VLOOKUP($A61,[1]!LOOKUP_MDAPs,D$3,FALSE)/$I61,"")</f>
        <v/>
      </c>
      <c r="E61" s="66" t="str">
        <f>IFERROR(VLOOKUP($A61,[1]!LOOKUP_MDAPs,E$3,FALSE)/$I61,"")</f>
        <v/>
      </c>
      <c r="F61" s="66" t="str">
        <f>IFERROR(VLOOKUP($A61,[1]!LOOKUP_MDAPs,F$3,FALSE)/$I61,"")</f>
        <v/>
      </c>
      <c r="G61" s="66" t="str">
        <f>IFERROR(VLOOKUP($A61,[1]!LOOKUP_MDAPs,G$3,FALSE)/$I61,"")</f>
        <v/>
      </c>
      <c r="H61" s="66">
        <f t="shared" si="28"/>
        <v>1</v>
      </c>
      <c r="I61" s="65">
        <f>IFERROR(VLOOKUP($A61,[1]!LOOKUP_MDAPs,I$3,FALSE),"")</f>
        <v>0</v>
      </c>
      <c r="J61" s="64" t="e">
        <f>VLOOKUP($A61,[1]!LOOKUP_SARS_2009_Change_Breakdown,J$3,FALSE)+0</f>
        <v>#NAME?</v>
      </c>
      <c r="K61" s="64" t="e">
        <f>VLOOKUP($A61,[1]!LOOKUP_SARS_2009_Change_Breakdown,K$3,FALSE)+0</f>
        <v>#NAME?</v>
      </c>
      <c r="L61" s="64" t="e">
        <f>VLOOKUP($A61,[1]!LOOKUP_SARS_2009_Change_Breakdown,L$3,FALSE)+0</f>
        <v>#NAME?</v>
      </c>
      <c r="M61" s="64" t="e">
        <f>VLOOKUP($A61,[1]!LOOKUP_SARS_2009_Change_Breakdown,M$3,FALSE)+0</f>
        <v>#NAME?</v>
      </c>
      <c r="N61" s="64" t="e">
        <f>VLOOKUP($A61,[1]!LOOKUP_SARS_2009_Change_Breakdown,N$3,FALSE)+0</f>
        <v>#NAME?</v>
      </c>
      <c r="O61" s="64" t="e">
        <f>VLOOKUP($A61,[1]!LOOKUP_SARS_2009_Change_Breakdown,O$3,FALSE)+0</f>
        <v>#NAME?</v>
      </c>
      <c r="P61" s="64" t="e">
        <f>VLOOKUP($A61,[1]!LOOKUP_SARS_2009_Change_Breakdown,P$3,FALSE)+0</f>
        <v>#NAME?</v>
      </c>
      <c r="Q61" s="64" t="e">
        <f>VLOOKUP($A61,[1]!LOOKUP_SARS_2009_Change_Breakdown,Q$3,FALSE)+0</f>
        <v>#NAME?</v>
      </c>
      <c r="R61" s="26" t="e">
        <f>VLOOKUP($A61,[1]!LOOKUP_SARS_2009,R$3,FALSE)</f>
        <v>#NAME?</v>
      </c>
      <c r="S61" s="1" t="e">
        <f t="shared" si="80"/>
        <v>#NAME?</v>
      </c>
      <c r="CK61" s="37"/>
      <c r="CL61" s="37"/>
      <c r="CM61" s="37"/>
      <c r="CN61" s="37"/>
      <c r="CO61" s="37"/>
      <c r="CP61" s="37"/>
      <c r="CQ61" s="37"/>
      <c r="CR61" s="37"/>
      <c r="CS61" s="63"/>
      <c r="CT61" s="62"/>
      <c r="CU61" s="19"/>
    </row>
    <row r="62" spans="1:99" s="1" customFormat="1" x14ac:dyDescent="0.25">
      <c r="A62" s="92" t="s">
        <v>2</v>
      </c>
      <c r="B62" s="66">
        <f>IFERROR(VLOOKUP($A62,[1]!LOOKUP_MDAPs,B$3,FALSE)/$I62,"")</f>
        <v>1.3371815135850762</v>
      </c>
      <c r="C62" s="66">
        <f>IFERROR(VLOOKUP($A62,[1]!LOOKUP_MDAPs,C$3,FALSE)/$I62,"")</f>
        <v>0.4650142241643675</v>
      </c>
      <c r="D62" s="66">
        <f>IFERROR(VLOOKUP($A62,[1]!LOOKUP_MDAPs,D$3,FALSE)/$I62,"")</f>
        <v>0.11146783897816269</v>
      </c>
      <c r="E62" s="66">
        <f>IFERROR(VLOOKUP($A62,[1]!LOOKUP_MDAPs,E$3,FALSE)/$I62,"")</f>
        <v>0.30285546949090247</v>
      </c>
      <c r="F62" s="66">
        <f>IFERROR(VLOOKUP($A62,[1]!LOOKUP_MDAPs,F$3,FALSE)/$I62,"")</f>
        <v>1.1394574443068422E-4</v>
      </c>
      <c r="G62" s="66">
        <f>IFERROR(VLOOKUP($A62,[1]!LOOKUP_MDAPs,G$3,FALSE)/$I62,"")</f>
        <v>3.5981818031333499</v>
      </c>
      <c r="H62" s="66">
        <f t="shared" si="28"/>
        <v>-4.8148147950962894</v>
      </c>
      <c r="I62" s="65">
        <f>IFERROR(VLOOKUP($A62,[1]!LOOKUP_MDAPs,I$3,FALSE),"")</f>
        <v>78.512366079999993</v>
      </c>
      <c r="J62" s="64" t="e">
        <f>VLOOKUP($A62,[1]!LOOKUP_SARS_2009_Change_Breakdown,J$3,FALSE)+0</f>
        <v>#NAME?</v>
      </c>
      <c r="K62" s="64" t="e">
        <f>VLOOKUP($A62,[1]!LOOKUP_SARS_2009_Change_Breakdown,K$3,FALSE)+0</f>
        <v>#NAME?</v>
      </c>
      <c r="L62" s="64" t="e">
        <f>VLOOKUP($A62,[1]!LOOKUP_SARS_2009_Change_Breakdown,L$3,FALSE)+0</f>
        <v>#NAME?</v>
      </c>
      <c r="M62" s="64" t="e">
        <f>VLOOKUP($A62,[1]!LOOKUP_SARS_2009_Change_Breakdown,M$3,FALSE)+0</f>
        <v>#NAME?</v>
      </c>
      <c r="N62" s="64" t="e">
        <f>VLOOKUP($A62,[1]!LOOKUP_SARS_2009_Change_Breakdown,N$3,FALSE)+0</f>
        <v>#NAME?</v>
      </c>
      <c r="O62" s="64" t="e">
        <f>VLOOKUP($A62,[1]!LOOKUP_SARS_2009_Change_Breakdown,O$3,FALSE)+0</f>
        <v>#NAME?</v>
      </c>
      <c r="P62" s="64" t="e">
        <f>VLOOKUP($A62,[1]!LOOKUP_SARS_2009_Change_Breakdown,P$3,FALSE)+0</f>
        <v>#NAME?</v>
      </c>
      <c r="Q62" s="64" t="e">
        <f>VLOOKUP($A62,[1]!LOOKUP_SARS_2009_Change_Breakdown,Q$3,FALSE)+0</f>
        <v>#NAME?</v>
      </c>
      <c r="R62" s="26" t="e">
        <f>VLOOKUP($A62,[1]!LOOKUP_SARS_2009,R$3,FALSE)</f>
        <v>#NAME?</v>
      </c>
      <c r="S62" s="1" t="e">
        <f t="shared" si="80"/>
        <v>#NAME?</v>
      </c>
      <c r="CK62" s="37"/>
      <c r="CL62" s="37"/>
      <c r="CM62" s="37"/>
      <c r="CN62" s="37"/>
      <c r="CO62" s="37"/>
      <c r="CP62" s="37"/>
      <c r="CQ62" s="37"/>
      <c r="CR62" s="37"/>
      <c r="CS62" s="63"/>
      <c r="CT62" s="62"/>
      <c r="CU62" s="19"/>
    </row>
    <row r="63" spans="1:99" s="1" customFormat="1" x14ac:dyDescent="0.25">
      <c r="A63" s="92" t="s">
        <v>61</v>
      </c>
      <c r="B63" s="66">
        <f>IFERROR(VLOOKUP($A63,[1]!LOOKUP_MDAPs,B$3,FALSE)/$I63,"")</f>
        <v>13.32486546523255</v>
      </c>
      <c r="C63" s="66">
        <f>IFERROR(VLOOKUP($A63,[1]!LOOKUP_MDAPs,C$3,FALSE)/$I63,"")</f>
        <v>2.7062326231233857</v>
      </c>
      <c r="D63" s="66">
        <f>IFERROR(VLOOKUP($A63,[1]!LOOKUP_MDAPs,D$3,FALSE)/$I63,"")</f>
        <v>2.424544417507825E-3</v>
      </c>
      <c r="E63" s="66">
        <f>IFERROR(VLOOKUP($A63,[1]!LOOKUP_MDAPs,E$3,FALSE)/$I63,"")</f>
        <v>15.720095042307172</v>
      </c>
      <c r="F63" s="66">
        <f>IFERROR(VLOOKUP($A63,[1]!LOOKUP_MDAPs,F$3,FALSE)/$I63,"")</f>
        <v>0</v>
      </c>
      <c r="G63" s="66">
        <f>IFERROR(VLOOKUP($A63,[1]!LOOKUP_MDAPs,G$3,FALSE)/$I63,"")</f>
        <v>53.992980576026262</v>
      </c>
      <c r="H63" s="66">
        <f t="shared" si="28"/>
        <v>-84.746598251106874</v>
      </c>
      <c r="I63" s="65">
        <f>IFERROR(VLOOKUP($A63,[1]!LOOKUP_MDAPs,I$3,FALSE),"")</f>
        <v>16.28878387</v>
      </c>
      <c r="J63" s="64" t="e">
        <f>VLOOKUP($A63,[1]!LOOKUP_SARS_2009_Change_Breakdown,J$3,FALSE)+0</f>
        <v>#NAME?</v>
      </c>
      <c r="K63" s="64" t="e">
        <f>VLOOKUP($A63,[1]!LOOKUP_SARS_2009_Change_Breakdown,K$3,FALSE)+0</f>
        <v>#NAME?</v>
      </c>
      <c r="L63" s="64" t="e">
        <f>VLOOKUP($A63,[1]!LOOKUP_SARS_2009_Change_Breakdown,L$3,FALSE)+0</f>
        <v>#NAME?</v>
      </c>
      <c r="M63" s="64" t="e">
        <f>VLOOKUP($A63,[1]!LOOKUP_SARS_2009_Change_Breakdown,M$3,FALSE)+0</f>
        <v>#NAME?</v>
      </c>
      <c r="N63" s="64" t="e">
        <f>VLOOKUP($A63,[1]!LOOKUP_SARS_2009_Change_Breakdown,N$3,FALSE)+0</f>
        <v>#NAME?</v>
      </c>
      <c r="O63" s="64" t="e">
        <f>VLOOKUP($A63,[1]!LOOKUP_SARS_2009_Change_Breakdown,O$3,FALSE)+0</f>
        <v>#NAME?</v>
      </c>
      <c r="P63" s="64" t="e">
        <f>VLOOKUP($A63,[1]!LOOKUP_SARS_2009_Change_Breakdown,P$3,FALSE)+0</f>
        <v>#NAME?</v>
      </c>
      <c r="Q63" s="64" t="e">
        <f>VLOOKUP($A63,[1]!LOOKUP_SARS_2009_Change_Breakdown,Q$3,FALSE)+0</f>
        <v>#NAME?</v>
      </c>
      <c r="R63" s="26" t="e">
        <f>VLOOKUP($A63,[1]!LOOKUP_SARS_2009,R$3,FALSE)</f>
        <v>#NAME?</v>
      </c>
      <c r="S63" s="1" t="e">
        <f t="shared" si="80"/>
        <v>#NAME?</v>
      </c>
      <c r="CK63" s="37"/>
      <c r="CL63" s="37"/>
      <c r="CM63" s="37"/>
      <c r="CN63" s="37"/>
      <c r="CO63" s="37"/>
      <c r="CP63" s="37"/>
      <c r="CQ63" s="37"/>
      <c r="CR63" s="37"/>
      <c r="CS63" s="63"/>
      <c r="CT63" s="62"/>
      <c r="CU63" s="19"/>
    </row>
    <row r="64" spans="1:99" s="1" customFormat="1" x14ac:dyDescent="0.25">
      <c r="A64" s="92" t="s">
        <v>5</v>
      </c>
      <c r="B64" s="66" t="str">
        <f>IFERROR(VLOOKUP($A64,[1]!LOOKUP_MDAPs,B$3,FALSE)/$I64,"")</f>
        <v/>
      </c>
      <c r="C64" s="66" t="str">
        <f>IFERROR(VLOOKUP($A64,[1]!LOOKUP_MDAPs,C$3,FALSE)/$I64,"")</f>
        <v/>
      </c>
      <c r="D64" s="66" t="str">
        <f>IFERROR(VLOOKUP($A64,[1]!LOOKUP_MDAPs,D$3,FALSE)/$I64,"")</f>
        <v/>
      </c>
      <c r="E64" s="66" t="str">
        <f>IFERROR(VLOOKUP($A64,[1]!LOOKUP_MDAPs,E$3,FALSE)/$I64,"")</f>
        <v/>
      </c>
      <c r="F64" s="66" t="str">
        <f>IFERROR(VLOOKUP($A64,[1]!LOOKUP_MDAPs,F$3,FALSE)/$I64,"")</f>
        <v/>
      </c>
      <c r="G64" s="66" t="str">
        <f>IFERROR(VLOOKUP($A64,[1]!LOOKUP_MDAPs,G$3,FALSE)/$I64,"")</f>
        <v/>
      </c>
      <c r="H64" s="66">
        <f t="shared" si="28"/>
        <v>1</v>
      </c>
      <c r="I64" s="65">
        <f>IFERROR(VLOOKUP($A64,[1]!LOOKUP_MDAPs,I$3,FALSE),"")</f>
        <v>0</v>
      </c>
      <c r="J64" s="64" t="e">
        <f>VLOOKUP($A64,[1]!LOOKUP_SARS_2009_Change_Breakdown,J$3,FALSE)+0</f>
        <v>#NAME?</v>
      </c>
      <c r="K64" s="64" t="e">
        <f>VLOOKUP($A64,[1]!LOOKUP_SARS_2009_Change_Breakdown,K$3,FALSE)+0</f>
        <v>#NAME?</v>
      </c>
      <c r="L64" s="64" t="e">
        <f>VLOOKUP($A64,[1]!LOOKUP_SARS_2009_Change_Breakdown,L$3,FALSE)+0</f>
        <v>#NAME?</v>
      </c>
      <c r="M64" s="64" t="e">
        <f>VLOOKUP($A64,[1]!LOOKUP_SARS_2009_Change_Breakdown,M$3,FALSE)+0</f>
        <v>#NAME?</v>
      </c>
      <c r="N64" s="64" t="e">
        <f>VLOOKUP($A64,[1]!LOOKUP_SARS_2009_Change_Breakdown,N$3,FALSE)+0</f>
        <v>#NAME?</v>
      </c>
      <c r="O64" s="64" t="e">
        <f>VLOOKUP($A64,[1]!LOOKUP_SARS_2009_Change_Breakdown,O$3,FALSE)+0</f>
        <v>#NAME?</v>
      </c>
      <c r="P64" s="64" t="e">
        <f>VLOOKUP($A64,[1]!LOOKUP_SARS_2009_Change_Breakdown,P$3,FALSE)+0</f>
        <v>#NAME?</v>
      </c>
      <c r="Q64" s="64" t="e">
        <f>VLOOKUP($A64,[1]!LOOKUP_SARS_2009_Change_Breakdown,Q$3,FALSE)+0</f>
        <v>#NAME?</v>
      </c>
      <c r="R64" s="26" t="e">
        <f>VLOOKUP($A64,[1]!LOOKUP_SARS_2009,R$3,FALSE)</f>
        <v>#NAME?</v>
      </c>
      <c r="S64" s="1" t="e">
        <f t="shared" si="80"/>
        <v>#NAME?</v>
      </c>
      <c r="CK64" s="37"/>
      <c r="CL64" s="37"/>
      <c r="CM64" s="37"/>
      <c r="CN64" s="37"/>
      <c r="CO64" s="37"/>
      <c r="CP64" s="37"/>
      <c r="CQ64" s="37"/>
      <c r="CR64" s="37"/>
      <c r="CS64" s="63"/>
      <c r="CT64" s="62"/>
      <c r="CU64" s="19"/>
    </row>
    <row r="65" spans="1:99" s="1" customFormat="1" x14ac:dyDescent="0.25">
      <c r="A65" s="92" t="s">
        <v>219</v>
      </c>
      <c r="B65" s="66">
        <f>IFERROR(VLOOKUP($A65,[1]!LOOKUP_MDAPs,B$3,FALSE)/$I65,"")</f>
        <v>5.8738196119749277</v>
      </c>
      <c r="C65" s="66">
        <f>IFERROR(VLOOKUP($A65,[1]!LOOKUP_MDAPs,C$3,FALSE)/$I65,"")</f>
        <v>4.631404796120607E-2</v>
      </c>
      <c r="D65" s="66">
        <f>IFERROR(VLOOKUP($A65,[1]!LOOKUP_MDAPs,D$3,FALSE)/$I65,"")</f>
        <v>1.7651067344199561E-2</v>
      </c>
      <c r="E65" s="66">
        <f>IFERROR(VLOOKUP($A65,[1]!LOOKUP_MDAPs,E$3,FALSE)/$I65,"")</f>
        <v>6.3854992880958052E-3</v>
      </c>
      <c r="F65" s="66">
        <f>IFERROR(VLOOKUP($A65,[1]!LOOKUP_MDAPs,F$3,FALSE)/$I65,"")</f>
        <v>6.4533418892040667E-3</v>
      </c>
      <c r="G65" s="66">
        <f>IFERROR(VLOOKUP($A65,[1]!LOOKUP_MDAPs,G$3,FALSE)/$I65,"")</f>
        <v>17.285198842145377</v>
      </c>
      <c r="H65" s="66">
        <f t="shared" si="28"/>
        <v>-22.23582241060301</v>
      </c>
      <c r="I65" s="65">
        <f>IFERROR(VLOOKUP($A65,[1]!LOOKUP_MDAPs,I$3,FALSE),"")</f>
        <v>34.358942049999996</v>
      </c>
      <c r="J65" s="64" t="e">
        <f>VLOOKUP($A65,[1]!LOOKUP_SARS_2009_Change_Breakdown,J$3,FALSE)+0</f>
        <v>#NAME?</v>
      </c>
      <c r="K65" s="64" t="e">
        <f>VLOOKUP($A65,[1]!LOOKUP_SARS_2009_Change_Breakdown,K$3,FALSE)+0</f>
        <v>#NAME?</v>
      </c>
      <c r="L65" s="64" t="e">
        <f>VLOOKUP($A65,[1]!LOOKUP_SARS_2009_Change_Breakdown,L$3,FALSE)+0</f>
        <v>#NAME?</v>
      </c>
      <c r="M65" s="64" t="e">
        <f>VLOOKUP($A65,[1]!LOOKUP_SARS_2009_Change_Breakdown,M$3,FALSE)+0</f>
        <v>#NAME?</v>
      </c>
      <c r="N65" s="64" t="e">
        <f>VLOOKUP($A65,[1]!LOOKUP_SARS_2009_Change_Breakdown,N$3,FALSE)+0</f>
        <v>#NAME?</v>
      </c>
      <c r="O65" s="64" t="e">
        <f>VLOOKUP($A65,[1]!LOOKUP_SARS_2009_Change_Breakdown,O$3,FALSE)+0</f>
        <v>#NAME?</v>
      </c>
      <c r="P65" s="64" t="e">
        <f>VLOOKUP($A65,[1]!LOOKUP_SARS_2009_Change_Breakdown,P$3,FALSE)+0</f>
        <v>#NAME?</v>
      </c>
      <c r="Q65" s="64" t="e">
        <f>VLOOKUP($A65,[1]!LOOKUP_SARS_2009_Change_Breakdown,Q$3,FALSE)+0</f>
        <v>#NAME?</v>
      </c>
      <c r="R65" s="26" t="e">
        <f>VLOOKUP($A65,[1]!LOOKUP_SARS_2009,R$3,FALSE)</f>
        <v>#NAME?</v>
      </c>
      <c r="S65" s="1" t="e">
        <f t="shared" si="80"/>
        <v>#NAME?</v>
      </c>
      <c r="CK65" s="37"/>
      <c r="CL65" s="37"/>
      <c r="CM65" s="37"/>
      <c r="CN65" s="37"/>
      <c r="CO65" s="37"/>
      <c r="CP65" s="37"/>
      <c r="CQ65" s="37"/>
      <c r="CR65" s="37"/>
      <c r="CS65" s="63"/>
      <c r="CT65" s="62"/>
      <c r="CU65" s="19"/>
    </row>
    <row r="66" spans="1:99" s="1" customFormat="1" x14ac:dyDescent="0.25">
      <c r="A66" s="92" t="s">
        <v>34</v>
      </c>
      <c r="B66" s="66">
        <f>IFERROR(VLOOKUP($A66,[1]!LOOKUP_MDAPs,B$3,FALSE)/$I66,"")</f>
        <v>3.8934257340702313E-2</v>
      </c>
      <c r="C66" s="66">
        <f>IFERROR(VLOOKUP($A66,[1]!LOOKUP_MDAPs,C$3,FALSE)/$I66,"")</f>
        <v>6.0375825590176246</v>
      </c>
      <c r="D66" s="66">
        <f>IFERROR(VLOOKUP($A66,[1]!LOOKUP_MDAPs,D$3,FALSE)/$I66,"")</f>
        <v>4.9467016100892521E-3</v>
      </c>
      <c r="E66" s="66">
        <f>IFERROR(VLOOKUP($A66,[1]!LOOKUP_MDAPs,E$3,FALSE)/$I66,"")</f>
        <v>0.13932039891302411</v>
      </c>
      <c r="F66" s="66">
        <f>IFERROR(VLOOKUP($A66,[1]!LOOKUP_MDAPs,F$3,FALSE)/$I66,"")</f>
        <v>8.3886241602549863</v>
      </c>
      <c r="G66" s="66">
        <f>IFERROR(VLOOKUP($A66,[1]!LOOKUP_MDAPs,G$3,FALSE)/$I66,"")</f>
        <v>12.38171337830838</v>
      </c>
      <c r="H66" s="66">
        <f t="shared" si="28"/>
        <v>-25.991121455444805</v>
      </c>
      <c r="I66" s="65">
        <f>IFERROR(VLOOKUP($A66,[1]!LOOKUP_MDAPs,I$3,FALSE),"")</f>
        <v>76.952488750000001</v>
      </c>
      <c r="J66" s="64" t="e">
        <f>VLOOKUP($A66,[1]!LOOKUP_SARS_2009_Change_Breakdown,J$3,FALSE)+0</f>
        <v>#NAME?</v>
      </c>
      <c r="K66" s="64" t="e">
        <f>VLOOKUP($A66,[1]!LOOKUP_SARS_2009_Change_Breakdown,K$3,FALSE)+0</f>
        <v>#NAME?</v>
      </c>
      <c r="L66" s="64" t="e">
        <f>VLOOKUP($A66,[1]!LOOKUP_SARS_2009_Change_Breakdown,L$3,FALSE)+0</f>
        <v>#NAME?</v>
      </c>
      <c r="M66" s="64" t="e">
        <f>VLOOKUP($A66,[1]!LOOKUP_SARS_2009_Change_Breakdown,M$3,FALSE)+0</f>
        <v>#NAME?</v>
      </c>
      <c r="N66" s="64" t="e">
        <f>VLOOKUP($A66,[1]!LOOKUP_SARS_2009_Change_Breakdown,N$3,FALSE)+0</f>
        <v>#NAME?</v>
      </c>
      <c r="O66" s="64" t="e">
        <f>VLOOKUP($A66,[1]!LOOKUP_SARS_2009_Change_Breakdown,O$3,FALSE)+0</f>
        <v>#NAME?</v>
      </c>
      <c r="P66" s="64" t="e">
        <f>VLOOKUP($A66,[1]!LOOKUP_SARS_2009_Change_Breakdown,P$3,FALSE)+0</f>
        <v>#NAME?</v>
      </c>
      <c r="Q66" s="64" t="e">
        <f>VLOOKUP($A66,[1]!LOOKUP_SARS_2009_Change_Breakdown,Q$3,FALSE)+0</f>
        <v>#NAME?</v>
      </c>
      <c r="R66" s="26" t="e">
        <f>VLOOKUP($A66,[1]!LOOKUP_SARS_2009,R$3,FALSE)</f>
        <v>#NAME?</v>
      </c>
      <c r="S66" s="1" t="e">
        <f t="shared" si="80"/>
        <v>#NAME?</v>
      </c>
      <c r="CK66" s="37"/>
      <c r="CL66" s="37"/>
      <c r="CM66" s="37"/>
      <c r="CN66" s="37"/>
      <c r="CO66" s="37"/>
      <c r="CP66" s="37"/>
      <c r="CQ66" s="37"/>
      <c r="CR66" s="37"/>
      <c r="CS66" s="63"/>
      <c r="CT66" s="62"/>
      <c r="CU66" s="19"/>
    </row>
    <row r="67" spans="1:99" s="1" customFormat="1" x14ac:dyDescent="0.25">
      <c r="A67" s="92" t="s">
        <v>181</v>
      </c>
      <c r="B67" s="66" t="str">
        <f>IFERROR(VLOOKUP($A67,[1]!LOOKUP_MDAPs,B$3,FALSE)/$I67,"")</f>
        <v/>
      </c>
      <c r="C67" s="66" t="str">
        <f>IFERROR(VLOOKUP($A67,[1]!LOOKUP_MDAPs,C$3,FALSE)/$I67,"")</f>
        <v/>
      </c>
      <c r="D67" s="66" t="str">
        <f>IFERROR(VLOOKUP($A67,[1]!LOOKUP_MDAPs,D$3,FALSE)/$I67,"")</f>
        <v/>
      </c>
      <c r="E67" s="66" t="str">
        <f>IFERROR(VLOOKUP($A67,[1]!LOOKUP_MDAPs,E$3,FALSE)/$I67,"")</f>
        <v/>
      </c>
      <c r="F67" s="66" t="str">
        <f>IFERROR(VLOOKUP($A67,[1]!LOOKUP_MDAPs,F$3,FALSE)/$I67,"")</f>
        <v/>
      </c>
      <c r="G67" s="66" t="str">
        <f>IFERROR(VLOOKUP($A67,[1]!LOOKUP_MDAPs,G$3,FALSE)/$I67,"")</f>
        <v/>
      </c>
      <c r="H67" s="66">
        <f t="shared" si="28"/>
        <v>1</v>
      </c>
      <c r="I67" s="65">
        <f>IFERROR(VLOOKUP($A67,[1]!LOOKUP_MDAPs,I$3,FALSE),"")</f>
        <v>0</v>
      </c>
      <c r="J67" s="64" t="e">
        <f>VLOOKUP($A67,[1]!LOOKUP_SARS_2009_Change_Breakdown,J$3,FALSE)+0</f>
        <v>#NAME?</v>
      </c>
      <c r="K67" s="64" t="e">
        <f>VLOOKUP($A67,[1]!LOOKUP_SARS_2009_Change_Breakdown,K$3,FALSE)+0</f>
        <v>#NAME?</v>
      </c>
      <c r="L67" s="64" t="e">
        <f>VLOOKUP($A67,[1]!LOOKUP_SARS_2009_Change_Breakdown,L$3,FALSE)+0</f>
        <v>#NAME?</v>
      </c>
      <c r="M67" s="64" t="e">
        <f>VLOOKUP($A67,[1]!LOOKUP_SARS_2009_Change_Breakdown,M$3,FALSE)+0</f>
        <v>#NAME?</v>
      </c>
      <c r="N67" s="64" t="e">
        <f>VLOOKUP($A67,[1]!LOOKUP_SARS_2009_Change_Breakdown,N$3,FALSE)+0</f>
        <v>#NAME?</v>
      </c>
      <c r="O67" s="64" t="e">
        <f>VLOOKUP($A67,[1]!LOOKUP_SARS_2009_Change_Breakdown,O$3,FALSE)+0</f>
        <v>#NAME?</v>
      </c>
      <c r="P67" s="64" t="e">
        <f>VLOOKUP($A67,[1]!LOOKUP_SARS_2009_Change_Breakdown,P$3,FALSE)+0</f>
        <v>#NAME?</v>
      </c>
      <c r="Q67" s="64" t="e">
        <f>VLOOKUP($A67,[1]!LOOKUP_SARS_2009_Change_Breakdown,Q$3,FALSE)+0</f>
        <v>#NAME?</v>
      </c>
      <c r="R67" s="26" t="e">
        <f>VLOOKUP($A67,[1]!LOOKUP_SARS_2009,R$3,FALSE)</f>
        <v>#NAME?</v>
      </c>
      <c r="S67" s="1" t="e">
        <f t="shared" si="80"/>
        <v>#NAME?</v>
      </c>
      <c r="CK67" s="37"/>
      <c r="CL67" s="37"/>
      <c r="CM67" s="37"/>
      <c r="CN67" s="37"/>
      <c r="CO67" s="37"/>
      <c r="CP67" s="37"/>
      <c r="CQ67" s="37"/>
      <c r="CR67" s="37"/>
      <c r="CS67" s="63"/>
      <c r="CT67" s="62"/>
      <c r="CU67" s="19"/>
    </row>
    <row r="68" spans="1:99" s="1" customFormat="1" x14ac:dyDescent="0.25">
      <c r="A68" s="92" t="s">
        <v>78</v>
      </c>
      <c r="B68" s="66">
        <f>IFERROR(VLOOKUP($A68,[1]!LOOKUP_MDAPs,B$3,FALSE)/$I68,"")</f>
        <v>2.5741935817537684</v>
      </c>
      <c r="C68" s="66">
        <f>IFERROR(VLOOKUP($A68,[1]!LOOKUP_MDAPs,C$3,FALSE)/$I68,"")</f>
        <v>15.716281451216673</v>
      </c>
      <c r="D68" s="66">
        <f>IFERROR(VLOOKUP($A68,[1]!LOOKUP_MDAPs,D$3,FALSE)/$I68,"")</f>
        <v>7.3440045512140878E-5</v>
      </c>
      <c r="E68" s="66">
        <f>IFERROR(VLOOKUP($A68,[1]!LOOKUP_MDAPs,E$3,FALSE)/$I68,"")</f>
        <v>0</v>
      </c>
      <c r="F68" s="66">
        <f>IFERROR(VLOOKUP($A68,[1]!LOOKUP_MDAPs,F$3,FALSE)/$I68,"")</f>
        <v>0</v>
      </c>
      <c r="G68" s="66">
        <f>IFERROR(VLOOKUP($A68,[1]!LOOKUP_MDAPs,G$3,FALSE)/$I68,"")</f>
        <v>130.30532831320627</v>
      </c>
      <c r="H68" s="66">
        <f t="shared" si="28"/>
        <v>-147.59587678622222</v>
      </c>
      <c r="I68" s="65">
        <f>IFERROR(VLOOKUP($A68,[1]!LOOKUP_MDAPs,I$3,FALSE),"")</f>
        <v>0.96677500000000005</v>
      </c>
      <c r="J68" s="64" t="e">
        <f>VLOOKUP($A68,[1]!LOOKUP_SARS_2009_Change_Breakdown,J$3,FALSE)+0</f>
        <v>#NAME?</v>
      </c>
      <c r="K68" s="64" t="e">
        <f>VLOOKUP($A68,[1]!LOOKUP_SARS_2009_Change_Breakdown,K$3,FALSE)+0</f>
        <v>#NAME?</v>
      </c>
      <c r="L68" s="64" t="e">
        <f>VLOOKUP($A68,[1]!LOOKUP_SARS_2009_Change_Breakdown,L$3,FALSE)+0</f>
        <v>#NAME?</v>
      </c>
      <c r="M68" s="64" t="e">
        <f>VLOOKUP($A68,[1]!LOOKUP_SARS_2009_Change_Breakdown,M$3,FALSE)+0</f>
        <v>#NAME?</v>
      </c>
      <c r="N68" s="64" t="e">
        <f>VLOOKUP($A68,[1]!LOOKUP_SARS_2009_Change_Breakdown,N$3,FALSE)+0</f>
        <v>#NAME?</v>
      </c>
      <c r="O68" s="64" t="e">
        <f>VLOOKUP($A68,[1]!LOOKUP_SARS_2009_Change_Breakdown,O$3,FALSE)+0</f>
        <v>#NAME?</v>
      </c>
      <c r="P68" s="64" t="e">
        <f>VLOOKUP($A68,[1]!LOOKUP_SARS_2009_Change_Breakdown,P$3,FALSE)+0</f>
        <v>#NAME?</v>
      </c>
      <c r="Q68" s="64" t="e">
        <f>VLOOKUP($A68,[1]!LOOKUP_SARS_2009_Change_Breakdown,Q$3,FALSE)+0</f>
        <v>#NAME?</v>
      </c>
      <c r="R68" s="26" t="e">
        <f>VLOOKUP($A68,[1]!LOOKUP_SARS_2009,R$3,FALSE)</f>
        <v>#NAME?</v>
      </c>
      <c r="S68" s="1" t="e">
        <f t="shared" si="80"/>
        <v>#NAME?</v>
      </c>
      <c r="CK68" s="37"/>
      <c r="CL68" s="37"/>
      <c r="CM68" s="37"/>
      <c r="CN68" s="37"/>
      <c r="CO68" s="37"/>
      <c r="CP68" s="37"/>
      <c r="CQ68" s="37"/>
      <c r="CR68" s="37"/>
      <c r="CS68" s="63"/>
      <c r="CT68" s="62"/>
      <c r="CU68" s="19"/>
    </row>
    <row r="69" spans="1:99" s="1" customFormat="1" x14ac:dyDescent="0.25">
      <c r="A69" s="92" t="s">
        <v>6</v>
      </c>
      <c r="B69" s="66" t="str">
        <f>IFERROR(VLOOKUP($A69,[1]!LOOKUP_MDAPs,B$3,FALSE)/$I69,"")</f>
        <v/>
      </c>
      <c r="C69" s="66" t="str">
        <f>IFERROR(VLOOKUP($A69,[1]!LOOKUP_MDAPs,C$3,FALSE)/$I69,"")</f>
        <v/>
      </c>
      <c r="D69" s="66" t="str">
        <f>IFERROR(VLOOKUP($A69,[1]!LOOKUP_MDAPs,D$3,FALSE)/$I69,"")</f>
        <v/>
      </c>
      <c r="E69" s="66" t="str">
        <f>IFERROR(VLOOKUP($A69,[1]!LOOKUP_MDAPs,E$3,FALSE)/$I69,"")</f>
        <v/>
      </c>
      <c r="F69" s="66" t="str">
        <f>IFERROR(VLOOKUP($A69,[1]!LOOKUP_MDAPs,F$3,FALSE)/$I69,"")</f>
        <v/>
      </c>
      <c r="G69" s="66" t="str">
        <f>IFERROR(VLOOKUP($A69,[1]!LOOKUP_MDAPs,G$3,FALSE)/$I69,"")</f>
        <v/>
      </c>
      <c r="H69" s="66">
        <f t="shared" si="28"/>
        <v>1</v>
      </c>
      <c r="I69" s="65">
        <f>IFERROR(VLOOKUP($A69,[1]!LOOKUP_MDAPs,I$3,FALSE),"")</f>
        <v>0</v>
      </c>
      <c r="J69" s="64" t="e">
        <f>VLOOKUP($A69,[1]!LOOKUP_SARS_2009_Change_Breakdown,J$3,FALSE)+0</f>
        <v>#NAME?</v>
      </c>
      <c r="K69" s="64" t="e">
        <f>VLOOKUP($A69,[1]!LOOKUP_SARS_2009_Change_Breakdown,K$3,FALSE)+0</f>
        <v>#NAME?</v>
      </c>
      <c r="L69" s="64" t="e">
        <f>VLOOKUP($A69,[1]!LOOKUP_SARS_2009_Change_Breakdown,L$3,FALSE)+0</f>
        <v>#NAME?</v>
      </c>
      <c r="M69" s="64" t="e">
        <f>VLOOKUP($A69,[1]!LOOKUP_SARS_2009_Change_Breakdown,M$3,FALSE)+0</f>
        <v>#NAME?</v>
      </c>
      <c r="N69" s="64" t="e">
        <f>VLOOKUP($A69,[1]!LOOKUP_SARS_2009_Change_Breakdown,N$3,FALSE)+0</f>
        <v>#NAME?</v>
      </c>
      <c r="O69" s="64" t="e">
        <f>VLOOKUP($A69,[1]!LOOKUP_SARS_2009_Change_Breakdown,O$3,FALSE)+0</f>
        <v>#NAME?</v>
      </c>
      <c r="P69" s="64" t="e">
        <f>VLOOKUP($A69,[1]!LOOKUP_SARS_2009_Change_Breakdown,P$3,FALSE)+0</f>
        <v>#NAME?</v>
      </c>
      <c r="Q69" s="64" t="e">
        <f>VLOOKUP($A69,[1]!LOOKUP_SARS_2009_Change_Breakdown,Q$3,FALSE)+0</f>
        <v>#NAME?</v>
      </c>
      <c r="R69" s="26" t="e">
        <f>VLOOKUP($A69,[1]!LOOKUP_SARS_2009,R$3,FALSE)</f>
        <v>#NAME?</v>
      </c>
      <c r="S69" s="1" t="e">
        <f t="shared" si="80"/>
        <v>#NAME?</v>
      </c>
      <c r="CK69" s="37"/>
      <c r="CL69" s="37"/>
      <c r="CM69" s="37"/>
      <c r="CN69" s="37"/>
      <c r="CO69" s="37"/>
      <c r="CP69" s="37"/>
      <c r="CQ69" s="37"/>
      <c r="CR69" s="37"/>
      <c r="CS69" s="63"/>
      <c r="CT69" s="62"/>
      <c r="CU69" s="19"/>
    </row>
    <row r="70" spans="1:99" s="1" customFormat="1" x14ac:dyDescent="0.25">
      <c r="A70" s="92" t="s">
        <v>182</v>
      </c>
      <c r="B70" s="66">
        <f>IFERROR(VLOOKUP($A70,[1]!LOOKUP_MDAPs,B$3,FALSE)/$I70,"")</f>
        <v>7.4491838563031168E-2</v>
      </c>
      <c r="C70" s="66">
        <f>IFERROR(VLOOKUP($A70,[1]!LOOKUP_MDAPs,C$3,FALSE)/$I70,"")</f>
        <v>4.5761896960656232</v>
      </c>
      <c r="D70" s="66">
        <f>IFERROR(VLOOKUP($A70,[1]!LOOKUP_MDAPs,D$3,FALSE)/$I70,"")</f>
        <v>0</v>
      </c>
      <c r="E70" s="66">
        <f>IFERROR(VLOOKUP($A70,[1]!LOOKUP_MDAPs,E$3,FALSE)/$I70,"")</f>
        <v>0</v>
      </c>
      <c r="F70" s="66">
        <f>IFERROR(VLOOKUP($A70,[1]!LOOKUP_MDAPs,F$3,FALSE)/$I70,"")</f>
        <v>0</v>
      </c>
      <c r="G70" s="66">
        <f>IFERROR(VLOOKUP($A70,[1]!LOOKUP_MDAPs,G$3,FALSE)/$I70,"")</f>
        <v>1.8956361463564435E-3</v>
      </c>
      <c r="H70" s="66">
        <f t="shared" si="28"/>
        <v>-3.652577170775011</v>
      </c>
      <c r="I70" s="65">
        <f>IFERROR(VLOOKUP($A70,[1]!LOOKUP_MDAPs,I$3,FALSE),"")</f>
        <v>11.00422148</v>
      </c>
      <c r="J70" s="64" t="e">
        <f>VLOOKUP($A70,[1]!LOOKUP_SARS_2009_Change_Breakdown,J$3,FALSE)+0</f>
        <v>#NAME?</v>
      </c>
      <c r="K70" s="64" t="e">
        <f>VLOOKUP($A70,[1]!LOOKUP_SARS_2009_Change_Breakdown,K$3,FALSE)+0</f>
        <v>#NAME?</v>
      </c>
      <c r="L70" s="64" t="e">
        <f>VLOOKUP($A70,[1]!LOOKUP_SARS_2009_Change_Breakdown,L$3,FALSE)+0</f>
        <v>#NAME?</v>
      </c>
      <c r="M70" s="64" t="e">
        <f>VLOOKUP($A70,[1]!LOOKUP_SARS_2009_Change_Breakdown,M$3,FALSE)+0</f>
        <v>#NAME?</v>
      </c>
      <c r="N70" s="64" t="e">
        <f>VLOOKUP($A70,[1]!LOOKUP_SARS_2009_Change_Breakdown,N$3,FALSE)+0</f>
        <v>#NAME?</v>
      </c>
      <c r="O70" s="64" t="e">
        <f>VLOOKUP($A70,[1]!LOOKUP_SARS_2009_Change_Breakdown,O$3,FALSE)+0</f>
        <v>#NAME?</v>
      </c>
      <c r="P70" s="64" t="e">
        <f>VLOOKUP($A70,[1]!LOOKUP_SARS_2009_Change_Breakdown,P$3,FALSE)+0</f>
        <v>#NAME?</v>
      </c>
      <c r="Q70" s="64" t="e">
        <f>VLOOKUP($A70,[1]!LOOKUP_SARS_2009_Change_Breakdown,Q$3,FALSE)+0</f>
        <v>#NAME?</v>
      </c>
      <c r="R70" s="26" t="e">
        <f>VLOOKUP($A70,[1]!LOOKUP_SARS_2009,R$3,FALSE)</f>
        <v>#NAME?</v>
      </c>
      <c r="S70" s="1" t="e">
        <f t="shared" si="80"/>
        <v>#NAME?</v>
      </c>
      <c r="CK70" s="37"/>
      <c r="CL70" s="37"/>
      <c r="CM70" s="37"/>
      <c r="CN70" s="37"/>
      <c r="CO70" s="37"/>
      <c r="CP70" s="37"/>
      <c r="CQ70" s="37"/>
      <c r="CR70" s="37"/>
      <c r="CS70" s="63"/>
      <c r="CT70" s="62"/>
      <c r="CU70" s="19"/>
    </row>
    <row r="71" spans="1:99" s="1" customFormat="1" x14ac:dyDescent="0.25">
      <c r="A71" s="92" t="s">
        <v>21</v>
      </c>
      <c r="B71" s="66">
        <f>IFERROR(VLOOKUP($A71,[1]!LOOKUP_MDAPs,B$3,FALSE)/$I71,"")</f>
        <v>7.6852278185477552</v>
      </c>
      <c r="C71" s="66">
        <f>IFERROR(VLOOKUP($A71,[1]!LOOKUP_MDAPs,C$3,FALSE)/$I71,"")</f>
        <v>21.778800219904888</v>
      </c>
      <c r="D71" s="66">
        <f>IFERROR(VLOOKUP($A71,[1]!LOOKUP_MDAPs,D$3,FALSE)/$I71,"")</f>
        <v>2.0457724647885995E-2</v>
      </c>
      <c r="E71" s="66">
        <f>IFERROR(VLOOKUP($A71,[1]!LOOKUP_MDAPs,E$3,FALSE)/$I71,"")</f>
        <v>13.838897776334594</v>
      </c>
      <c r="F71" s="66">
        <f>IFERROR(VLOOKUP($A71,[1]!LOOKUP_MDAPs,F$3,FALSE)/$I71,"")</f>
        <v>1.8907748605126295E-2</v>
      </c>
      <c r="G71" s="66">
        <f>IFERROR(VLOOKUP($A71,[1]!LOOKUP_MDAPs,G$3,FALSE)/$I71,"")</f>
        <v>72.845080511123129</v>
      </c>
      <c r="H71" s="66">
        <f t="shared" si="28"/>
        <v>-115.18737179916337</v>
      </c>
      <c r="I71" s="65">
        <f>IFERROR(VLOOKUP($A71,[1]!LOOKUP_MDAPs,I$3,FALSE),"")</f>
        <v>22.867450219999998</v>
      </c>
      <c r="J71" s="64" t="e">
        <f>VLOOKUP($A71,[1]!LOOKUP_SARS_2009_Change_Breakdown,J$3,FALSE)+0</f>
        <v>#NAME?</v>
      </c>
      <c r="K71" s="64" t="e">
        <f>VLOOKUP($A71,[1]!LOOKUP_SARS_2009_Change_Breakdown,K$3,FALSE)+0</f>
        <v>#NAME?</v>
      </c>
      <c r="L71" s="64" t="e">
        <f>VLOOKUP($A71,[1]!LOOKUP_SARS_2009_Change_Breakdown,L$3,FALSE)+0</f>
        <v>#NAME?</v>
      </c>
      <c r="M71" s="64" t="e">
        <f>VLOOKUP($A71,[1]!LOOKUP_SARS_2009_Change_Breakdown,M$3,FALSE)+0</f>
        <v>#NAME?</v>
      </c>
      <c r="N71" s="64" t="e">
        <f>VLOOKUP($A71,[1]!LOOKUP_SARS_2009_Change_Breakdown,N$3,FALSE)+0</f>
        <v>#NAME?</v>
      </c>
      <c r="O71" s="64" t="e">
        <f>VLOOKUP($A71,[1]!LOOKUP_SARS_2009_Change_Breakdown,O$3,FALSE)+0</f>
        <v>#NAME?</v>
      </c>
      <c r="P71" s="64" t="e">
        <f>VLOOKUP($A71,[1]!LOOKUP_SARS_2009_Change_Breakdown,P$3,FALSE)+0</f>
        <v>#NAME?</v>
      </c>
      <c r="Q71" s="64" t="e">
        <f>VLOOKUP($A71,[1]!LOOKUP_SARS_2009_Change_Breakdown,Q$3,FALSE)+0</f>
        <v>#NAME?</v>
      </c>
      <c r="R71" s="26" t="e">
        <f>VLOOKUP($A71,[1]!LOOKUP_SARS_2009,R$3,FALSE)</f>
        <v>#NAME?</v>
      </c>
      <c r="S71" s="1" t="e">
        <f t="shared" si="80"/>
        <v>#NAME?</v>
      </c>
      <c r="CK71" s="37"/>
      <c r="CL71" s="37"/>
      <c r="CM71" s="37"/>
      <c r="CN71" s="37"/>
      <c r="CO71" s="37"/>
      <c r="CP71" s="37"/>
      <c r="CQ71" s="37"/>
      <c r="CR71" s="37"/>
      <c r="CS71" s="63"/>
      <c r="CT71" s="62"/>
      <c r="CU71" s="19"/>
    </row>
    <row r="72" spans="1:99" s="1" customFormat="1" x14ac:dyDescent="0.25">
      <c r="A72" s="92" t="s">
        <v>220</v>
      </c>
      <c r="B72" s="66" t="str">
        <f>IFERROR(VLOOKUP($A72,[1]!LOOKUP_MDAPs,B$3,FALSE)/$I72,"")</f>
        <v/>
      </c>
      <c r="C72" s="66" t="str">
        <f>IFERROR(VLOOKUP($A72,[1]!LOOKUP_MDAPs,C$3,FALSE)/$I72,"")</f>
        <v/>
      </c>
      <c r="D72" s="66" t="str">
        <f>IFERROR(VLOOKUP($A72,[1]!LOOKUP_MDAPs,D$3,FALSE)/$I72,"")</f>
        <v/>
      </c>
      <c r="E72" s="66" t="str">
        <f>IFERROR(VLOOKUP($A72,[1]!LOOKUP_MDAPs,E$3,FALSE)/$I72,"")</f>
        <v/>
      </c>
      <c r="F72" s="66" t="str">
        <f>IFERROR(VLOOKUP($A72,[1]!LOOKUP_MDAPs,F$3,FALSE)/$I72,"")</f>
        <v/>
      </c>
      <c r="G72" s="66" t="str">
        <f>IFERROR(VLOOKUP($A72,[1]!LOOKUP_MDAPs,G$3,FALSE)/$I72,"")</f>
        <v/>
      </c>
      <c r="H72" s="66">
        <f t="shared" si="28"/>
        <v>1</v>
      </c>
      <c r="I72" s="65">
        <f>IFERROR(VLOOKUP($A72,[1]!LOOKUP_MDAPs,I$3,FALSE),"")</f>
        <v>0</v>
      </c>
      <c r="J72" s="64" t="e">
        <f>VLOOKUP($A72,[1]!LOOKUP_SARS_2009_Change_Breakdown,J$3,FALSE)+0</f>
        <v>#NAME?</v>
      </c>
      <c r="K72" s="64" t="e">
        <f>VLOOKUP($A72,[1]!LOOKUP_SARS_2009_Change_Breakdown,K$3,FALSE)+0</f>
        <v>#NAME?</v>
      </c>
      <c r="L72" s="64" t="e">
        <f>VLOOKUP($A72,[1]!LOOKUP_SARS_2009_Change_Breakdown,L$3,FALSE)+0</f>
        <v>#NAME?</v>
      </c>
      <c r="M72" s="64" t="e">
        <f>VLOOKUP($A72,[1]!LOOKUP_SARS_2009_Change_Breakdown,M$3,FALSE)+0</f>
        <v>#NAME?</v>
      </c>
      <c r="N72" s="64" t="e">
        <f>VLOOKUP($A72,[1]!LOOKUP_SARS_2009_Change_Breakdown,N$3,FALSE)+0</f>
        <v>#NAME?</v>
      </c>
      <c r="O72" s="64" t="e">
        <f>VLOOKUP($A72,[1]!LOOKUP_SARS_2009_Change_Breakdown,O$3,FALSE)+0</f>
        <v>#NAME?</v>
      </c>
      <c r="P72" s="64" t="e">
        <f>VLOOKUP($A72,[1]!LOOKUP_SARS_2009_Change_Breakdown,P$3,FALSE)+0</f>
        <v>#NAME?</v>
      </c>
      <c r="Q72" s="64" t="e">
        <f>VLOOKUP($A72,[1]!LOOKUP_SARS_2009_Change_Breakdown,Q$3,FALSE)+0</f>
        <v>#NAME?</v>
      </c>
      <c r="R72" s="26" t="e">
        <f>VLOOKUP($A72,[1]!LOOKUP_SARS_2009,R$3,FALSE)</f>
        <v>#NAME?</v>
      </c>
      <c r="S72" s="1" t="e">
        <f t="shared" si="80"/>
        <v>#NAME?</v>
      </c>
      <c r="CK72" s="37"/>
      <c r="CL72" s="37"/>
      <c r="CM72" s="37"/>
      <c r="CN72" s="37"/>
      <c r="CO72" s="37"/>
      <c r="CP72" s="37"/>
      <c r="CQ72" s="37"/>
      <c r="CR72" s="37"/>
      <c r="CS72" s="63"/>
      <c r="CT72" s="62"/>
      <c r="CU72" s="19"/>
    </row>
    <row r="73" spans="1:99" s="1" customFormat="1" x14ac:dyDescent="0.25">
      <c r="A73" s="92" t="s">
        <v>33</v>
      </c>
      <c r="B73" s="66">
        <f>IFERROR(VLOOKUP($A73,[1]!LOOKUP_MDAPs,B$3,FALSE)/$I73,"")</f>
        <v>5.0585567758140312E-2</v>
      </c>
      <c r="C73" s="66">
        <f>IFERROR(VLOOKUP($A73,[1]!LOOKUP_MDAPs,C$3,FALSE)/$I73,"")</f>
        <v>3.8577495017383737E-3</v>
      </c>
      <c r="D73" s="66">
        <f>IFERROR(VLOOKUP($A73,[1]!LOOKUP_MDAPs,D$3,FALSE)/$I73,"")</f>
        <v>9.0377779813185663E-2</v>
      </c>
      <c r="E73" s="66">
        <f>IFERROR(VLOOKUP($A73,[1]!LOOKUP_MDAPs,E$3,FALSE)/$I73,"")</f>
        <v>3.2205440892156323E-2</v>
      </c>
      <c r="F73" s="66">
        <f>IFERROR(VLOOKUP($A73,[1]!LOOKUP_MDAPs,F$3,FALSE)/$I73,"")</f>
        <v>0</v>
      </c>
      <c r="G73" s="66">
        <f>IFERROR(VLOOKUP($A73,[1]!LOOKUP_MDAPs,G$3,FALSE)/$I73,"")</f>
        <v>19.837431536675776</v>
      </c>
      <c r="H73" s="66">
        <f t="shared" si="28"/>
        <v>-19.014458074640999</v>
      </c>
      <c r="I73" s="65">
        <f>IFERROR(VLOOKUP($A73,[1]!LOOKUP_MDAPs,I$3,FALSE),"")</f>
        <v>33.825161519999995</v>
      </c>
      <c r="J73" s="64" t="e">
        <f>VLOOKUP($A73,[1]!LOOKUP_SARS_2009_Change_Breakdown,J$3,FALSE)+0</f>
        <v>#NAME?</v>
      </c>
      <c r="K73" s="64" t="e">
        <f>VLOOKUP($A73,[1]!LOOKUP_SARS_2009_Change_Breakdown,K$3,FALSE)+0</f>
        <v>#NAME?</v>
      </c>
      <c r="L73" s="64" t="e">
        <f>VLOOKUP($A73,[1]!LOOKUP_SARS_2009_Change_Breakdown,L$3,FALSE)+0</f>
        <v>#NAME?</v>
      </c>
      <c r="M73" s="64" t="e">
        <f>VLOOKUP($A73,[1]!LOOKUP_SARS_2009_Change_Breakdown,M$3,FALSE)+0</f>
        <v>#NAME?</v>
      </c>
      <c r="N73" s="64" t="e">
        <f>VLOOKUP($A73,[1]!LOOKUP_SARS_2009_Change_Breakdown,N$3,FALSE)+0</f>
        <v>#NAME?</v>
      </c>
      <c r="O73" s="64" t="e">
        <f>VLOOKUP($A73,[1]!LOOKUP_SARS_2009_Change_Breakdown,O$3,FALSE)+0</f>
        <v>#NAME?</v>
      </c>
      <c r="P73" s="64" t="e">
        <f>VLOOKUP($A73,[1]!LOOKUP_SARS_2009_Change_Breakdown,P$3,FALSE)+0</f>
        <v>#NAME?</v>
      </c>
      <c r="Q73" s="64" t="e">
        <f>VLOOKUP($A73,[1]!LOOKUP_SARS_2009_Change_Breakdown,Q$3,FALSE)+0</f>
        <v>#NAME?</v>
      </c>
      <c r="R73" s="26" t="e">
        <f>VLOOKUP($A73,[1]!LOOKUP_SARS_2009,R$3,FALSE)</f>
        <v>#NAME?</v>
      </c>
      <c r="S73" s="1" t="e">
        <f t="shared" si="80"/>
        <v>#NAME?</v>
      </c>
      <c r="CK73" s="37"/>
      <c r="CL73" s="37"/>
      <c r="CM73" s="37"/>
      <c r="CN73" s="37"/>
      <c r="CO73" s="37"/>
      <c r="CP73" s="37"/>
      <c r="CQ73" s="37"/>
      <c r="CR73" s="37"/>
      <c r="CS73" s="63"/>
      <c r="CT73" s="62"/>
      <c r="CU73" s="19"/>
    </row>
    <row r="74" spans="1:99" s="1" customFormat="1" x14ac:dyDescent="0.25">
      <c r="A74" s="92" t="s">
        <v>68</v>
      </c>
      <c r="B74" s="66">
        <f>IFERROR(VLOOKUP($A74,[1]!LOOKUP_MDAPs,B$3,FALSE)/$I74,"")</f>
        <v>1.2142950610305827</v>
      </c>
      <c r="C74" s="66">
        <f>IFERROR(VLOOKUP($A74,[1]!LOOKUP_MDAPs,C$3,FALSE)/$I74,"")</f>
        <v>3.5898109337217308E-4</v>
      </c>
      <c r="D74" s="66">
        <f>IFERROR(VLOOKUP($A74,[1]!LOOKUP_MDAPs,D$3,FALSE)/$I74,"")</f>
        <v>9.3395924163862075E-3</v>
      </c>
      <c r="E74" s="66">
        <f>IFERROR(VLOOKUP($A74,[1]!LOOKUP_MDAPs,E$3,FALSE)/$I74,"")</f>
        <v>1.7339320354299723E-2</v>
      </c>
      <c r="F74" s="66">
        <f>IFERROR(VLOOKUP($A74,[1]!LOOKUP_MDAPs,F$3,FALSE)/$I74,"")</f>
        <v>3.115950067684343E-4</v>
      </c>
      <c r="G74" s="66">
        <f>IFERROR(VLOOKUP($A74,[1]!LOOKUP_MDAPs,G$3,FALSE)/$I74,"")</f>
        <v>2.0631726309127072</v>
      </c>
      <c r="H74" s="66">
        <f t="shared" si="28"/>
        <v>-2.3048171808141165</v>
      </c>
      <c r="I74" s="65">
        <f>IFERROR(VLOOKUP($A74,[1]!LOOKUP_MDAPs,I$3,FALSE),"")</f>
        <v>315.99992894999997</v>
      </c>
      <c r="J74" s="64" t="e">
        <f>VLOOKUP($A74,[1]!LOOKUP_SARS_2009_Change_Breakdown,J$3,FALSE)+0</f>
        <v>#NAME?</v>
      </c>
      <c r="K74" s="64" t="e">
        <f>VLOOKUP($A74,[1]!LOOKUP_SARS_2009_Change_Breakdown,K$3,FALSE)+0</f>
        <v>#NAME?</v>
      </c>
      <c r="L74" s="64" t="e">
        <f>VLOOKUP($A74,[1]!LOOKUP_SARS_2009_Change_Breakdown,L$3,FALSE)+0</f>
        <v>#NAME?</v>
      </c>
      <c r="M74" s="64" t="e">
        <f>VLOOKUP($A74,[1]!LOOKUP_SARS_2009_Change_Breakdown,M$3,FALSE)+0</f>
        <v>#NAME?</v>
      </c>
      <c r="N74" s="64" t="e">
        <f>VLOOKUP($A74,[1]!LOOKUP_SARS_2009_Change_Breakdown,N$3,FALSE)+0</f>
        <v>#NAME?</v>
      </c>
      <c r="O74" s="64" t="e">
        <f>VLOOKUP($A74,[1]!LOOKUP_SARS_2009_Change_Breakdown,O$3,FALSE)+0</f>
        <v>#NAME?</v>
      </c>
      <c r="P74" s="64" t="e">
        <f>VLOOKUP($A74,[1]!LOOKUP_SARS_2009_Change_Breakdown,P$3,FALSE)+0</f>
        <v>#NAME?</v>
      </c>
      <c r="Q74" s="64" t="e">
        <f>VLOOKUP($A74,[1]!LOOKUP_SARS_2009_Change_Breakdown,Q$3,FALSE)+0</f>
        <v>#NAME?</v>
      </c>
      <c r="R74" s="26" t="e">
        <f>VLOOKUP($A74,[1]!LOOKUP_SARS_2009,R$3,FALSE)</f>
        <v>#NAME?</v>
      </c>
      <c r="S74" s="1" t="e">
        <f t="shared" si="80"/>
        <v>#NAME?</v>
      </c>
      <c r="CK74" s="37"/>
      <c r="CL74" s="37"/>
      <c r="CM74" s="37"/>
      <c r="CN74" s="37"/>
      <c r="CO74" s="37"/>
      <c r="CP74" s="37"/>
      <c r="CQ74" s="37"/>
      <c r="CR74" s="37"/>
      <c r="CS74" s="63"/>
      <c r="CT74" s="62"/>
      <c r="CU74" s="19"/>
    </row>
    <row r="75" spans="1:99" s="1" customFormat="1" x14ac:dyDescent="0.25">
      <c r="A75" s="92" t="s">
        <v>76</v>
      </c>
      <c r="B75" s="66" t="str">
        <f>IFERROR(VLOOKUP($A75,[1]!LOOKUP_MDAPs,B$3,FALSE)/$I75,"")</f>
        <v/>
      </c>
      <c r="C75" s="66" t="str">
        <f>IFERROR(VLOOKUP($A75,[1]!LOOKUP_MDAPs,C$3,FALSE)/$I75,"")</f>
        <v/>
      </c>
      <c r="D75" s="66" t="str">
        <f>IFERROR(VLOOKUP($A75,[1]!LOOKUP_MDAPs,D$3,FALSE)/$I75,"")</f>
        <v/>
      </c>
      <c r="E75" s="66" t="str">
        <f>IFERROR(VLOOKUP($A75,[1]!LOOKUP_MDAPs,E$3,FALSE)/$I75,"")</f>
        <v/>
      </c>
      <c r="F75" s="66" t="str">
        <f>IFERROR(VLOOKUP($A75,[1]!LOOKUP_MDAPs,F$3,FALSE)/$I75,"")</f>
        <v/>
      </c>
      <c r="G75" s="66" t="str">
        <f>IFERROR(VLOOKUP($A75,[1]!LOOKUP_MDAPs,G$3,FALSE)/$I75,"")</f>
        <v/>
      </c>
      <c r="H75" s="66">
        <f t="shared" si="28"/>
        <v>1</v>
      </c>
      <c r="I75" s="65">
        <f>IFERROR(VLOOKUP($A75,[1]!LOOKUP_MDAPs,I$3,FALSE),"")</f>
        <v>0</v>
      </c>
      <c r="J75" s="64" t="e">
        <f>VLOOKUP($A75,[1]!LOOKUP_SARS_2009_Change_Breakdown,J$3,FALSE)+0</f>
        <v>#NAME?</v>
      </c>
      <c r="K75" s="64" t="e">
        <f>VLOOKUP($A75,[1]!LOOKUP_SARS_2009_Change_Breakdown,K$3,FALSE)+0</f>
        <v>#NAME?</v>
      </c>
      <c r="L75" s="64" t="e">
        <f>VLOOKUP($A75,[1]!LOOKUP_SARS_2009_Change_Breakdown,L$3,FALSE)+0</f>
        <v>#NAME?</v>
      </c>
      <c r="M75" s="64" t="e">
        <f>VLOOKUP($A75,[1]!LOOKUP_SARS_2009_Change_Breakdown,M$3,FALSE)+0</f>
        <v>#NAME?</v>
      </c>
      <c r="N75" s="64" t="e">
        <f>VLOOKUP($A75,[1]!LOOKUP_SARS_2009_Change_Breakdown,N$3,FALSE)+0</f>
        <v>#NAME?</v>
      </c>
      <c r="O75" s="64" t="e">
        <f>VLOOKUP($A75,[1]!LOOKUP_SARS_2009_Change_Breakdown,O$3,FALSE)+0</f>
        <v>#NAME?</v>
      </c>
      <c r="P75" s="64" t="e">
        <f>VLOOKUP($A75,[1]!LOOKUP_SARS_2009_Change_Breakdown,P$3,FALSE)+0</f>
        <v>#NAME?</v>
      </c>
      <c r="Q75" s="64" t="e">
        <f>VLOOKUP($A75,[1]!LOOKUP_SARS_2009_Change_Breakdown,Q$3,FALSE)+0</f>
        <v>#NAME?</v>
      </c>
      <c r="R75" s="26" t="e">
        <f>VLOOKUP($A75,[1]!LOOKUP_SARS_2009,R$3,FALSE)</f>
        <v>#NAME?</v>
      </c>
      <c r="S75" s="1" t="e">
        <f t="shared" si="80"/>
        <v>#NAME?</v>
      </c>
      <c r="CK75" s="37"/>
      <c r="CL75" s="37"/>
      <c r="CM75" s="37"/>
      <c r="CN75" s="37"/>
      <c r="CO75" s="37"/>
      <c r="CP75" s="37"/>
      <c r="CQ75" s="37"/>
      <c r="CR75" s="37"/>
      <c r="CS75" s="63"/>
      <c r="CT75" s="62"/>
      <c r="CU75" s="19"/>
    </row>
    <row r="76" spans="1:99" s="1" customFormat="1" x14ac:dyDescent="0.25">
      <c r="A76" s="92" t="s">
        <v>70</v>
      </c>
      <c r="B76" s="66">
        <f>IFERROR(VLOOKUP($A76,[1]!LOOKUP_MDAPs,B$3,FALSE)/$I76,"")</f>
        <v>4.6119244273015711</v>
      </c>
      <c r="C76" s="66">
        <f>IFERROR(VLOOKUP($A76,[1]!LOOKUP_MDAPs,C$3,FALSE)/$I76,"")</f>
        <v>2.0923701433438722</v>
      </c>
      <c r="D76" s="66">
        <f>IFERROR(VLOOKUP($A76,[1]!LOOKUP_MDAPs,D$3,FALSE)/$I76,"")</f>
        <v>2.7464751356929728E-2</v>
      </c>
      <c r="E76" s="66">
        <f>IFERROR(VLOOKUP($A76,[1]!LOOKUP_MDAPs,E$3,FALSE)/$I76,"")</f>
        <v>9.0526366856052365E-2</v>
      </c>
      <c r="F76" s="66">
        <f>IFERROR(VLOOKUP($A76,[1]!LOOKUP_MDAPs,F$3,FALSE)/$I76,"")</f>
        <v>0</v>
      </c>
      <c r="G76" s="66">
        <f>IFERROR(VLOOKUP($A76,[1]!LOOKUP_MDAPs,G$3,FALSE)/$I76,"")</f>
        <v>0.21881847513159103</v>
      </c>
      <c r="H76" s="66">
        <f t="shared" ref="H76:H115" si="83">1-SUM(B76:G76)</f>
        <v>-6.041104163990016</v>
      </c>
      <c r="I76" s="65">
        <f>IFERROR(VLOOKUP($A76,[1]!LOOKUP_MDAPs,I$3,FALSE),"")</f>
        <v>88.718855610000006</v>
      </c>
      <c r="J76" s="64" t="e">
        <f>VLOOKUP($A76,[1]!LOOKUP_SARS_2009_Change_Breakdown,J$3,FALSE)+0</f>
        <v>#NAME?</v>
      </c>
      <c r="K76" s="64" t="e">
        <f>VLOOKUP($A76,[1]!LOOKUP_SARS_2009_Change_Breakdown,K$3,FALSE)+0</f>
        <v>#NAME?</v>
      </c>
      <c r="L76" s="64" t="e">
        <f>VLOOKUP($A76,[1]!LOOKUP_SARS_2009_Change_Breakdown,L$3,FALSE)+0</f>
        <v>#NAME?</v>
      </c>
      <c r="M76" s="64" t="e">
        <f>VLOOKUP($A76,[1]!LOOKUP_SARS_2009_Change_Breakdown,M$3,FALSE)+0</f>
        <v>#NAME?</v>
      </c>
      <c r="N76" s="64" t="e">
        <f>VLOOKUP($A76,[1]!LOOKUP_SARS_2009_Change_Breakdown,N$3,FALSE)+0</f>
        <v>#NAME?</v>
      </c>
      <c r="O76" s="64" t="e">
        <f>VLOOKUP($A76,[1]!LOOKUP_SARS_2009_Change_Breakdown,O$3,FALSE)+0</f>
        <v>#NAME?</v>
      </c>
      <c r="P76" s="64" t="e">
        <f>VLOOKUP($A76,[1]!LOOKUP_SARS_2009_Change_Breakdown,P$3,FALSE)+0</f>
        <v>#NAME?</v>
      </c>
      <c r="Q76" s="64" t="e">
        <f>VLOOKUP($A76,[1]!LOOKUP_SARS_2009_Change_Breakdown,Q$3,FALSE)+0</f>
        <v>#NAME?</v>
      </c>
      <c r="R76" s="26" t="e">
        <f>VLOOKUP($A76,[1]!LOOKUP_SARS_2009,R$3,FALSE)</f>
        <v>#NAME?</v>
      </c>
      <c r="S76" s="1" t="e">
        <f t="shared" ref="S76:S96" si="84">1/R76</f>
        <v>#NAME?</v>
      </c>
      <c r="CK76" s="37"/>
      <c r="CL76" s="37"/>
      <c r="CM76" s="37"/>
      <c r="CN76" s="37"/>
      <c r="CO76" s="37"/>
      <c r="CP76" s="37"/>
      <c r="CQ76" s="37"/>
      <c r="CR76" s="37"/>
      <c r="CS76" s="63"/>
      <c r="CT76" s="62"/>
      <c r="CU76" s="19"/>
    </row>
    <row r="77" spans="1:99" s="1" customFormat="1" x14ac:dyDescent="0.25">
      <c r="A77" s="92" t="s">
        <v>45</v>
      </c>
      <c r="B77" s="66">
        <f>IFERROR(VLOOKUP($A77,[1]!LOOKUP_MDAPs,B$3,FALSE)/$I77,"")</f>
        <v>1.0803012418287119</v>
      </c>
      <c r="C77" s="66">
        <f>IFERROR(VLOOKUP($A77,[1]!LOOKUP_MDAPs,C$3,FALSE)/$I77,"")</f>
        <v>0</v>
      </c>
      <c r="D77" s="66">
        <f>IFERROR(VLOOKUP($A77,[1]!LOOKUP_MDAPs,D$3,FALSE)/$I77,"")</f>
        <v>0</v>
      </c>
      <c r="E77" s="66">
        <f>IFERROR(VLOOKUP($A77,[1]!LOOKUP_MDAPs,E$3,FALSE)/$I77,"")</f>
        <v>0</v>
      </c>
      <c r="F77" s="66">
        <f>IFERROR(VLOOKUP($A77,[1]!LOOKUP_MDAPs,F$3,FALSE)/$I77,"")</f>
        <v>0</v>
      </c>
      <c r="G77" s="66">
        <f>IFERROR(VLOOKUP($A77,[1]!LOOKUP_MDAPs,G$3,FALSE)/$I77,"")</f>
        <v>0</v>
      </c>
      <c r="H77" s="66">
        <f t="shared" si="83"/>
        <v>-8.03012418287119E-2</v>
      </c>
      <c r="I77" s="65">
        <f>IFERROR(VLOOKUP($A77,[1]!LOOKUP_MDAPs,I$3,FALSE),"")</f>
        <v>0.144867</v>
      </c>
      <c r="J77" s="64" t="e">
        <f>VLOOKUP($A77,[1]!LOOKUP_SARS_2009_Change_Breakdown,J$3,FALSE)+0</f>
        <v>#NAME?</v>
      </c>
      <c r="K77" s="64" t="e">
        <f>VLOOKUP($A77,[1]!LOOKUP_SARS_2009_Change_Breakdown,K$3,FALSE)+0</f>
        <v>#NAME?</v>
      </c>
      <c r="L77" s="64" t="e">
        <f>VLOOKUP($A77,[1]!LOOKUP_SARS_2009_Change_Breakdown,L$3,FALSE)+0</f>
        <v>#NAME?</v>
      </c>
      <c r="M77" s="64" t="e">
        <f>VLOOKUP($A77,[1]!LOOKUP_SARS_2009_Change_Breakdown,M$3,FALSE)+0</f>
        <v>#NAME?</v>
      </c>
      <c r="N77" s="64" t="e">
        <f>VLOOKUP($A77,[1]!LOOKUP_SARS_2009_Change_Breakdown,N$3,FALSE)+0</f>
        <v>#NAME?</v>
      </c>
      <c r="O77" s="64" t="e">
        <f>VLOOKUP($A77,[1]!LOOKUP_SARS_2009_Change_Breakdown,O$3,FALSE)+0</f>
        <v>#NAME?</v>
      </c>
      <c r="P77" s="64" t="e">
        <f>VLOOKUP($A77,[1]!LOOKUP_SARS_2009_Change_Breakdown,P$3,FALSE)+0</f>
        <v>#NAME?</v>
      </c>
      <c r="Q77" s="64" t="e">
        <f>VLOOKUP($A77,[1]!LOOKUP_SARS_2009_Change_Breakdown,Q$3,FALSE)+0</f>
        <v>#NAME?</v>
      </c>
      <c r="R77" s="26" t="e">
        <f>VLOOKUP($A77,[1]!LOOKUP_SARS_2009,R$3,FALSE)</f>
        <v>#NAME?</v>
      </c>
      <c r="S77" s="1" t="e">
        <f t="shared" si="84"/>
        <v>#NAME?</v>
      </c>
      <c r="CK77" s="37"/>
      <c r="CL77" s="37"/>
      <c r="CM77" s="37"/>
      <c r="CN77" s="37"/>
      <c r="CO77" s="37"/>
      <c r="CP77" s="37"/>
      <c r="CQ77" s="37"/>
      <c r="CR77" s="37"/>
      <c r="CS77" s="63"/>
      <c r="CT77" s="62"/>
      <c r="CU77" s="19"/>
    </row>
    <row r="78" spans="1:99" s="1" customFormat="1" x14ac:dyDescent="0.25">
      <c r="A78" s="92" t="s">
        <v>221</v>
      </c>
      <c r="B78" s="66" t="str">
        <f>IFERROR(VLOOKUP($A78,[1]!LOOKUP_MDAPs,B$3,FALSE)/$I78,"")</f>
        <v/>
      </c>
      <c r="C78" s="66" t="str">
        <f>IFERROR(VLOOKUP($A78,[1]!LOOKUP_MDAPs,C$3,FALSE)/$I78,"")</f>
        <v/>
      </c>
      <c r="D78" s="66" t="str">
        <f>IFERROR(VLOOKUP($A78,[1]!LOOKUP_MDAPs,D$3,FALSE)/$I78,"")</f>
        <v/>
      </c>
      <c r="E78" s="66" t="str">
        <f>IFERROR(VLOOKUP($A78,[1]!LOOKUP_MDAPs,E$3,FALSE)/$I78,"")</f>
        <v/>
      </c>
      <c r="F78" s="66" t="str">
        <f>IFERROR(VLOOKUP($A78,[1]!LOOKUP_MDAPs,F$3,FALSE)/$I78,"")</f>
        <v/>
      </c>
      <c r="G78" s="66" t="str">
        <f>IFERROR(VLOOKUP($A78,[1]!LOOKUP_MDAPs,G$3,FALSE)/$I78,"")</f>
        <v/>
      </c>
      <c r="H78" s="66">
        <f t="shared" si="83"/>
        <v>1</v>
      </c>
      <c r="I78" s="65">
        <f>IFERROR(VLOOKUP($A78,[1]!LOOKUP_MDAPs,I$3,FALSE),"")</f>
        <v>0</v>
      </c>
      <c r="J78" s="64" t="e">
        <f>VLOOKUP($A78,[1]!LOOKUP_SARS_2009_Change_Breakdown,J$3,FALSE)+0</f>
        <v>#NAME?</v>
      </c>
      <c r="K78" s="64" t="e">
        <f>VLOOKUP($A78,[1]!LOOKUP_SARS_2009_Change_Breakdown,K$3,FALSE)+0</f>
        <v>#NAME?</v>
      </c>
      <c r="L78" s="64" t="e">
        <f>VLOOKUP($A78,[1]!LOOKUP_SARS_2009_Change_Breakdown,L$3,FALSE)+0</f>
        <v>#NAME?</v>
      </c>
      <c r="M78" s="64" t="e">
        <f>VLOOKUP($A78,[1]!LOOKUP_SARS_2009_Change_Breakdown,M$3,FALSE)+0</f>
        <v>#NAME?</v>
      </c>
      <c r="N78" s="64" t="e">
        <f>VLOOKUP($A78,[1]!LOOKUP_SARS_2009_Change_Breakdown,N$3,FALSE)+0</f>
        <v>#NAME?</v>
      </c>
      <c r="O78" s="64" t="e">
        <f>VLOOKUP($A78,[1]!LOOKUP_SARS_2009_Change_Breakdown,O$3,FALSE)+0</f>
        <v>#NAME?</v>
      </c>
      <c r="P78" s="64" t="e">
        <f>VLOOKUP($A78,[1]!LOOKUP_SARS_2009_Change_Breakdown,P$3,FALSE)+0</f>
        <v>#NAME?</v>
      </c>
      <c r="Q78" s="64" t="e">
        <f>VLOOKUP($A78,[1]!LOOKUP_SARS_2009_Change_Breakdown,Q$3,FALSE)+0</f>
        <v>#NAME?</v>
      </c>
      <c r="R78" s="26" t="e">
        <f>VLOOKUP($A78,[1]!LOOKUP_SARS_2009,R$3,FALSE)</f>
        <v>#NAME?</v>
      </c>
      <c r="S78" s="1" t="e">
        <f t="shared" si="84"/>
        <v>#NAME?</v>
      </c>
      <c r="CK78" s="37"/>
      <c r="CL78" s="37"/>
      <c r="CM78" s="37"/>
      <c r="CN78" s="37"/>
      <c r="CO78" s="37"/>
      <c r="CP78" s="37"/>
      <c r="CQ78" s="37"/>
      <c r="CR78" s="37"/>
      <c r="CS78" s="63"/>
      <c r="CT78" s="62"/>
      <c r="CU78" s="19"/>
    </row>
    <row r="79" spans="1:99" s="1" customFormat="1" x14ac:dyDescent="0.25">
      <c r="A79" s="92" t="s">
        <v>62</v>
      </c>
      <c r="B79" s="66" t="str">
        <f>IFERROR(VLOOKUP($A79,[1]!LOOKUP_MDAPs,B$3,FALSE)/$I79,"")</f>
        <v/>
      </c>
      <c r="C79" s="66" t="str">
        <f>IFERROR(VLOOKUP($A79,[1]!LOOKUP_MDAPs,C$3,FALSE)/$I79,"")</f>
        <v/>
      </c>
      <c r="D79" s="66" t="str">
        <f>IFERROR(VLOOKUP($A79,[1]!LOOKUP_MDAPs,D$3,FALSE)/$I79,"")</f>
        <v/>
      </c>
      <c r="E79" s="66" t="str">
        <f>IFERROR(VLOOKUP($A79,[1]!LOOKUP_MDAPs,E$3,FALSE)/$I79,"")</f>
        <v/>
      </c>
      <c r="F79" s="66" t="str">
        <f>IFERROR(VLOOKUP($A79,[1]!LOOKUP_MDAPs,F$3,FALSE)/$I79,"")</f>
        <v/>
      </c>
      <c r="G79" s="66" t="str">
        <f>IFERROR(VLOOKUP($A79,[1]!LOOKUP_MDAPs,G$3,FALSE)/$I79,"")</f>
        <v/>
      </c>
      <c r="H79" s="66">
        <f t="shared" si="83"/>
        <v>1</v>
      </c>
      <c r="I79" s="65">
        <f>IFERROR(VLOOKUP($A79,[1]!LOOKUP_MDAPs,I$3,FALSE),"")</f>
        <v>0</v>
      </c>
      <c r="J79" s="64" t="e">
        <f>VLOOKUP($A79,[1]!LOOKUP_SARS_2009_Change_Breakdown,J$3,FALSE)+0</f>
        <v>#NAME?</v>
      </c>
      <c r="K79" s="64" t="e">
        <f>VLOOKUP($A79,[1]!LOOKUP_SARS_2009_Change_Breakdown,K$3,FALSE)+0</f>
        <v>#NAME?</v>
      </c>
      <c r="L79" s="64" t="e">
        <f>VLOOKUP($A79,[1]!LOOKUP_SARS_2009_Change_Breakdown,L$3,FALSE)+0</f>
        <v>#NAME?</v>
      </c>
      <c r="M79" s="64" t="e">
        <f>VLOOKUP($A79,[1]!LOOKUP_SARS_2009_Change_Breakdown,M$3,FALSE)+0</f>
        <v>#NAME?</v>
      </c>
      <c r="N79" s="64" t="e">
        <f>VLOOKUP($A79,[1]!LOOKUP_SARS_2009_Change_Breakdown,N$3,FALSE)+0</f>
        <v>#NAME?</v>
      </c>
      <c r="O79" s="64" t="e">
        <f>VLOOKUP($A79,[1]!LOOKUP_SARS_2009_Change_Breakdown,O$3,FALSE)+0</f>
        <v>#NAME?</v>
      </c>
      <c r="P79" s="64" t="e">
        <f>VLOOKUP($A79,[1]!LOOKUP_SARS_2009_Change_Breakdown,P$3,FALSE)+0</f>
        <v>#NAME?</v>
      </c>
      <c r="Q79" s="64" t="e">
        <f>VLOOKUP($A79,[1]!LOOKUP_SARS_2009_Change_Breakdown,Q$3,FALSE)+0</f>
        <v>#NAME?</v>
      </c>
      <c r="R79" s="26" t="e">
        <f>VLOOKUP($A79,[1]!LOOKUP_SARS_2009,R$3,FALSE)</f>
        <v>#NAME?</v>
      </c>
      <c r="S79" s="1" t="e">
        <f t="shared" si="84"/>
        <v>#NAME?</v>
      </c>
      <c r="CK79" s="37"/>
      <c r="CL79" s="37"/>
      <c r="CM79" s="37"/>
      <c r="CN79" s="37"/>
      <c r="CO79" s="37"/>
      <c r="CP79" s="37"/>
      <c r="CQ79" s="37"/>
      <c r="CR79" s="37"/>
      <c r="CS79" s="63"/>
      <c r="CT79" s="62"/>
      <c r="CU79" s="19"/>
    </row>
    <row r="80" spans="1:99" s="1" customFormat="1" x14ac:dyDescent="0.25">
      <c r="A80" s="92" t="s">
        <v>245</v>
      </c>
      <c r="B80" s="66">
        <f>IFERROR(VLOOKUP($A80,[1]!LOOKUP_MDAPs,B$3,FALSE)/$I80,"")</f>
        <v>0.11516547948896132</v>
      </c>
      <c r="C80" s="66">
        <f>IFERROR(VLOOKUP($A80,[1]!LOOKUP_MDAPs,C$3,FALSE)/$I80,"")</f>
        <v>1.7063115403519145E-2</v>
      </c>
      <c r="D80" s="66">
        <f>IFERROR(VLOOKUP($A80,[1]!LOOKUP_MDAPs,D$3,FALSE)/$I80,"")</f>
        <v>4.9116507698554149E-2</v>
      </c>
      <c r="E80" s="66">
        <f>IFERROR(VLOOKUP($A80,[1]!LOOKUP_MDAPs,E$3,FALSE)/$I80,"")</f>
        <v>0</v>
      </c>
      <c r="F80" s="66">
        <f>IFERROR(VLOOKUP($A80,[1]!LOOKUP_MDAPs,F$3,FALSE)/$I80,"")</f>
        <v>0</v>
      </c>
      <c r="G80" s="66">
        <f>IFERROR(VLOOKUP($A80,[1]!LOOKUP_MDAPs,G$3,FALSE)/$I80,"")</f>
        <v>2.476720668307157</v>
      </c>
      <c r="H80" s="66">
        <f t="shared" si="83"/>
        <v>-1.6580657708981916</v>
      </c>
      <c r="I80" s="65">
        <f>IFERROR(VLOOKUP($A80,[1]!LOOKUP_MDAPs,I$3,FALSE),"")</f>
        <v>7.393726</v>
      </c>
      <c r="J80" s="64" t="e">
        <f>VLOOKUP($A80,[1]!LOOKUP_SARS_2009_Change_Breakdown,J$3,FALSE)+0</f>
        <v>#NAME?</v>
      </c>
      <c r="K80" s="64" t="e">
        <f>VLOOKUP($A80,[1]!LOOKUP_SARS_2009_Change_Breakdown,K$3,FALSE)+0</f>
        <v>#NAME?</v>
      </c>
      <c r="L80" s="64" t="e">
        <f>VLOOKUP($A80,[1]!LOOKUP_SARS_2009_Change_Breakdown,L$3,FALSE)+0</f>
        <v>#NAME?</v>
      </c>
      <c r="M80" s="64" t="e">
        <f>VLOOKUP($A80,[1]!LOOKUP_SARS_2009_Change_Breakdown,M$3,FALSE)+0</f>
        <v>#NAME?</v>
      </c>
      <c r="N80" s="64" t="e">
        <f>VLOOKUP($A80,[1]!LOOKUP_SARS_2009_Change_Breakdown,N$3,FALSE)+0</f>
        <v>#NAME?</v>
      </c>
      <c r="O80" s="64" t="e">
        <f>VLOOKUP($A80,[1]!LOOKUP_SARS_2009_Change_Breakdown,O$3,FALSE)+0</f>
        <v>#NAME?</v>
      </c>
      <c r="P80" s="64" t="e">
        <f>VLOOKUP($A80,[1]!LOOKUP_SARS_2009_Change_Breakdown,P$3,FALSE)+0</f>
        <v>#NAME?</v>
      </c>
      <c r="Q80" s="64" t="e">
        <f>VLOOKUP($A80,[1]!LOOKUP_SARS_2009_Change_Breakdown,Q$3,FALSE)+0</f>
        <v>#NAME?</v>
      </c>
      <c r="R80" s="26" t="e">
        <f>VLOOKUP($A80,[1]!LOOKUP_SARS_2009,R$3,FALSE)</f>
        <v>#NAME?</v>
      </c>
      <c r="S80" s="1" t="e">
        <f t="shared" si="84"/>
        <v>#NAME?</v>
      </c>
      <c r="CK80" s="37"/>
      <c r="CL80" s="37"/>
      <c r="CM80" s="37"/>
      <c r="CN80" s="37"/>
      <c r="CO80" s="37"/>
      <c r="CP80" s="37"/>
      <c r="CQ80" s="37"/>
      <c r="CR80" s="37"/>
      <c r="CS80" s="63"/>
      <c r="CT80" s="62"/>
      <c r="CU80" s="19"/>
    </row>
    <row r="81" spans="1:99" s="1" customFormat="1" x14ac:dyDescent="0.25">
      <c r="A81" s="92" t="s">
        <v>37</v>
      </c>
      <c r="B81" s="66">
        <f>IFERROR(VLOOKUP($A81,[1]!LOOKUP_MDAPs,B$3,FALSE)/$I81,"")</f>
        <v>7.1358789705921737</v>
      </c>
      <c r="C81" s="66">
        <f>IFERROR(VLOOKUP($A81,[1]!LOOKUP_MDAPs,C$3,FALSE)/$I81,"")</f>
        <v>0.65954362805637501</v>
      </c>
      <c r="D81" s="66">
        <f>IFERROR(VLOOKUP($A81,[1]!LOOKUP_MDAPs,D$3,FALSE)/$I81,"")</f>
        <v>1.745946868133689E-3</v>
      </c>
      <c r="E81" s="66">
        <f>IFERROR(VLOOKUP($A81,[1]!LOOKUP_MDAPs,E$3,FALSE)/$I81,"")</f>
        <v>9.2695999009174368E-5</v>
      </c>
      <c r="F81" s="66">
        <f>IFERROR(VLOOKUP($A81,[1]!LOOKUP_MDAPs,F$3,FALSE)/$I81,"")</f>
        <v>0</v>
      </c>
      <c r="G81" s="66">
        <f>IFERROR(VLOOKUP($A81,[1]!LOOKUP_MDAPs,G$3,FALSE)/$I81,"")</f>
        <v>25.598907639544024</v>
      </c>
      <c r="H81" s="66">
        <f t="shared" si="83"/>
        <v>-32.396168881059715</v>
      </c>
      <c r="I81" s="65">
        <f>IFERROR(VLOOKUP($A81,[1]!LOOKUP_MDAPs,I$3,FALSE),"")</f>
        <v>112.25942987000001</v>
      </c>
      <c r="J81" s="64" t="e">
        <f>VLOOKUP($A81,[1]!LOOKUP_SARS_2009_Change_Breakdown,J$3,FALSE)+0</f>
        <v>#NAME?</v>
      </c>
      <c r="K81" s="64" t="e">
        <f>VLOOKUP($A81,[1]!LOOKUP_SARS_2009_Change_Breakdown,K$3,FALSE)+0</f>
        <v>#NAME?</v>
      </c>
      <c r="L81" s="64" t="e">
        <f>VLOOKUP($A81,[1]!LOOKUP_SARS_2009_Change_Breakdown,L$3,FALSE)+0</f>
        <v>#NAME?</v>
      </c>
      <c r="M81" s="64" t="e">
        <f>VLOOKUP($A81,[1]!LOOKUP_SARS_2009_Change_Breakdown,M$3,FALSE)+0</f>
        <v>#NAME?</v>
      </c>
      <c r="N81" s="64" t="e">
        <f>VLOOKUP($A81,[1]!LOOKUP_SARS_2009_Change_Breakdown,N$3,FALSE)+0</f>
        <v>#NAME?</v>
      </c>
      <c r="O81" s="64" t="e">
        <f>VLOOKUP($A81,[1]!LOOKUP_SARS_2009_Change_Breakdown,O$3,FALSE)+0</f>
        <v>#NAME?</v>
      </c>
      <c r="P81" s="64" t="e">
        <f>VLOOKUP($A81,[1]!LOOKUP_SARS_2009_Change_Breakdown,P$3,FALSE)+0</f>
        <v>#NAME?</v>
      </c>
      <c r="Q81" s="64" t="e">
        <f>VLOOKUP($A81,[1]!LOOKUP_SARS_2009_Change_Breakdown,Q$3,FALSE)+0</f>
        <v>#NAME?</v>
      </c>
      <c r="R81" s="26" t="e">
        <f>VLOOKUP($A81,[1]!LOOKUP_SARS_2009,R$3,FALSE)</f>
        <v>#NAME?</v>
      </c>
      <c r="S81" s="1" t="e">
        <f t="shared" si="84"/>
        <v>#NAME?</v>
      </c>
      <c r="CK81" s="37"/>
      <c r="CL81" s="37"/>
      <c r="CM81" s="37"/>
      <c r="CN81" s="37"/>
      <c r="CO81" s="37"/>
      <c r="CP81" s="37"/>
      <c r="CQ81" s="37"/>
      <c r="CR81" s="37"/>
      <c r="CS81" s="63"/>
      <c r="CT81" s="62"/>
      <c r="CU81" s="19"/>
    </row>
    <row r="82" spans="1:99" s="18" customFormat="1" ht="12.75" customHeight="1" x14ac:dyDescent="0.25">
      <c r="A82" s="92" t="s">
        <v>58</v>
      </c>
      <c r="B82" s="66" t="str">
        <f>IFERROR(VLOOKUP($A82,[1]!LOOKUP_MDAPs,B$3,FALSE)/$I82,"")</f>
        <v/>
      </c>
      <c r="C82" s="66" t="str">
        <f>IFERROR(VLOOKUP($A82,[1]!LOOKUP_MDAPs,C$3,FALSE)/$I82,"")</f>
        <v/>
      </c>
      <c r="D82" s="66" t="str">
        <f>IFERROR(VLOOKUP($A82,[1]!LOOKUP_MDAPs,D$3,FALSE)/$I82,"")</f>
        <v/>
      </c>
      <c r="E82" s="66" t="str">
        <f>IFERROR(VLOOKUP($A82,[1]!LOOKUP_MDAPs,E$3,FALSE)/$I82,"")</f>
        <v/>
      </c>
      <c r="F82" s="66" t="str">
        <f>IFERROR(VLOOKUP($A82,[1]!LOOKUP_MDAPs,F$3,FALSE)/$I82,"")</f>
        <v/>
      </c>
      <c r="G82" s="66" t="str">
        <f>IFERROR(VLOOKUP($A82,[1]!LOOKUP_MDAPs,G$3,FALSE)/$I82,"")</f>
        <v/>
      </c>
      <c r="H82" s="66">
        <f t="shared" si="83"/>
        <v>1</v>
      </c>
      <c r="I82" s="65">
        <f>IFERROR(VLOOKUP($A82,[1]!LOOKUP_MDAPs,I$3,FALSE),"")</f>
        <v>0</v>
      </c>
      <c r="J82" s="64" t="e">
        <f>VLOOKUP($A82,[1]!LOOKUP_SARS_2009_Change_Breakdown,J$3,FALSE)+0</f>
        <v>#NAME?</v>
      </c>
      <c r="K82" s="64" t="e">
        <f>VLOOKUP($A82,[1]!LOOKUP_SARS_2009_Change_Breakdown,K$3,FALSE)+0</f>
        <v>#NAME?</v>
      </c>
      <c r="L82" s="64" t="e">
        <f>VLOOKUP($A82,[1]!LOOKUP_SARS_2009_Change_Breakdown,L$3,FALSE)+0</f>
        <v>#NAME?</v>
      </c>
      <c r="M82" s="64" t="e">
        <f>VLOOKUP($A82,[1]!LOOKUP_SARS_2009_Change_Breakdown,M$3,FALSE)+0</f>
        <v>#NAME?</v>
      </c>
      <c r="N82" s="64" t="e">
        <f>VLOOKUP($A82,[1]!LOOKUP_SARS_2009_Change_Breakdown,N$3,FALSE)+0</f>
        <v>#NAME?</v>
      </c>
      <c r="O82" s="64" t="e">
        <f>VLOOKUP($A82,[1]!LOOKUP_SARS_2009_Change_Breakdown,O$3,FALSE)+0</f>
        <v>#NAME?</v>
      </c>
      <c r="P82" s="64" t="e">
        <f>VLOOKUP($A82,[1]!LOOKUP_SARS_2009_Change_Breakdown,P$3,FALSE)+0</f>
        <v>#NAME?</v>
      </c>
      <c r="Q82" s="64" t="e">
        <f>VLOOKUP($A82,[1]!LOOKUP_SARS_2009_Change_Breakdown,Q$3,FALSE)+0</f>
        <v>#NAME?</v>
      </c>
      <c r="R82" s="26" t="e">
        <f>VLOOKUP($A82,[1]!LOOKUP_SARS_2009,R$3,FALSE)</f>
        <v>#NAME?</v>
      </c>
      <c r="S82" s="1" t="e">
        <f t="shared" si="84"/>
        <v>#NAME?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CK82" s="37"/>
      <c r="CL82" s="37"/>
      <c r="CM82" s="37"/>
      <c r="CN82" s="37"/>
      <c r="CO82" s="37"/>
      <c r="CP82" s="37"/>
      <c r="CQ82" s="37"/>
      <c r="CR82" s="37"/>
      <c r="CS82" s="63"/>
      <c r="CT82" s="62"/>
      <c r="CU82" s="19"/>
    </row>
    <row r="83" spans="1:99" s="1" customFormat="1" x14ac:dyDescent="0.25">
      <c r="A83" s="92" t="s">
        <v>41</v>
      </c>
      <c r="B83" s="66">
        <f>IFERROR(VLOOKUP($A83,[1]!LOOKUP_MDAPs,B$3,FALSE)/$I83,"")</f>
        <v>0.80973587682079873</v>
      </c>
      <c r="C83" s="66">
        <f>IFERROR(VLOOKUP($A83,[1]!LOOKUP_MDAPs,C$3,FALSE)/$I83,"")</f>
        <v>0.17965736496057194</v>
      </c>
      <c r="D83" s="66">
        <f>IFERROR(VLOOKUP($A83,[1]!LOOKUP_MDAPs,D$3,FALSE)/$I83,"")</f>
        <v>0.19007635099432788</v>
      </c>
      <c r="E83" s="66">
        <f>IFERROR(VLOOKUP($A83,[1]!LOOKUP_MDAPs,E$3,FALSE)/$I83,"")</f>
        <v>0.19790993352880956</v>
      </c>
      <c r="F83" s="66">
        <f>IFERROR(VLOOKUP($A83,[1]!LOOKUP_MDAPs,F$3,FALSE)/$I83,"")</f>
        <v>1.7267033056613051E-3</v>
      </c>
      <c r="G83" s="66">
        <f>IFERROR(VLOOKUP($A83,[1]!LOOKUP_MDAPs,G$3,FALSE)/$I83,"")</f>
        <v>17.058698677279171</v>
      </c>
      <c r="H83" s="66">
        <f t="shared" si="83"/>
        <v>-17.43780490688934</v>
      </c>
      <c r="I83" s="65">
        <f>IFERROR(VLOOKUP($A83,[1]!LOOKUP_MDAPs,I$3,FALSE),"")</f>
        <v>143.94192631999999</v>
      </c>
      <c r="J83" s="64" t="e">
        <f>VLOOKUP($A83,[1]!LOOKUP_SARS_2009_Change_Breakdown,J$3,FALSE)+0</f>
        <v>#NAME?</v>
      </c>
      <c r="K83" s="64" t="e">
        <f>VLOOKUP($A83,[1]!LOOKUP_SARS_2009_Change_Breakdown,K$3,FALSE)+0</f>
        <v>#NAME?</v>
      </c>
      <c r="L83" s="64" t="e">
        <f>VLOOKUP($A83,[1]!LOOKUP_SARS_2009_Change_Breakdown,L$3,FALSE)+0</f>
        <v>#NAME?</v>
      </c>
      <c r="M83" s="64" t="e">
        <f>VLOOKUP($A83,[1]!LOOKUP_SARS_2009_Change_Breakdown,M$3,FALSE)+0</f>
        <v>#NAME?</v>
      </c>
      <c r="N83" s="64" t="e">
        <f>VLOOKUP($A83,[1]!LOOKUP_SARS_2009_Change_Breakdown,N$3,FALSE)+0</f>
        <v>#NAME?</v>
      </c>
      <c r="O83" s="64" t="e">
        <f>VLOOKUP($A83,[1]!LOOKUP_SARS_2009_Change_Breakdown,O$3,FALSE)+0</f>
        <v>#NAME?</v>
      </c>
      <c r="P83" s="64" t="e">
        <f>VLOOKUP($A83,[1]!LOOKUP_SARS_2009_Change_Breakdown,P$3,FALSE)+0</f>
        <v>#NAME?</v>
      </c>
      <c r="Q83" s="64" t="e">
        <f>VLOOKUP($A83,[1]!LOOKUP_SARS_2009_Change_Breakdown,Q$3,FALSE)+0</f>
        <v>#NAME?</v>
      </c>
      <c r="R83" s="26" t="e">
        <f>VLOOKUP($A83,[1]!LOOKUP_SARS_2009,R$3,FALSE)</f>
        <v>#NAME?</v>
      </c>
      <c r="S83" s="1" t="e">
        <f t="shared" si="84"/>
        <v>#NAME?</v>
      </c>
      <c r="CK83" s="37"/>
      <c r="CL83" s="37"/>
      <c r="CM83" s="37"/>
      <c r="CN83" s="37"/>
      <c r="CO83" s="37"/>
      <c r="CP83" s="37"/>
      <c r="CQ83" s="37"/>
      <c r="CR83" s="37"/>
      <c r="CS83" s="63"/>
      <c r="CT83" s="62"/>
      <c r="CU83" s="19"/>
    </row>
    <row r="84" spans="1:99" s="1" customFormat="1" x14ac:dyDescent="0.25">
      <c r="A84" s="92" t="s">
        <v>44</v>
      </c>
      <c r="B84" s="66">
        <f>IFERROR(VLOOKUP($A84,[1]!LOOKUP_MDAPs,B$3,FALSE)/$I84,"")</f>
        <v>0.44581642698532303</v>
      </c>
      <c r="C84" s="66">
        <f>IFERROR(VLOOKUP($A84,[1]!LOOKUP_MDAPs,C$3,FALSE)/$I84,"")</f>
        <v>0.69705878786266062</v>
      </c>
      <c r="D84" s="66">
        <f>IFERROR(VLOOKUP($A84,[1]!LOOKUP_MDAPs,D$3,FALSE)/$I84,"")</f>
        <v>1.3946327194098425</v>
      </c>
      <c r="E84" s="66">
        <f>IFERROR(VLOOKUP($A84,[1]!LOOKUP_MDAPs,E$3,FALSE)/$I84,"")</f>
        <v>1.5662625557111778</v>
      </c>
      <c r="F84" s="66">
        <f>IFERROR(VLOOKUP($A84,[1]!LOOKUP_MDAPs,F$3,FALSE)/$I84,"")</f>
        <v>1.746844398087093E-2</v>
      </c>
      <c r="G84" s="66">
        <f>IFERROR(VLOOKUP($A84,[1]!LOOKUP_MDAPs,G$3,FALSE)/$I84,"")</f>
        <v>6.1860685240821072</v>
      </c>
      <c r="H84" s="66">
        <f t="shared" si="83"/>
        <v>-9.3073074580319819</v>
      </c>
      <c r="I84" s="65">
        <f>IFERROR(VLOOKUP($A84,[1]!LOOKUP_MDAPs,I$3,FALSE),"")</f>
        <v>135.40622179000002</v>
      </c>
      <c r="J84" s="64" t="e">
        <f>VLOOKUP($A84,[1]!LOOKUP_SARS_2009_Change_Breakdown,J$3,FALSE)+0</f>
        <v>#NAME?</v>
      </c>
      <c r="K84" s="64" t="e">
        <f>VLOOKUP($A84,[1]!LOOKUP_SARS_2009_Change_Breakdown,K$3,FALSE)+0</f>
        <v>#NAME?</v>
      </c>
      <c r="L84" s="64" t="e">
        <f>VLOOKUP($A84,[1]!LOOKUP_SARS_2009_Change_Breakdown,L$3,FALSE)+0</f>
        <v>#NAME?</v>
      </c>
      <c r="M84" s="64" t="e">
        <f>VLOOKUP($A84,[1]!LOOKUP_SARS_2009_Change_Breakdown,M$3,FALSE)+0</f>
        <v>#NAME?</v>
      </c>
      <c r="N84" s="64" t="e">
        <f>VLOOKUP($A84,[1]!LOOKUP_SARS_2009_Change_Breakdown,N$3,FALSE)+0</f>
        <v>#NAME?</v>
      </c>
      <c r="O84" s="64" t="e">
        <f>VLOOKUP($A84,[1]!LOOKUP_SARS_2009_Change_Breakdown,O$3,FALSE)+0</f>
        <v>#NAME?</v>
      </c>
      <c r="P84" s="64" t="e">
        <f>VLOOKUP($A84,[1]!LOOKUP_SARS_2009_Change_Breakdown,P$3,FALSE)+0</f>
        <v>#NAME?</v>
      </c>
      <c r="Q84" s="64" t="e">
        <f>VLOOKUP($A84,[1]!LOOKUP_SARS_2009_Change_Breakdown,Q$3,FALSE)+0</f>
        <v>#NAME?</v>
      </c>
      <c r="R84" s="26" t="e">
        <f>VLOOKUP($A84,[1]!LOOKUP_SARS_2009,R$3,FALSE)</f>
        <v>#NAME?</v>
      </c>
      <c r="S84" s="1" t="e">
        <f t="shared" si="84"/>
        <v>#NAME?</v>
      </c>
      <c r="CK84" s="37"/>
      <c r="CL84" s="37"/>
      <c r="CM84" s="37"/>
      <c r="CN84" s="37"/>
      <c r="CO84" s="37"/>
      <c r="CP84" s="37"/>
      <c r="CQ84" s="37"/>
      <c r="CR84" s="37"/>
      <c r="CS84" s="63"/>
      <c r="CT84" s="62"/>
      <c r="CU84" s="19"/>
    </row>
    <row r="85" spans="1:99" s="1" customFormat="1" x14ac:dyDescent="0.25">
      <c r="A85" s="92" t="s">
        <v>183</v>
      </c>
      <c r="B85" s="66">
        <f>IFERROR(VLOOKUP($A85,[1]!LOOKUP_MDAPs,B$3,FALSE)/$I85,"")</f>
        <v>2.2915097043815567</v>
      </c>
      <c r="C85" s="66">
        <f>IFERROR(VLOOKUP($A85,[1]!LOOKUP_MDAPs,C$3,FALSE)/$I85,"")</f>
        <v>1.6559174753520927</v>
      </c>
      <c r="D85" s="66">
        <f>IFERROR(VLOOKUP($A85,[1]!LOOKUP_MDAPs,D$3,FALSE)/$I85,"")</f>
        <v>3.8774567174807025E-3</v>
      </c>
      <c r="E85" s="66">
        <f>IFERROR(VLOOKUP($A85,[1]!LOOKUP_MDAPs,E$3,FALSE)/$I85,"")</f>
        <v>3.2817158743374836E-3</v>
      </c>
      <c r="F85" s="66">
        <f>IFERROR(VLOOKUP($A85,[1]!LOOKUP_MDAPs,F$3,FALSE)/$I85,"")</f>
        <v>0</v>
      </c>
      <c r="G85" s="66">
        <f>IFERROR(VLOOKUP($A85,[1]!LOOKUP_MDAPs,G$3,FALSE)/$I85,"")</f>
        <v>35.535595118739401</v>
      </c>
      <c r="H85" s="66">
        <f t="shared" si="83"/>
        <v>-38.490181471064872</v>
      </c>
      <c r="I85" s="65">
        <f>IFERROR(VLOOKUP($A85,[1]!LOOKUP_MDAPs,I$3,FALSE),"")</f>
        <v>74.690195430000003</v>
      </c>
      <c r="J85" s="64" t="e">
        <f>VLOOKUP($A85,[1]!LOOKUP_SARS_2009_Change_Breakdown,J$3,FALSE)+0</f>
        <v>#NAME?</v>
      </c>
      <c r="K85" s="64" t="e">
        <f>VLOOKUP($A85,[1]!LOOKUP_SARS_2009_Change_Breakdown,K$3,FALSE)+0</f>
        <v>#NAME?</v>
      </c>
      <c r="L85" s="64" t="e">
        <f>VLOOKUP($A85,[1]!LOOKUP_SARS_2009_Change_Breakdown,L$3,FALSE)+0</f>
        <v>#NAME?</v>
      </c>
      <c r="M85" s="64" t="e">
        <f>VLOOKUP($A85,[1]!LOOKUP_SARS_2009_Change_Breakdown,M$3,FALSE)+0</f>
        <v>#NAME?</v>
      </c>
      <c r="N85" s="64" t="e">
        <f>VLOOKUP($A85,[1]!LOOKUP_SARS_2009_Change_Breakdown,N$3,FALSE)+0</f>
        <v>#NAME?</v>
      </c>
      <c r="O85" s="64" t="e">
        <f>VLOOKUP($A85,[1]!LOOKUP_SARS_2009_Change_Breakdown,O$3,FALSE)+0</f>
        <v>#NAME?</v>
      </c>
      <c r="P85" s="64" t="e">
        <f>VLOOKUP($A85,[1]!LOOKUP_SARS_2009_Change_Breakdown,P$3,FALSE)+0</f>
        <v>#NAME?</v>
      </c>
      <c r="Q85" s="64" t="e">
        <f>VLOOKUP($A85,[1]!LOOKUP_SARS_2009_Change_Breakdown,Q$3,FALSE)+0</f>
        <v>#NAME?</v>
      </c>
      <c r="R85" s="26" t="e">
        <f>VLOOKUP($A85,[1]!LOOKUP_SARS_2009,R$3,FALSE)</f>
        <v>#NAME?</v>
      </c>
      <c r="S85" s="1" t="e">
        <f t="shared" si="84"/>
        <v>#NAME?</v>
      </c>
      <c r="CK85" s="37"/>
      <c r="CL85" s="37"/>
      <c r="CM85" s="37"/>
      <c r="CN85" s="37"/>
      <c r="CO85" s="37"/>
      <c r="CP85" s="37"/>
      <c r="CQ85" s="37"/>
      <c r="CR85" s="37"/>
      <c r="CS85" s="63"/>
      <c r="CT85" s="62"/>
      <c r="CU85" s="19"/>
    </row>
    <row r="86" spans="1:99" s="1" customFormat="1" x14ac:dyDescent="0.25">
      <c r="A86" s="92" t="s">
        <v>66</v>
      </c>
      <c r="B86" s="66">
        <f>IFERROR(VLOOKUP($A86,[1]!LOOKUP_MDAPs,B$3,FALSE)/$I86,"")</f>
        <v>0</v>
      </c>
      <c r="C86" s="66">
        <f>IFERROR(VLOOKUP($A86,[1]!LOOKUP_MDAPs,C$3,FALSE)/$I86,"")</f>
        <v>0</v>
      </c>
      <c r="D86" s="66">
        <f>IFERROR(VLOOKUP($A86,[1]!LOOKUP_MDAPs,D$3,FALSE)/$I86,"")</f>
        <v>0</v>
      </c>
      <c r="E86" s="66">
        <f>IFERROR(VLOOKUP($A86,[1]!LOOKUP_MDAPs,E$3,FALSE)/$I86,"")</f>
        <v>0</v>
      </c>
      <c r="F86" s="66">
        <f>IFERROR(VLOOKUP($A86,[1]!LOOKUP_MDAPs,F$3,FALSE)/$I86,"")</f>
        <v>0</v>
      </c>
      <c r="G86" s="66">
        <f>IFERROR(VLOOKUP($A86,[1]!LOOKUP_MDAPs,G$3,FALSE)/$I86,"")</f>
        <v>5190.9836739780658</v>
      </c>
      <c r="H86" s="66">
        <f t="shared" si="83"/>
        <v>-5189.9836739780658</v>
      </c>
      <c r="I86" s="65">
        <f>IFERROR(VLOOKUP($A86,[1]!LOOKUP_MDAPs,I$3,FALSE),"")</f>
        <v>8.0239999999999999E-3</v>
      </c>
      <c r="J86" s="64" t="e">
        <f>VLOOKUP($A86,[1]!LOOKUP_SARS_2009_Change_Breakdown,J$3,FALSE)+0</f>
        <v>#NAME?</v>
      </c>
      <c r="K86" s="64" t="e">
        <f>VLOOKUP($A86,[1]!LOOKUP_SARS_2009_Change_Breakdown,K$3,FALSE)+0</f>
        <v>#NAME?</v>
      </c>
      <c r="L86" s="64" t="e">
        <f>VLOOKUP($A86,[1]!LOOKUP_SARS_2009_Change_Breakdown,L$3,FALSE)+0</f>
        <v>#NAME?</v>
      </c>
      <c r="M86" s="64" t="e">
        <f>VLOOKUP($A86,[1]!LOOKUP_SARS_2009_Change_Breakdown,M$3,FALSE)+0</f>
        <v>#NAME?</v>
      </c>
      <c r="N86" s="64" t="e">
        <f>VLOOKUP($A86,[1]!LOOKUP_SARS_2009_Change_Breakdown,N$3,FALSE)+0</f>
        <v>#NAME?</v>
      </c>
      <c r="O86" s="64" t="e">
        <f>VLOOKUP($A86,[1]!LOOKUP_SARS_2009_Change_Breakdown,O$3,FALSE)+0</f>
        <v>#NAME?</v>
      </c>
      <c r="P86" s="64" t="e">
        <f>VLOOKUP($A86,[1]!LOOKUP_SARS_2009_Change_Breakdown,P$3,FALSE)+0</f>
        <v>#NAME?</v>
      </c>
      <c r="Q86" s="64" t="e">
        <f>VLOOKUP($A86,[1]!LOOKUP_SARS_2009_Change_Breakdown,Q$3,FALSE)+0</f>
        <v>#NAME?</v>
      </c>
      <c r="R86" s="26" t="e">
        <f>VLOOKUP($A86,[1]!LOOKUP_SARS_2009,R$3,FALSE)</f>
        <v>#NAME?</v>
      </c>
      <c r="S86" s="1" t="e">
        <f t="shared" si="84"/>
        <v>#NAME?</v>
      </c>
      <c r="CK86" s="37"/>
      <c r="CL86" s="37"/>
      <c r="CM86" s="37"/>
      <c r="CN86" s="37"/>
      <c r="CO86" s="37"/>
      <c r="CP86" s="37"/>
      <c r="CQ86" s="37"/>
      <c r="CR86" s="37"/>
      <c r="CS86" s="63"/>
      <c r="CT86" s="62"/>
      <c r="CU86" s="19"/>
    </row>
    <row r="87" spans="1:99" s="1" customFormat="1" x14ac:dyDescent="0.25">
      <c r="A87" s="92" t="s">
        <v>65</v>
      </c>
      <c r="B87" s="66">
        <f>IFERROR(VLOOKUP($A87,[1]!LOOKUP_MDAPs,B$3,FALSE)/$I87,"")</f>
        <v>2.459810756365393E-2</v>
      </c>
      <c r="C87" s="66">
        <f>IFERROR(VLOOKUP($A87,[1]!LOOKUP_MDAPs,C$3,FALSE)/$I87,"")</f>
        <v>0.36855003758615956</v>
      </c>
      <c r="D87" s="66">
        <f>IFERROR(VLOOKUP($A87,[1]!LOOKUP_MDAPs,D$3,FALSE)/$I87,"")</f>
        <v>2.1092739404064083</v>
      </c>
      <c r="E87" s="66">
        <f>IFERROR(VLOOKUP($A87,[1]!LOOKUP_MDAPs,E$3,FALSE)/$I87,"")</f>
        <v>1.5194716202734884E-5</v>
      </c>
      <c r="F87" s="66">
        <f>IFERROR(VLOOKUP($A87,[1]!LOOKUP_MDAPs,F$3,FALSE)/$I87,"")</f>
        <v>0</v>
      </c>
      <c r="G87" s="66">
        <f>IFERROR(VLOOKUP($A87,[1]!LOOKUP_MDAPs,G$3,FALSE)/$I87,"")</f>
        <v>4.0039455488512111E-3</v>
      </c>
      <c r="H87" s="66">
        <f t="shared" si="83"/>
        <v>-1.5064412258212756</v>
      </c>
      <c r="I87" s="65">
        <f>IFERROR(VLOOKUP($A87,[1]!LOOKUP_MDAPs,I$3,FALSE),"")</f>
        <v>812.45347628000013</v>
      </c>
      <c r="J87" s="64" t="e">
        <f>VLOOKUP($A87,[1]!LOOKUP_SARS_2009_Change_Breakdown,J$3,FALSE)+0</f>
        <v>#NAME?</v>
      </c>
      <c r="K87" s="64" t="e">
        <f>VLOOKUP($A87,[1]!LOOKUP_SARS_2009_Change_Breakdown,K$3,FALSE)+0</f>
        <v>#NAME?</v>
      </c>
      <c r="L87" s="64" t="e">
        <f>VLOOKUP($A87,[1]!LOOKUP_SARS_2009_Change_Breakdown,L$3,FALSE)+0</f>
        <v>#NAME?</v>
      </c>
      <c r="M87" s="64" t="e">
        <f>VLOOKUP($A87,[1]!LOOKUP_SARS_2009_Change_Breakdown,M$3,FALSE)+0</f>
        <v>#NAME?</v>
      </c>
      <c r="N87" s="64" t="e">
        <f>VLOOKUP($A87,[1]!LOOKUP_SARS_2009_Change_Breakdown,N$3,FALSE)+0</f>
        <v>#NAME?</v>
      </c>
      <c r="O87" s="64" t="e">
        <f>VLOOKUP($A87,[1]!LOOKUP_SARS_2009_Change_Breakdown,O$3,FALSE)+0</f>
        <v>#NAME?</v>
      </c>
      <c r="P87" s="64" t="e">
        <f>VLOOKUP($A87,[1]!LOOKUP_SARS_2009_Change_Breakdown,P$3,FALSE)+0</f>
        <v>#NAME?</v>
      </c>
      <c r="Q87" s="64" t="e">
        <f>VLOOKUP($A87,[1]!LOOKUP_SARS_2009_Change_Breakdown,Q$3,FALSE)+0</f>
        <v>#NAME?</v>
      </c>
      <c r="R87" s="26" t="e">
        <f>VLOOKUP($A87,[1]!LOOKUP_SARS_2009,R$3,FALSE)</f>
        <v>#NAME?</v>
      </c>
      <c r="S87" s="1" t="e">
        <f t="shared" si="84"/>
        <v>#NAME?</v>
      </c>
      <c r="CK87" s="37"/>
      <c r="CL87" s="37"/>
      <c r="CM87" s="37"/>
      <c r="CN87" s="37"/>
      <c r="CO87" s="37"/>
      <c r="CP87" s="37"/>
      <c r="CQ87" s="37"/>
      <c r="CR87" s="37"/>
      <c r="CS87" s="63"/>
      <c r="CT87" s="62"/>
      <c r="CU87" s="19"/>
    </row>
    <row r="88" spans="1:99" s="1" customFormat="1" x14ac:dyDescent="0.25">
      <c r="A88" s="92" t="s">
        <v>46</v>
      </c>
      <c r="B88" s="66">
        <f>IFERROR(VLOOKUP($A88,[1]!LOOKUP_MDAPs,B$3,FALSE)/$I88,"")</f>
        <v>5.5383984841494485</v>
      </c>
      <c r="C88" s="66">
        <f>IFERROR(VLOOKUP($A88,[1]!LOOKUP_MDAPs,C$3,FALSE)/$I88,"")</f>
        <v>0.48485515053850375</v>
      </c>
      <c r="D88" s="66">
        <f>IFERROR(VLOOKUP($A88,[1]!LOOKUP_MDAPs,D$3,FALSE)/$I88,"")</f>
        <v>3.8454049563328296</v>
      </c>
      <c r="E88" s="66">
        <f>IFERROR(VLOOKUP($A88,[1]!LOOKUP_MDAPs,E$3,FALSE)/$I88,"")</f>
        <v>5.1348536763562699E-2</v>
      </c>
      <c r="F88" s="66">
        <f>IFERROR(VLOOKUP($A88,[1]!LOOKUP_MDAPs,F$3,FALSE)/$I88,"")</f>
        <v>0</v>
      </c>
      <c r="G88" s="66">
        <f>IFERROR(VLOOKUP($A88,[1]!LOOKUP_MDAPs,G$3,FALSE)/$I88,"")</f>
        <v>2.0905603845681102</v>
      </c>
      <c r="H88" s="66">
        <f t="shared" si="83"/>
        <v>-11.010567512352456</v>
      </c>
      <c r="I88" s="65">
        <f>IFERROR(VLOOKUP($A88,[1]!LOOKUP_MDAPs,I$3,FALSE),"")</f>
        <v>5.8944544299999997</v>
      </c>
      <c r="J88" s="64" t="e">
        <f>VLOOKUP($A88,[1]!LOOKUP_SARS_2009_Change_Breakdown,J$3,FALSE)+0</f>
        <v>#NAME?</v>
      </c>
      <c r="K88" s="64" t="e">
        <f>VLOOKUP($A88,[1]!LOOKUP_SARS_2009_Change_Breakdown,K$3,FALSE)+0</f>
        <v>#NAME?</v>
      </c>
      <c r="L88" s="64" t="e">
        <f>VLOOKUP($A88,[1]!LOOKUP_SARS_2009_Change_Breakdown,L$3,FALSE)+0</f>
        <v>#NAME?</v>
      </c>
      <c r="M88" s="64" t="e">
        <f>VLOOKUP($A88,[1]!LOOKUP_SARS_2009_Change_Breakdown,M$3,FALSE)+0</f>
        <v>#NAME?</v>
      </c>
      <c r="N88" s="64" t="e">
        <f>VLOOKUP($A88,[1]!LOOKUP_SARS_2009_Change_Breakdown,N$3,FALSE)+0</f>
        <v>#NAME?</v>
      </c>
      <c r="O88" s="64" t="e">
        <f>VLOOKUP($A88,[1]!LOOKUP_SARS_2009_Change_Breakdown,O$3,FALSE)+0</f>
        <v>#NAME?</v>
      </c>
      <c r="P88" s="64" t="e">
        <f>VLOOKUP($A88,[1]!LOOKUP_SARS_2009_Change_Breakdown,P$3,FALSE)+0</f>
        <v>#NAME?</v>
      </c>
      <c r="Q88" s="64" t="e">
        <f>VLOOKUP($A88,[1]!LOOKUP_SARS_2009_Change_Breakdown,Q$3,FALSE)+0</f>
        <v>#NAME?</v>
      </c>
      <c r="R88" s="26" t="e">
        <f>VLOOKUP($A88,[1]!LOOKUP_SARS_2009,R$3,FALSE)</f>
        <v>#NAME?</v>
      </c>
      <c r="S88" s="1" t="e">
        <f t="shared" si="84"/>
        <v>#NAME?</v>
      </c>
      <c r="CK88" s="37"/>
      <c r="CL88" s="37"/>
      <c r="CM88" s="37"/>
      <c r="CN88" s="37"/>
      <c r="CO88" s="37"/>
      <c r="CP88" s="37"/>
      <c r="CQ88" s="37"/>
      <c r="CR88" s="37"/>
      <c r="CS88" s="63"/>
      <c r="CT88" s="62"/>
      <c r="CU88" s="19"/>
    </row>
    <row r="89" spans="1:99" s="1" customFormat="1" x14ac:dyDescent="0.25">
      <c r="A89" s="92" t="s">
        <v>63</v>
      </c>
      <c r="B89" s="66">
        <f>IFERROR(VLOOKUP($A89,[1]!LOOKUP_MDAPs,B$3,FALSE)/$I89,"")</f>
        <v>1.6691554729465361</v>
      </c>
      <c r="C89" s="66">
        <f>IFERROR(VLOOKUP($A89,[1]!LOOKUP_MDAPs,C$3,FALSE)/$I89,"")</f>
        <v>0.1778927993320491</v>
      </c>
      <c r="D89" s="66">
        <f>IFERROR(VLOOKUP($A89,[1]!LOOKUP_MDAPs,D$3,FALSE)/$I89,"")</f>
        <v>6.1253106666072895E-3</v>
      </c>
      <c r="E89" s="66">
        <f>IFERROR(VLOOKUP($A89,[1]!LOOKUP_MDAPs,E$3,FALSE)/$I89,"")</f>
        <v>1.5029388314771807E-2</v>
      </c>
      <c r="F89" s="66">
        <f>IFERROR(VLOOKUP($A89,[1]!LOOKUP_MDAPs,F$3,FALSE)/$I89,"")</f>
        <v>0</v>
      </c>
      <c r="G89" s="66">
        <f>IFERROR(VLOOKUP($A89,[1]!LOOKUP_MDAPs,G$3,FALSE)/$I89,"")</f>
        <v>0.37668330793199362</v>
      </c>
      <c r="H89" s="66">
        <f t="shared" si="83"/>
        <v>-1.2448862791919582</v>
      </c>
      <c r="I89" s="65">
        <f>IFERROR(VLOOKUP($A89,[1]!LOOKUP_MDAPs,I$3,FALSE),"")</f>
        <v>1200.7641310500003</v>
      </c>
      <c r="J89" s="64" t="e">
        <f>VLOOKUP($A89,[1]!LOOKUP_SARS_2009_Change_Breakdown,J$3,FALSE)+0</f>
        <v>#NAME?</v>
      </c>
      <c r="K89" s="64" t="e">
        <f>VLOOKUP($A89,[1]!LOOKUP_SARS_2009_Change_Breakdown,K$3,FALSE)+0</f>
        <v>#NAME?</v>
      </c>
      <c r="L89" s="64" t="e">
        <f>VLOOKUP($A89,[1]!LOOKUP_SARS_2009_Change_Breakdown,L$3,FALSE)+0</f>
        <v>#NAME?</v>
      </c>
      <c r="M89" s="64" t="e">
        <f>VLOOKUP($A89,[1]!LOOKUP_SARS_2009_Change_Breakdown,M$3,FALSE)+0</f>
        <v>#NAME?</v>
      </c>
      <c r="N89" s="64" t="e">
        <f>VLOOKUP($A89,[1]!LOOKUP_SARS_2009_Change_Breakdown,N$3,FALSE)+0</f>
        <v>#NAME?</v>
      </c>
      <c r="O89" s="64" t="e">
        <f>VLOOKUP($A89,[1]!LOOKUP_SARS_2009_Change_Breakdown,O$3,FALSE)+0</f>
        <v>#NAME?</v>
      </c>
      <c r="P89" s="64" t="e">
        <f>VLOOKUP($A89,[1]!LOOKUP_SARS_2009_Change_Breakdown,P$3,FALSE)+0</f>
        <v>#NAME?</v>
      </c>
      <c r="Q89" s="64" t="e">
        <f>VLOOKUP($A89,[1]!LOOKUP_SARS_2009_Change_Breakdown,Q$3,FALSE)+0</f>
        <v>#NAME?</v>
      </c>
      <c r="R89" s="26" t="e">
        <f>VLOOKUP($A89,[1]!LOOKUP_SARS_2009,R$3,FALSE)</f>
        <v>#NAME?</v>
      </c>
      <c r="S89" s="1" t="e">
        <f t="shared" si="84"/>
        <v>#NAME?</v>
      </c>
      <c r="CK89" s="37"/>
      <c r="CL89" s="37"/>
      <c r="CM89" s="37"/>
      <c r="CN89" s="37"/>
      <c r="CO89" s="37"/>
      <c r="CP89" s="37"/>
      <c r="CQ89" s="37"/>
      <c r="CR89" s="37"/>
      <c r="CS89" s="63"/>
      <c r="CT89" s="62"/>
      <c r="CU89" s="19"/>
    </row>
    <row r="90" spans="1:99" s="1" customFormat="1" x14ac:dyDescent="0.25">
      <c r="A90" s="92" t="s">
        <v>71</v>
      </c>
      <c r="B90" s="66" t="str">
        <f>IFERROR(VLOOKUP($A90,[1]!LOOKUP_MDAPs,B$3,FALSE)/$I90,"")</f>
        <v/>
      </c>
      <c r="C90" s="66" t="str">
        <f>IFERROR(VLOOKUP($A90,[1]!LOOKUP_MDAPs,C$3,FALSE)/$I90,"")</f>
        <v/>
      </c>
      <c r="D90" s="66" t="str">
        <f>IFERROR(VLOOKUP($A90,[1]!LOOKUP_MDAPs,D$3,FALSE)/$I90,"")</f>
        <v/>
      </c>
      <c r="E90" s="66" t="str">
        <f>IFERROR(VLOOKUP($A90,[1]!LOOKUP_MDAPs,E$3,FALSE)/$I90,"")</f>
        <v/>
      </c>
      <c r="F90" s="66" t="str">
        <f>IFERROR(VLOOKUP($A90,[1]!LOOKUP_MDAPs,F$3,FALSE)/$I90,"")</f>
        <v/>
      </c>
      <c r="G90" s="66" t="str">
        <f>IFERROR(VLOOKUP($A90,[1]!LOOKUP_MDAPs,G$3,FALSE)/$I90,"")</f>
        <v/>
      </c>
      <c r="H90" s="66">
        <f t="shared" si="83"/>
        <v>1</v>
      </c>
      <c r="I90" s="65">
        <f>IFERROR(VLOOKUP($A90,[1]!LOOKUP_MDAPs,I$3,FALSE),"")</f>
        <v>0</v>
      </c>
      <c r="J90" s="64" t="e">
        <f>VLOOKUP($A90,[1]!LOOKUP_SARS_2009_Change_Breakdown,J$3,FALSE)+0</f>
        <v>#NAME?</v>
      </c>
      <c r="K90" s="64" t="e">
        <f>VLOOKUP($A90,[1]!LOOKUP_SARS_2009_Change_Breakdown,K$3,FALSE)+0</f>
        <v>#NAME?</v>
      </c>
      <c r="L90" s="64" t="e">
        <f>VLOOKUP($A90,[1]!LOOKUP_SARS_2009_Change_Breakdown,L$3,FALSE)+0</f>
        <v>#NAME?</v>
      </c>
      <c r="M90" s="64" t="e">
        <f>VLOOKUP($A90,[1]!LOOKUP_SARS_2009_Change_Breakdown,M$3,FALSE)+0</f>
        <v>#NAME?</v>
      </c>
      <c r="N90" s="64" t="e">
        <f>VLOOKUP($A90,[1]!LOOKUP_SARS_2009_Change_Breakdown,N$3,FALSE)+0</f>
        <v>#NAME?</v>
      </c>
      <c r="O90" s="64" t="e">
        <f>VLOOKUP($A90,[1]!LOOKUP_SARS_2009_Change_Breakdown,O$3,FALSE)+0</f>
        <v>#NAME?</v>
      </c>
      <c r="P90" s="64" t="e">
        <f>VLOOKUP($A90,[1]!LOOKUP_SARS_2009_Change_Breakdown,P$3,FALSE)+0</f>
        <v>#NAME?</v>
      </c>
      <c r="Q90" s="64" t="e">
        <f>VLOOKUP($A90,[1]!LOOKUP_SARS_2009_Change_Breakdown,Q$3,FALSE)+0</f>
        <v>#NAME?</v>
      </c>
      <c r="R90" s="26" t="e">
        <f>VLOOKUP($A90,[1]!LOOKUP_SARS_2009,R$3,FALSE)</f>
        <v>#NAME?</v>
      </c>
      <c r="S90" s="1" t="e">
        <f t="shared" si="84"/>
        <v>#NAME?</v>
      </c>
      <c r="CK90" s="37"/>
      <c r="CL90" s="37"/>
      <c r="CM90" s="37"/>
      <c r="CN90" s="37"/>
      <c r="CO90" s="37"/>
      <c r="CP90" s="37"/>
      <c r="CQ90" s="37"/>
      <c r="CR90" s="37"/>
      <c r="CS90" s="63"/>
      <c r="CT90" s="62"/>
      <c r="CU90" s="19"/>
    </row>
    <row r="91" spans="1:99" s="1" customFormat="1" x14ac:dyDescent="0.25">
      <c r="A91" s="92" t="s">
        <v>69</v>
      </c>
      <c r="B91" s="66">
        <f>IFERROR(VLOOKUP($A91,[1]!LOOKUP_MDAPs,B$3,FALSE)/$I91,"")</f>
        <v>135.88747686431964</v>
      </c>
      <c r="C91" s="66">
        <f>IFERROR(VLOOKUP($A91,[1]!LOOKUP_MDAPs,C$3,FALSE)/$I91,"")</f>
        <v>11.617551290212017</v>
      </c>
      <c r="D91" s="66">
        <f>IFERROR(VLOOKUP($A91,[1]!LOOKUP_MDAPs,D$3,FALSE)/$I91,"")</f>
        <v>13.722482005581941</v>
      </c>
      <c r="E91" s="66">
        <f>IFERROR(VLOOKUP($A91,[1]!LOOKUP_MDAPs,E$3,FALSE)/$I91,"")</f>
        <v>0</v>
      </c>
      <c r="F91" s="66">
        <f>IFERROR(VLOOKUP($A91,[1]!LOOKUP_MDAPs,F$3,FALSE)/$I91,"")</f>
        <v>0</v>
      </c>
      <c r="G91" s="66">
        <f>IFERROR(VLOOKUP($A91,[1]!LOOKUP_MDAPs,G$3,FALSE)/$I91,"")</f>
        <v>0.13236963227733439</v>
      </c>
      <c r="H91" s="66">
        <f t="shared" si="83"/>
        <v>-160.35987979239096</v>
      </c>
      <c r="I91" s="65">
        <f>IFERROR(VLOOKUP($A91,[1]!LOOKUP_MDAPs,I$3,FALSE),"")</f>
        <v>8.1692000000000001E-2</v>
      </c>
      <c r="J91" s="64" t="e">
        <f>VLOOKUP($A91,[1]!LOOKUP_SARS_2009_Change_Breakdown,J$3,FALSE)+0</f>
        <v>#NAME?</v>
      </c>
      <c r="K91" s="64" t="e">
        <f>VLOOKUP($A91,[1]!LOOKUP_SARS_2009_Change_Breakdown,K$3,FALSE)+0</f>
        <v>#NAME?</v>
      </c>
      <c r="L91" s="64" t="e">
        <f>VLOOKUP($A91,[1]!LOOKUP_SARS_2009_Change_Breakdown,L$3,FALSE)+0</f>
        <v>#NAME?</v>
      </c>
      <c r="M91" s="64" t="e">
        <f>VLOOKUP($A91,[1]!LOOKUP_SARS_2009_Change_Breakdown,M$3,FALSE)+0</f>
        <v>#NAME?</v>
      </c>
      <c r="N91" s="64" t="e">
        <f>VLOOKUP($A91,[1]!LOOKUP_SARS_2009_Change_Breakdown,N$3,FALSE)+0</f>
        <v>#NAME?</v>
      </c>
      <c r="O91" s="64" t="e">
        <f>VLOOKUP($A91,[1]!LOOKUP_SARS_2009_Change_Breakdown,O$3,FALSE)+0</f>
        <v>#NAME?</v>
      </c>
      <c r="P91" s="64" t="e">
        <f>VLOOKUP($A91,[1]!LOOKUP_SARS_2009_Change_Breakdown,P$3,FALSE)+0</f>
        <v>#NAME?</v>
      </c>
      <c r="Q91" s="64" t="e">
        <f>VLOOKUP($A91,[1]!LOOKUP_SARS_2009_Change_Breakdown,Q$3,FALSE)+0</f>
        <v>#NAME?</v>
      </c>
      <c r="R91" s="26" t="e">
        <f>VLOOKUP($A91,[1]!LOOKUP_SARS_2009,R$3,FALSE)</f>
        <v>#NAME?</v>
      </c>
      <c r="S91" s="1" t="e">
        <f t="shared" si="84"/>
        <v>#NAME?</v>
      </c>
      <c r="CK91" s="37"/>
      <c r="CL91" s="37"/>
      <c r="CM91" s="37"/>
      <c r="CN91" s="37"/>
      <c r="CO91" s="37"/>
      <c r="CP91" s="37"/>
      <c r="CQ91" s="37"/>
      <c r="CR91" s="37"/>
      <c r="CS91" s="63"/>
      <c r="CT91" s="62"/>
      <c r="CU91" s="19"/>
    </row>
    <row r="92" spans="1:99" s="1" customFormat="1" x14ac:dyDescent="0.25">
      <c r="A92" s="92" t="s">
        <v>72</v>
      </c>
      <c r="B92" s="66">
        <f>IFERROR(VLOOKUP($A92,[1]!LOOKUP_MDAPs,B$3,FALSE)/$I92,"")</f>
        <v>2.3794562965050452E-3</v>
      </c>
      <c r="C92" s="66">
        <f>IFERROR(VLOOKUP($A92,[1]!LOOKUP_MDAPs,C$3,FALSE)/$I92,"")</f>
        <v>5.6780399155114672E-4</v>
      </c>
      <c r="D92" s="66">
        <f>IFERROR(VLOOKUP($A92,[1]!LOOKUP_MDAPs,D$3,FALSE)/$I92,"")</f>
        <v>3.8651891240941341</v>
      </c>
      <c r="E92" s="66">
        <f>IFERROR(VLOOKUP($A92,[1]!LOOKUP_MDAPs,E$3,FALSE)/$I92,"")</f>
        <v>-3.2783708236929437E-11</v>
      </c>
      <c r="F92" s="66">
        <f>IFERROR(VLOOKUP($A92,[1]!LOOKUP_MDAPs,F$3,FALSE)/$I92,"")</f>
        <v>0</v>
      </c>
      <c r="G92" s="66">
        <f>IFERROR(VLOOKUP($A92,[1]!LOOKUP_MDAPs,G$3,FALSE)/$I92,"")</f>
        <v>3.6508254697478653</v>
      </c>
      <c r="H92" s="66">
        <f t="shared" si="83"/>
        <v>-6.518961854097272</v>
      </c>
      <c r="I92" s="65">
        <f>IFERROR(VLOOKUP($A92,[1]!LOOKUP_MDAPs,I$3,FALSE),"")</f>
        <v>610.05911398000001</v>
      </c>
      <c r="J92" s="64" t="e">
        <f>VLOOKUP($A92,[1]!LOOKUP_SARS_2009_Change_Breakdown,J$3,FALSE)+0</f>
        <v>#NAME?</v>
      </c>
      <c r="K92" s="64" t="e">
        <f>VLOOKUP($A92,[1]!LOOKUP_SARS_2009_Change_Breakdown,K$3,FALSE)+0</f>
        <v>#NAME?</v>
      </c>
      <c r="L92" s="64" t="e">
        <f>VLOOKUP($A92,[1]!LOOKUP_SARS_2009_Change_Breakdown,L$3,FALSE)+0</f>
        <v>#NAME?</v>
      </c>
      <c r="M92" s="64" t="e">
        <f>VLOOKUP($A92,[1]!LOOKUP_SARS_2009_Change_Breakdown,M$3,FALSE)+0</f>
        <v>#NAME?</v>
      </c>
      <c r="N92" s="64" t="e">
        <f>VLOOKUP($A92,[1]!LOOKUP_SARS_2009_Change_Breakdown,N$3,FALSE)+0</f>
        <v>#NAME?</v>
      </c>
      <c r="O92" s="64" t="e">
        <f>VLOOKUP($A92,[1]!LOOKUP_SARS_2009_Change_Breakdown,O$3,FALSE)+0</f>
        <v>#NAME?</v>
      </c>
      <c r="P92" s="64" t="e">
        <f>VLOOKUP($A92,[1]!LOOKUP_SARS_2009_Change_Breakdown,P$3,FALSE)+0</f>
        <v>#NAME?</v>
      </c>
      <c r="Q92" s="64" t="e">
        <f>VLOOKUP($A92,[1]!LOOKUP_SARS_2009_Change_Breakdown,Q$3,FALSE)+0</f>
        <v>#NAME?</v>
      </c>
      <c r="R92" s="26" t="e">
        <f>VLOOKUP($A92,[1]!LOOKUP_SARS_2009,R$3,FALSE)</f>
        <v>#NAME?</v>
      </c>
      <c r="S92" s="1" t="e">
        <f t="shared" si="84"/>
        <v>#NAME?</v>
      </c>
      <c r="CK92" s="37"/>
      <c r="CL92" s="37"/>
      <c r="CM92" s="37"/>
      <c r="CN92" s="37"/>
      <c r="CO92" s="37"/>
      <c r="CP92" s="37"/>
      <c r="CQ92" s="37"/>
      <c r="CR92" s="37"/>
      <c r="CS92" s="63"/>
      <c r="CT92" s="62"/>
      <c r="CU92" s="19"/>
    </row>
    <row r="93" spans="1:99" s="1" customFormat="1" x14ac:dyDescent="0.25">
      <c r="A93" s="92" t="s">
        <v>252</v>
      </c>
      <c r="B93" s="66">
        <f>IFERROR(VLOOKUP($A93,[1]!LOOKUP_MDAPs,B$3,FALSE)/$I93,"")</f>
        <v>3.4525884534241023</v>
      </c>
      <c r="C93" s="66">
        <f>IFERROR(VLOOKUP($A93,[1]!LOOKUP_MDAPs,C$3,FALSE)/$I93,"")</f>
        <v>1.2256902756066161</v>
      </c>
      <c r="D93" s="66">
        <f>IFERROR(VLOOKUP($A93,[1]!LOOKUP_MDAPs,D$3,FALSE)/$I93,"")</f>
        <v>5.1149938589312196</v>
      </c>
      <c r="E93" s="66">
        <f>IFERROR(VLOOKUP($A93,[1]!LOOKUP_MDAPs,E$3,FALSE)/$I93,"")</f>
        <v>0.18614442178144774</v>
      </c>
      <c r="F93" s="66">
        <f>IFERROR(VLOOKUP($A93,[1]!LOOKUP_MDAPs,F$3,FALSE)/$I93,"")</f>
        <v>0</v>
      </c>
      <c r="G93" s="66">
        <f>IFERROR(VLOOKUP($A93,[1]!LOOKUP_MDAPs,G$3,FALSE)/$I93,"")</f>
        <v>504.08401982408208</v>
      </c>
      <c r="H93" s="66">
        <f t="shared" si="83"/>
        <v>-513.06343683382545</v>
      </c>
      <c r="I93" s="65">
        <f>IFERROR(VLOOKUP($A93,[1]!LOOKUP_MDAPs,I$3,FALSE),"")</f>
        <v>2.8830893500000001</v>
      </c>
      <c r="J93" s="64" t="e">
        <f>VLOOKUP($A93,[1]!LOOKUP_SARS_2009_Change_Breakdown,J$3,FALSE)+0</f>
        <v>#NAME?</v>
      </c>
      <c r="K93" s="64" t="e">
        <f>VLOOKUP($A93,[1]!LOOKUP_SARS_2009_Change_Breakdown,K$3,FALSE)+0</f>
        <v>#NAME?</v>
      </c>
      <c r="L93" s="64" t="e">
        <f>VLOOKUP($A93,[1]!LOOKUP_SARS_2009_Change_Breakdown,L$3,FALSE)+0</f>
        <v>#NAME?</v>
      </c>
      <c r="M93" s="64" t="e">
        <f>VLOOKUP($A93,[1]!LOOKUP_SARS_2009_Change_Breakdown,M$3,FALSE)+0</f>
        <v>#NAME?</v>
      </c>
      <c r="N93" s="64" t="e">
        <f>VLOOKUP($A93,[1]!LOOKUP_SARS_2009_Change_Breakdown,N$3,FALSE)+0</f>
        <v>#NAME?</v>
      </c>
      <c r="O93" s="64" t="e">
        <f>VLOOKUP($A93,[1]!LOOKUP_SARS_2009_Change_Breakdown,O$3,FALSE)+0</f>
        <v>#NAME?</v>
      </c>
      <c r="P93" s="64" t="e">
        <f>VLOOKUP($A93,[1]!LOOKUP_SARS_2009_Change_Breakdown,P$3,FALSE)+0</f>
        <v>#NAME?</v>
      </c>
      <c r="Q93" s="64" t="e">
        <f>VLOOKUP($A93,[1]!LOOKUP_SARS_2009_Change_Breakdown,Q$3,FALSE)+0</f>
        <v>#NAME?</v>
      </c>
      <c r="R93" s="26" t="e">
        <f>VLOOKUP($A93,[1]!LOOKUP_SARS_2009,R$3,FALSE)</f>
        <v>#NAME?</v>
      </c>
      <c r="S93" s="1" t="e">
        <f t="shared" si="84"/>
        <v>#NAME?</v>
      </c>
      <c r="CK93" s="37"/>
      <c r="CL93" s="37"/>
      <c r="CM93" s="37"/>
      <c r="CN93" s="37"/>
      <c r="CO93" s="37"/>
      <c r="CP93" s="37"/>
      <c r="CQ93" s="37"/>
      <c r="CR93" s="37"/>
      <c r="CS93" s="63"/>
      <c r="CT93" s="62"/>
      <c r="CU93" s="19"/>
    </row>
    <row r="94" spans="1:99" s="1" customFormat="1" x14ac:dyDescent="0.25">
      <c r="A94" s="92" t="s">
        <v>253</v>
      </c>
      <c r="B94" s="66" t="str">
        <f>IFERROR(VLOOKUP($A94,[1]!LOOKUP_MDAPs,B$3,FALSE)/$I94,"")</f>
        <v/>
      </c>
      <c r="C94" s="66" t="str">
        <f>IFERROR(VLOOKUP($A94,[1]!LOOKUP_MDAPs,C$3,FALSE)/$I94,"")</f>
        <v/>
      </c>
      <c r="D94" s="66" t="str">
        <f>IFERROR(VLOOKUP($A94,[1]!LOOKUP_MDAPs,D$3,FALSE)/$I94,"")</f>
        <v/>
      </c>
      <c r="E94" s="66" t="str">
        <f>IFERROR(VLOOKUP($A94,[1]!LOOKUP_MDAPs,E$3,FALSE)/$I94,"")</f>
        <v/>
      </c>
      <c r="F94" s="66" t="str">
        <f>IFERROR(VLOOKUP($A94,[1]!LOOKUP_MDAPs,F$3,FALSE)/$I94,"")</f>
        <v/>
      </c>
      <c r="G94" s="66" t="str">
        <f>IFERROR(VLOOKUP($A94,[1]!LOOKUP_MDAPs,G$3,FALSE)/$I94,"")</f>
        <v/>
      </c>
      <c r="H94" s="66">
        <f t="shared" si="83"/>
        <v>1</v>
      </c>
      <c r="I94" s="65">
        <f>IFERROR(VLOOKUP($A94,[1]!LOOKUP_MDAPs,I$3,FALSE),"")</f>
        <v>0</v>
      </c>
      <c r="J94" s="64" t="e">
        <f>VLOOKUP($A94,[1]!LOOKUP_SARS_2009_Change_Breakdown,J$3,FALSE)+0</f>
        <v>#NAME?</v>
      </c>
      <c r="K94" s="64" t="e">
        <f>VLOOKUP($A94,[1]!LOOKUP_SARS_2009_Change_Breakdown,K$3,FALSE)+0</f>
        <v>#NAME?</v>
      </c>
      <c r="L94" s="64" t="e">
        <f>VLOOKUP($A94,[1]!LOOKUP_SARS_2009_Change_Breakdown,L$3,FALSE)+0</f>
        <v>#NAME?</v>
      </c>
      <c r="M94" s="64" t="e">
        <f>VLOOKUP($A94,[1]!LOOKUP_SARS_2009_Change_Breakdown,M$3,FALSE)+0</f>
        <v>#NAME?</v>
      </c>
      <c r="N94" s="64" t="e">
        <f>VLOOKUP($A94,[1]!LOOKUP_SARS_2009_Change_Breakdown,N$3,FALSE)+0</f>
        <v>#NAME?</v>
      </c>
      <c r="O94" s="64" t="e">
        <f>VLOOKUP($A94,[1]!LOOKUP_SARS_2009_Change_Breakdown,O$3,FALSE)+0</f>
        <v>#NAME?</v>
      </c>
      <c r="P94" s="64" t="e">
        <f>VLOOKUP($A94,[1]!LOOKUP_SARS_2009_Change_Breakdown,P$3,FALSE)+0</f>
        <v>#NAME?</v>
      </c>
      <c r="Q94" s="64" t="e">
        <f>VLOOKUP($A94,[1]!LOOKUP_SARS_2009_Change_Breakdown,Q$3,FALSE)+0</f>
        <v>#NAME?</v>
      </c>
      <c r="R94" s="26" t="e">
        <f>VLOOKUP($A94,[1]!LOOKUP_SARS_2009,R$3,FALSE)</f>
        <v>#NAME?</v>
      </c>
      <c r="S94" s="1" t="e">
        <f t="shared" si="84"/>
        <v>#NAME?</v>
      </c>
      <c r="CK94" s="37"/>
      <c r="CL94" s="37"/>
      <c r="CM94" s="37"/>
      <c r="CN94" s="37"/>
      <c r="CO94" s="37"/>
      <c r="CP94" s="37"/>
      <c r="CQ94" s="37"/>
      <c r="CR94" s="37"/>
      <c r="CS94" s="63"/>
      <c r="CT94" s="62"/>
      <c r="CU94" s="19"/>
    </row>
    <row r="95" spans="1:99" s="1" customFormat="1" x14ac:dyDescent="0.25">
      <c r="A95" s="92" t="s">
        <v>246</v>
      </c>
      <c r="B95" s="66" t="str">
        <f>IFERROR(VLOOKUP($A95,[1]!LOOKUP_MDAPs,B$3,FALSE)/$I95,"")</f>
        <v/>
      </c>
      <c r="C95" s="66" t="str">
        <f>IFERROR(VLOOKUP($A95,[1]!LOOKUP_MDAPs,C$3,FALSE)/$I95,"")</f>
        <v/>
      </c>
      <c r="D95" s="66" t="str">
        <f>IFERROR(VLOOKUP($A95,[1]!LOOKUP_MDAPs,D$3,FALSE)/$I95,"")</f>
        <v/>
      </c>
      <c r="E95" s="66" t="str">
        <f>IFERROR(VLOOKUP($A95,[1]!LOOKUP_MDAPs,E$3,FALSE)/$I95,"")</f>
        <v/>
      </c>
      <c r="F95" s="66" t="str">
        <f>IFERROR(VLOOKUP($A95,[1]!LOOKUP_MDAPs,F$3,FALSE)/$I95,"")</f>
        <v/>
      </c>
      <c r="G95" s="66" t="str">
        <f>IFERROR(VLOOKUP($A95,[1]!LOOKUP_MDAPs,G$3,FALSE)/$I95,"")</f>
        <v/>
      </c>
      <c r="H95" s="66">
        <f t="shared" si="83"/>
        <v>1</v>
      </c>
      <c r="I95" s="65">
        <f>IFERROR(VLOOKUP($A95,[1]!LOOKUP_MDAPs,I$3,FALSE),"")</f>
        <v>0</v>
      </c>
      <c r="J95" s="64" t="e">
        <f>VLOOKUP($A95,[1]!LOOKUP_SARS_2009_Change_Breakdown,J$3,FALSE)+0</f>
        <v>#NAME?</v>
      </c>
      <c r="K95" s="64" t="e">
        <f>VLOOKUP($A95,[1]!LOOKUP_SARS_2009_Change_Breakdown,K$3,FALSE)+0</f>
        <v>#NAME?</v>
      </c>
      <c r="L95" s="64" t="e">
        <f>VLOOKUP($A95,[1]!LOOKUP_SARS_2009_Change_Breakdown,L$3,FALSE)+0</f>
        <v>#NAME?</v>
      </c>
      <c r="M95" s="64" t="e">
        <f>VLOOKUP($A95,[1]!LOOKUP_SARS_2009_Change_Breakdown,M$3,FALSE)+0</f>
        <v>#NAME?</v>
      </c>
      <c r="N95" s="64" t="e">
        <f>VLOOKUP($A95,[1]!LOOKUP_SARS_2009_Change_Breakdown,N$3,FALSE)+0</f>
        <v>#NAME?</v>
      </c>
      <c r="O95" s="64" t="e">
        <f>VLOOKUP($A95,[1]!LOOKUP_SARS_2009_Change_Breakdown,O$3,FALSE)+0</f>
        <v>#NAME?</v>
      </c>
      <c r="P95" s="64" t="e">
        <f>VLOOKUP($A95,[1]!LOOKUP_SARS_2009_Change_Breakdown,P$3,FALSE)+0</f>
        <v>#NAME?</v>
      </c>
      <c r="Q95" s="64" t="e">
        <f>VLOOKUP($A95,[1]!LOOKUP_SARS_2009_Change_Breakdown,Q$3,FALSE)+0</f>
        <v>#NAME?</v>
      </c>
      <c r="R95" s="26" t="e">
        <f>VLOOKUP($A95,[1]!LOOKUP_SARS_2009,R$3,FALSE)</f>
        <v>#NAME?</v>
      </c>
      <c r="S95" s="1" t="e">
        <f t="shared" si="84"/>
        <v>#NAME?</v>
      </c>
      <c r="CK95" s="37"/>
      <c r="CL95" s="37"/>
      <c r="CM95" s="37"/>
      <c r="CN95" s="37"/>
      <c r="CO95" s="37"/>
      <c r="CP95" s="37"/>
      <c r="CQ95" s="37"/>
      <c r="CR95" s="37"/>
      <c r="CS95" s="63"/>
      <c r="CT95" s="62"/>
      <c r="CU95" s="19"/>
    </row>
    <row r="96" spans="1:99" s="1" customFormat="1" x14ac:dyDescent="0.25">
      <c r="A96" s="92" t="s">
        <v>247</v>
      </c>
      <c r="B96" s="66" t="str">
        <f>IFERROR(VLOOKUP($A96,[1]!LOOKUP_MDAPs,B$3,FALSE)/$I96,"")</f>
        <v/>
      </c>
      <c r="C96" s="66" t="str">
        <f>IFERROR(VLOOKUP($A96,[1]!LOOKUP_MDAPs,C$3,FALSE)/$I96,"")</f>
        <v/>
      </c>
      <c r="D96" s="66" t="str">
        <f>IFERROR(VLOOKUP($A96,[1]!LOOKUP_MDAPs,D$3,FALSE)/$I96,"")</f>
        <v/>
      </c>
      <c r="E96" s="66" t="str">
        <f>IFERROR(VLOOKUP($A96,[1]!LOOKUP_MDAPs,E$3,FALSE)/$I96,"")</f>
        <v/>
      </c>
      <c r="F96" s="66" t="str">
        <f>IFERROR(VLOOKUP($A96,[1]!LOOKUP_MDAPs,F$3,FALSE)/$I96,"")</f>
        <v/>
      </c>
      <c r="G96" s="66" t="str">
        <f>IFERROR(VLOOKUP($A96,[1]!LOOKUP_MDAPs,G$3,FALSE)/$I96,"")</f>
        <v/>
      </c>
      <c r="H96" s="66">
        <f t="shared" si="83"/>
        <v>1</v>
      </c>
      <c r="I96" s="65">
        <f>IFERROR(VLOOKUP($A96,[1]!LOOKUP_MDAPs,I$3,FALSE),"")</f>
        <v>0</v>
      </c>
      <c r="J96" s="64" t="e">
        <f>VLOOKUP($A96,[1]!LOOKUP_SARS_2009_Change_Breakdown,J$3,FALSE)+0</f>
        <v>#NAME?</v>
      </c>
      <c r="K96" s="64" t="e">
        <f>VLOOKUP($A96,[1]!LOOKUP_SARS_2009_Change_Breakdown,K$3,FALSE)+0</f>
        <v>#NAME?</v>
      </c>
      <c r="L96" s="64" t="e">
        <f>VLOOKUP($A96,[1]!LOOKUP_SARS_2009_Change_Breakdown,L$3,FALSE)+0</f>
        <v>#NAME?</v>
      </c>
      <c r="M96" s="64" t="e">
        <f>VLOOKUP($A96,[1]!LOOKUP_SARS_2009_Change_Breakdown,M$3,FALSE)+0</f>
        <v>#NAME?</v>
      </c>
      <c r="N96" s="64" t="e">
        <f>VLOOKUP($A96,[1]!LOOKUP_SARS_2009_Change_Breakdown,N$3,FALSE)+0</f>
        <v>#NAME?</v>
      </c>
      <c r="O96" s="64" t="e">
        <f>VLOOKUP($A96,[1]!LOOKUP_SARS_2009_Change_Breakdown,O$3,FALSE)+0</f>
        <v>#NAME?</v>
      </c>
      <c r="P96" s="64" t="e">
        <f>VLOOKUP($A96,[1]!LOOKUP_SARS_2009_Change_Breakdown,P$3,FALSE)+0</f>
        <v>#NAME?</v>
      </c>
      <c r="Q96" s="64" t="e">
        <f>VLOOKUP($A96,[1]!LOOKUP_SARS_2009_Change_Breakdown,Q$3,FALSE)+0</f>
        <v>#NAME?</v>
      </c>
      <c r="R96" s="26" t="e">
        <f>VLOOKUP($A96,[1]!LOOKUP_SARS_2009,R$3,FALSE)</f>
        <v>#NAME?</v>
      </c>
      <c r="S96" s="1" t="e">
        <f t="shared" si="84"/>
        <v>#NAME?</v>
      </c>
      <c r="CK96" s="37"/>
      <c r="CL96" s="37"/>
      <c r="CM96" s="37"/>
      <c r="CN96" s="37"/>
      <c r="CO96" s="37"/>
      <c r="CP96" s="37"/>
      <c r="CQ96" s="37"/>
      <c r="CR96" s="37"/>
      <c r="CS96" s="63"/>
      <c r="CT96" s="62"/>
      <c r="CU96" s="19"/>
    </row>
    <row r="97" spans="1:97" s="1" customFormat="1" x14ac:dyDescent="0.25">
      <c r="A97" s="92" t="s">
        <v>50</v>
      </c>
      <c r="B97" s="66" t="str">
        <f>IFERROR(VLOOKUP($A97,[1]!LOOKUP_MDAPs,B$3,FALSE)/$I97,"")</f>
        <v/>
      </c>
      <c r="C97" s="66" t="str">
        <f>IFERROR(VLOOKUP($A97,[1]!LOOKUP_MDAPs,C$3,FALSE)/$I97,"")</f>
        <v/>
      </c>
      <c r="D97" s="66" t="str">
        <f>IFERROR(VLOOKUP($A97,[1]!LOOKUP_MDAPs,D$3,FALSE)/$I97,"")</f>
        <v/>
      </c>
      <c r="E97" s="66" t="str">
        <f>IFERROR(VLOOKUP($A97,[1]!LOOKUP_MDAPs,E$3,FALSE)/$I97,"")</f>
        <v/>
      </c>
      <c r="F97" s="66" t="str">
        <f>IFERROR(VLOOKUP($A97,[1]!LOOKUP_MDAPs,F$3,FALSE)/$I97,"")</f>
        <v/>
      </c>
      <c r="G97" s="66" t="str">
        <f>IFERROR(VLOOKUP($A97,[1]!LOOKUP_MDAPs,G$3,FALSE)/$I97,"")</f>
        <v/>
      </c>
      <c r="H97" s="66">
        <f t="shared" si="83"/>
        <v>1</v>
      </c>
      <c r="J97" s="13"/>
      <c r="K97" s="13"/>
      <c r="L97" s="14"/>
      <c r="M97" s="14"/>
      <c r="N97" s="13"/>
      <c r="O97" s="13"/>
      <c r="P97" s="13"/>
      <c r="Q97" s="13"/>
      <c r="R97" s="13"/>
      <c r="T97" s="13"/>
      <c r="U97" s="13"/>
      <c r="V97" s="13"/>
      <c r="W97" s="13"/>
      <c r="X97" s="13"/>
      <c r="Y97" s="13"/>
      <c r="Z97" s="13"/>
      <c r="AA97" s="13"/>
      <c r="AB97" s="13"/>
      <c r="CK97" s="37"/>
      <c r="CL97" s="37"/>
      <c r="CM97" s="37"/>
      <c r="CN97" s="37"/>
      <c r="CO97" s="37"/>
      <c r="CP97" s="37"/>
      <c r="CQ97" s="37"/>
      <c r="CR97" s="37"/>
    </row>
    <row r="98" spans="1:97" s="1" customFormat="1" x14ac:dyDescent="0.25">
      <c r="A98" s="92" t="s">
        <v>248</v>
      </c>
      <c r="B98" s="66" t="str">
        <f>IFERROR(VLOOKUP($A98,[1]!LOOKUP_MDAPs,B$3,FALSE)/$I98,"")</f>
        <v/>
      </c>
      <c r="C98" s="66" t="str">
        <f>IFERROR(VLOOKUP($A98,[1]!LOOKUP_MDAPs,C$3,FALSE)/$I98,"")</f>
        <v/>
      </c>
      <c r="D98" s="66" t="str">
        <f>IFERROR(VLOOKUP($A98,[1]!LOOKUP_MDAPs,D$3,FALSE)/$I98,"")</f>
        <v/>
      </c>
      <c r="E98" s="66" t="str">
        <f>IFERROR(VLOOKUP($A98,[1]!LOOKUP_MDAPs,E$3,FALSE)/$I98,"")</f>
        <v/>
      </c>
      <c r="F98" s="66" t="str">
        <f>IFERROR(VLOOKUP($A98,[1]!LOOKUP_MDAPs,F$3,FALSE)/$I98,"")</f>
        <v/>
      </c>
      <c r="G98" s="66" t="str">
        <f>IFERROR(VLOOKUP($A98,[1]!LOOKUP_MDAPs,G$3,FALSE)/$I98,"")</f>
        <v/>
      </c>
      <c r="H98" s="66">
        <f t="shared" si="83"/>
        <v>1</v>
      </c>
      <c r="J98" s="13"/>
      <c r="K98" s="13"/>
      <c r="L98" s="14"/>
      <c r="M98" s="14"/>
      <c r="N98" s="13"/>
      <c r="O98" s="13"/>
      <c r="P98" s="13"/>
      <c r="Q98" s="13"/>
      <c r="R98" s="13"/>
      <c r="T98" s="13"/>
      <c r="U98" s="13"/>
      <c r="V98" s="13"/>
      <c r="W98" s="13"/>
      <c r="X98" s="13"/>
      <c r="Y98" s="13"/>
      <c r="Z98" s="13"/>
      <c r="AA98" s="13"/>
      <c r="AB98" s="13"/>
      <c r="CK98" s="37">
        <f t="shared" ref="CK98:CR98" si="85">SUM(CK12:CK96)/ROW(CK12:CK96)</f>
        <v>0</v>
      </c>
      <c r="CL98" s="37">
        <f t="shared" si="85"/>
        <v>0</v>
      </c>
      <c r="CM98" s="37">
        <f t="shared" si="85"/>
        <v>0</v>
      </c>
      <c r="CN98" s="37">
        <f t="shared" si="85"/>
        <v>0</v>
      </c>
      <c r="CO98" s="37">
        <f t="shared" si="85"/>
        <v>0</v>
      </c>
      <c r="CP98" s="37">
        <f t="shared" si="85"/>
        <v>0</v>
      </c>
      <c r="CQ98" s="37">
        <f t="shared" si="85"/>
        <v>0</v>
      </c>
      <c r="CR98" s="37">
        <f t="shared" si="85"/>
        <v>0</v>
      </c>
      <c r="CS98" s="37">
        <f>SUM(CS12:CS96)</f>
        <v>0</v>
      </c>
    </row>
    <row r="99" spans="1:97" s="1" customFormat="1" x14ac:dyDescent="0.25">
      <c r="A99" s="92" t="s">
        <v>64</v>
      </c>
      <c r="B99" s="66" t="str">
        <f>IFERROR(VLOOKUP($A99,[1]!LOOKUP_MDAPs,B$3,FALSE)/$I99,"")</f>
        <v/>
      </c>
      <c r="C99" s="66" t="str">
        <f>IFERROR(VLOOKUP($A99,[1]!LOOKUP_MDAPs,C$3,FALSE)/$I99,"")</f>
        <v/>
      </c>
      <c r="D99" s="66" t="str">
        <f>IFERROR(VLOOKUP($A99,[1]!LOOKUP_MDAPs,D$3,FALSE)/$I99,"")</f>
        <v/>
      </c>
      <c r="E99" s="66" t="str">
        <f>IFERROR(VLOOKUP($A99,[1]!LOOKUP_MDAPs,E$3,FALSE)/$I99,"")</f>
        <v/>
      </c>
      <c r="F99" s="66" t="str">
        <f>IFERROR(VLOOKUP($A99,[1]!LOOKUP_MDAPs,F$3,FALSE)/$I99,"")</f>
        <v/>
      </c>
      <c r="G99" s="66" t="str">
        <f>IFERROR(VLOOKUP($A99,[1]!LOOKUP_MDAPs,G$3,FALSE)/$I99,"")</f>
        <v/>
      </c>
      <c r="H99" s="66">
        <f t="shared" si="83"/>
        <v>1</v>
      </c>
      <c r="J99" s="13"/>
      <c r="K99" s="13"/>
      <c r="L99" s="14"/>
      <c r="M99" s="14"/>
      <c r="N99" s="13"/>
      <c r="O99" s="13"/>
      <c r="P99" s="13"/>
      <c r="Q99" s="13"/>
      <c r="R99" s="13"/>
      <c r="T99" s="13"/>
      <c r="U99" s="13"/>
      <c r="V99" s="13"/>
      <c r="W99" s="13"/>
      <c r="X99" s="13"/>
      <c r="Y99" s="13"/>
      <c r="Z99" s="13"/>
      <c r="AA99" s="13"/>
      <c r="AB99" s="13"/>
      <c r="CK99" s="37"/>
      <c r="CL99" s="37"/>
      <c r="CM99" s="37"/>
      <c r="CN99" s="37"/>
      <c r="CO99" s="37"/>
      <c r="CP99" s="37"/>
      <c r="CQ99" s="37"/>
      <c r="CR99" s="37"/>
    </row>
    <row r="100" spans="1:97" s="1" customFormat="1" x14ac:dyDescent="0.25">
      <c r="A100" s="92" t="s">
        <v>79</v>
      </c>
      <c r="B100" s="66" t="str">
        <f>IFERROR(VLOOKUP($A100,[1]!LOOKUP_MDAPs,B$3,FALSE)/$I100,"")</f>
        <v/>
      </c>
      <c r="C100" s="66" t="str">
        <f>IFERROR(VLOOKUP($A100,[1]!LOOKUP_MDAPs,C$3,FALSE)/$I100,"")</f>
        <v/>
      </c>
      <c r="D100" s="66" t="str">
        <f>IFERROR(VLOOKUP($A100,[1]!LOOKUP_MDAPs,D$3,FALSE)/$I100,"")</f>
        <v/>
      </c>
      <c r="E100" s="66" t="str">
        <f>IFERROR(VLOOKUP($A100,[1]!LOOKUP_MDAPs,E$3,FALSE)/$I100,"")</f>
        <v/>
      </c>
      <c r="F100" s="66" t="str">
        <f>IFERROR(VLOOKUP($A100,[1]!LOOKUP_MDAPs,F$3,FALSE)/$I100,"")</f>
        <v/>
      </c>
      <c r="G100" s="66" t="str">
        <f>IFERROR(VLOOKUP($A100,[1]!LOOKUP_MDAPs,G$3,FALSE)/$I100,"")</f>
        <v/>
      </c>
      <c r="H100" s="66">
        <f t="shared" si="83"/>
        <v>1</v>
      </c>
      <c r="J100" s="13"/>
      <c r="K100" s="13"/>
      <c r="L100" s="14"/>
      <c r="M100" s="14"/>
      <c r="N100" s="13"/>
      <c r="O100" s="13"/>
      <c r="P100" s="13"/>
      <c r="Q100" s="13"/>
      <c r="R100" s="13"/>
      <c r="T100" s="13"/>
      <c r="U100" s="13"/>
      <c r="V100" s="13"/>
      <c r="W100" s="13"/>
      <c r="X100" s="13"/>
      <c r="Y100" s="13"/>
      <c r="Z100" s="13"/>
      <c r="AA100" s="13"/>
      <c r="AB100" s="13"/>
      <c r="CK100" s="37"/>
      <c r="CL100" s="37"/>
      <c r="CM100" s="37"/>
      <c r="CN100" s="37"/>
      <c r="CO100" s="37"/>
      <c r="CP100" s="37"/>
      <c r="CQ100" s="37"/>
      <c r="CR100" s="37"/>
    </row>
    <row r="101" spans="1:97" s="1" customFormat="1" x14ac:dyDescent="0.25">
      <c r="A101" s="92" t="s">
        <v>67</v>
      </c>
      <c r="B101" s="66" t="str">
        <f>IFERROR(VLOOKUP($A101,[1]!LOOKUP_MDAPs,B$3,FALSE)/$I101,"")</f>
        <v/>
      </c>
      <c r="C101" s="66" t="str">
        <f>IFERROR(VLOOKUP($A101,[1]!LOOKUP_MDAPs,C$3,FALSE)/$I101,"")</f>
        <v/>
      </c>
      <c r="D101" s="66" t="str">
        <f>IFERROR(VLOOKUP($A101,[1]!LOOKUP_MDAPs,D$3,FALSE)/$I101,"")</f>
        <v/>
      </c>
      <c r="E101" s="66" t="str">
        <f>IFERROR(VLOOKUP($A101,[1]!LOOKUP_MDAPs,E$3,FALSE)/$I101,"")</f>
        <v/>
      </c>
      <c r="F101" s="66" t="str">
        <f>IFERROR(VLOOKUP($A101,[1]!LOOKUP_MDAPs,F$3,FALSE)/$I101,"")</f>
        <v/>
      </c>
      <c r="G101" s="66" t="str">
        <f>IFERROR(VLOOKUP($A101,[1]!LOOKUP_MDAPs,G$3,FALSE)/$I101,"")</f>
        <v/>
      </c>
      <c r="H101" s="66">
        <f t="shared" si="83"/>
        <v>1</v>
      </c>
      <c r="J101" s="13"/>
      <c r="K101" s="13"/>
      <c r="L101" s="14"/>
      <c r="M101" s="14"/>
      <c r="N101" s="13"/>
      <c r="O101" s="13"/>
      <c r="P101" s="13"/>
      <c r="Q101" s="13"/>
      <c r="R101" s="13"/>
      <c r="T101" s="13"/>
      <c r="U101" s="13"/>
      <c r="V101" s="13"/>
      <c r="W101" s="13"/>
      <c r="X101" s="13"/>
      <c r="Y101" s="13"/>
      <c r="Z101" s="13"/>
      <c r="AA101" s="13"/>
      <c r="AB101" s="13"/>
      <c r="CK101" s="37"/>
      <c r="CL101" s="37"/>
      <c r="CM101" s="37"/>
      <c r="CN101" s="37"/>
      <c r="CO101" s="37"/>
      <c r="CP101" s="37"/>
      <c r="CQ101" s="37"/>
      <c r="CR101" s="37"/>
    </row>
    <row r="102" spans="1:97" s="1" customFormat="1" x14ac:dyDescent="0.25">
      <c r="A102" s="92" t="s">
        <v>75</v>
      </c>
      <c r="B102" s="66" t="str">
        <f>IFERROR(VLOOKUP($A102,[1]!LOOKUP_MDAPs,B$3,FALSE)/$I102,"")</f>
        <v/>
      </c>
      <c r="C102" s="66" t="str">
        <f>IFERROR(VLOOKUP($A102,[1]!LOOKUP_MDAPs,C$3,FALSE)/$I102,"")</f>
        <v/>
      </c>
      <c r="D102" s="66" t="str">
        <f>IFERROR(VLOOKUP($A102,[1]!LOOKUP_MDAPs,D$3,FALSE)/$I102,"")</f>
        <v/>
      </c>
      <c r="E102" s="66" t="str">
        <f>IFERROR(VLOOKUP($A102,[1]!LOOKUP_MDAPs,E$3,FALSE)/$I102,"")</f>
        <v/>
      </c>
      <c r="F102" s="66" t="str">
        <f>IFERROR(VLOOKUP($A102,[1]!LOOKUP_MDAPs,F$3,FALSE)/$I102,"")</f>
        <v/>
      </c>
      <c r="G102" s="66" t="str">
        <f>IFERROR(VLOOKUP($A102,[1]!LOOKUP_MDAPs,G$3,FALSE)/$I102,"")</f>
        <v/>
      </c>
      <c r="H102" s="66">
        <f t="shared" si="83"/>
        <v>1</v>
      </c>
      <c r="J102" s="13"/>
      <c r="K102" s="13"/>
      <c r="L102" s="14"/>
      <c r="M102" s="14"/>
      <c r="N102" s="13"/>
      <c r="O102" s="13"/>
      <c r="P102" s="13"/>
      <c r="Q102" s="13"/>
      <c r="R102" s="13"/>
      <c r="T102" s="13"/>
      <c r="U102" s="13"/>
      <c r="V102" s="13"/>
      <c r="W102" s="13"/>
      <c r="X102" s="13"/>
      <c r="Y102" s="13"/>
      <c r="Z102" s="13"/>
      <c r="AA102" s="13"/>
      <c r="AB102" s="13"/>
      <c r="CK102" s="37"/>
      <c r="CL102" s="37"/>
      <c r="CM102" s="37"/>
      <c r="CN102" s="37"/>
      <c r="CO102" s="37"/>
      <c r="CP102" s="37"/>
      <c r="CQ102" s="37"/>
      <c r="CR102" s="37"/>
    </row>
    <row r="103" spans="1:97" s="1" customFormat="1" x14ac:dyDescent="0.25">
      <c r="A103" s="92" t="s">
        <v>254</v>
      </c>
      <c r="B103" s="66" t="str">
        <f>IFERROR(VLOOKUP($A103,[1]!LOOKUP_MDAPs,B$3,FALSE)/$I103,"")</f>
        <v/>
      </c>
      <c r="C103" s="66" t="str">
        <f>IFERROR(VLOOKUP($A103,[1]!LOOKUP_MDAPs,C$3,FALSE)/$I103,"")</f>
        <v/>
      </c>
      <c r="D103" s="66" t="str">
        <f>IFERROR(VLOOKUP($A103,[1]!LOOKUP_MDAPs,D$3,FALSE)/$I103,"")</f>
        <v/>
      </c>
      <c r="E103" s="66" t="str">
        <f>IFERROR(VLOOKUP($A103,[1]!LOOKUP_MDAPs,E$3,FALSE)/$I103,"")</f>
        <v/>
      </c>
      <c r="F103" s="66" t="str">
        <f>IFERROR(VLOOKUP($A103,[1]!LOOKUP_MDAPs,F$3,FALSE)/$I103,"")</f>
        <v/>
      </c>
      <c r="G103" s="66" t="str">
        <f>IFERROR(VLOOKUP($A103,[1]!LOOKUP_MDAPs,G$3,FALSE)/$I103,"")</f>
        <v/>
      </c>
      <c r="H103" s="66">
        <f t="shared" si="83"/>
        <v>1</v>
      </c>
      <c r="I103" s="59"/>
      <c r="J103" s="59"/>
      <c r="K103" s="59"/>
      <c r="L103" s="59"/>
      <c r="M103" s="59"/>
      <c r="N103" s="59"/>
      <c r="O103" s="59"/>
      <c r="P103" s="13"/>
      <c r="Q103" s="13"/>
      <c r="R103" s="13"/>
      <c r="T103" s="13"/>
      <c r="U103" s="13"/>
      <c r="V103" s="13"/>
      <c r="W103" s="13"/>
      <c r="X103" s="13"/>
      <c r="Y103" s="13"/>
      <c r="Z103" s="13"/>
      <c r="AA103" s="13"/>
      <c r="AB103" s="13"/>
      <c r="CK103" s="37"/>
      <c r="CL103" s="37"/>
      <c r="CM103" s="37"/>
      <c r="CN103" s="37"/>
      <c r="CO103" s="37"/>
      <c r="CP103" s="37"/>
      <c r="CQ103" s="37"/>
      <c r="CR103" s="37"/>
    </row>
    <row r="104" spans="1:97" s="1" customFormat="1" x14ac:dyDescent="0.25">
      <c r="A104" s="92" t="s">
        <v>42</v>
      </c>
      <c r="B104" s="66" t="str">
        <f>IFERROR(VLOOKUP($A104,[1]!LOOKUP_MDAPs,B$3,FALSE)/$I104,"")</f>
        <v/>
      </c>
      <c r="C104" s="66" t="str">
        <f>IFERROR(VLOOKUP($A104,[1]!LOOKUP_MDAPs,C$3,FALSE)/$I104,"")</f>
        <v/>
      </c>
      <c r="D104" s="66" t="str">
        <f>IFERROR(VLOOKUP($A104,[1]!LOOKUP_MDAPs,D$3,FALSE)/$I104,"")</f>
        <v/>
      </c>
      <c r="E104" s="66" t="str">
        <f>IFERROR(VLOOKUP($A104,[1]!LOOKUP_MDAPs,E$3,FALSE)/$I104,"")</f>
        <v/>
      </c>
      <c r="F104" s="66" t="str">
        <f>IFERROR(VLOOKUP($A104,[1]!LOOKUP_MDAPs,F$3,FALSE)/$I104,"")</f>
        <v/>
      </c>
      <c r="G104" s="66" t="str">
        <f>IFERROR(VLOOKUP($A104,[1]!LOOKUP_MDAPs,G$3,FALSE)/$I104,"")</f>
        <v/>
      </c>
      <c r="H104" s="66">
        <f t="shared" si="83"/>
        <v>1</v>
      </c>
      <c r="J104" s="13"/>
      <c r="K104" s="13"/>
      <c r="L104" s="14"/>
      <c r="M104" s="14"/>
      <c r="N104" s="13"/>
      <c r="O104" s="13"/>
      <c r="P104" s="13"/>
      <c r="Q104" s="13"/>
      <c r="R104" s="13"/>
      <c r="T104" s="13"/>
      <c r="U104" s="13"/>
      <c r="V104" s="13"/>
      <c r="W104" s="13"/>
      <c r="X104" s="13"/>
      <c r="Y104" s="13"/>
      <c r="Z104" s="13"/>
      <c r="AA104" s="13"/>
      <c r="AB104" s="13"/>
      <c r="CK104" s="37"/>
      <c r="CL104" s="37"/>
      <c r="CM104" s="37"/>
      <c r="CN104" s="37"/>
      <c r="CO104" s="37"/>
      <c r="CP104" s="37"/>
      <c r="CQ104" s="37"/>
      <c r="CR104" s="37"/>
    </row>
    <row r="105" spans="1:97" s="1" customFormat="1" x14ac:dyDescent="0.25">
      <c r="A105" s="92" t="s">
        <v>52</v>
      </c>
      <c r="B105" s="66" t="str">
        <f>IFERROR(VLOOKUP($A105,[1]!LOOKUP_MDAPs,B$3,FALSE)/$I105,"")</f>
        <v/>
      </c>
      <c r="C105" s="66" t="str">
        <f>IFERROR(VLOOKUP($A105,[1]!LOOKUP_MDAPs,C$3,FALSE)/$I105,"")</f>
        <v/>
      </c>
      <c r="D105" s="66" t="str">
        <f>IFERROR(VLOOKUP($A105,[1]!LOOKUP_MDAPs,D$3,FALSE)/$I105,"")</f>
        <v/>
      </c>
      <c r="E105" s="66" t="str">
        <f>IFERROR(VLOOKUP($A105,[1]!LOOKUP_MDAPs,E$3,FALSE)/$I105,"")</f>
        <v/>
      </c>
      <c r="F105" s="66" t="str">
        <f>IFERROR(VLOOKUP($A105,[1]!LOOKUP_MDAPs,F$3,FALSE)/$I105,"")</f>
        <v/>
      </c>
      <c r="G105" s="66" t="str">
        <f>IFERROR(VLOOKUP($A105,[1]!LOOKUP_MDAPs,G$3,FALSE)/$I105,"")</f>
        <v/>
      </c>
      <c r="H105" s="66">
        <f t="shared" si="83"/>
        <v>1</v>
      </c>
      <c r="J105" s="13"/>
      <c r="K105" s="13"/>
      <c r="L105" s="14"/>
      <c r="M105" s="14"/>
      <c r="N105" s="13"/>
      <c r="O105" s="13"/>
      <c r="P105" s="13"/>
      <c r="Q105" s="13"/>
      <c r="R105" s="13"/>
      <c r="T105" s="13"/>
      <c r="U105" s="13"/>
      <c r="V105" s="13"/>
      <c r="W105" s="13"/>
      <c r="X105" s="13"/>
      <c r="Y105" s="13"/>
      <c r="Z105" s="13"/>
      <c r="AA105" s="13"/>
      <c r="AB105" s="13"/>
      <c r="CK105" s="37"/>
      <c r="CL105" s="37"/>
      <c r="CM105" s="37"/>
      <c r="CN105" s="37"/>
      <c r="CO105" s="37"/>
      <c r="CP105" s="37"/>
      <c r="CQ105" s="37"/>
      <c r="CR105" s="37"/>
    </row>
    <row r="106" spans="1:97" s="1" customFormat="1" x14ac:dyDescent="0.25">
      <c r="A106" s="92" t="s">
        <v>249</v>
      </c>
      <c r="B106" s="66" t="str">
        <f>IFERROR(VLOOKUP($A106,[1]!LOOKUP_MDAPs,B$3,FALSE)/$I106,"")</f>
        <v/>
      </c>
      <c r="C106" s="66" t="str">
        <f>IFERROR(VLOOKUP($A106,[1]!LOOKUP_MDAPs,C$3,FALSE)/$I106,"")</f>
        <v/>
      </c>
      <c r="D106" s="66" t="str">
        <f>IFERROR(VLOOKUP($A106,[1]!LOOKUP_MDAPs,D$3,FALSE)/$I106,"")</f>
        <v/>
      </c>
      <c r="E106" s="66" t="str">
        <f>IFERROR(VLOOKUP($A106,[1]!LOOKUP_MDAPs,E$3,FALSE)/$I106,"")</f>
        <v/>
      </c>
      <c r="F106" s="66" t="str">
        <f>IFERROR(VLOOKUP($A106,[1]!LOOKUP_MDAPs,F$3,FALSE)/$I106,"")</f>
        <v/>
      </c>
      <c r="G106" s="66" t="str">
        <f>IFERROR(VLOOKUP($A106,[1]!LOOKUP_MDAPs,G$3,FALSE)/$I106,"")</f>
        <v/>
      </c>
      <c r="H106" s="66">
        <f t="shared" si="83"/>
        <v>1</v>
      </c>
      <c r="J106" s="13"/>
      <c r="K106" s="13"/>
      <c r="L106" s="14"/>
      <c r="M106" s="14"/>
      <c r="N106" s="13"/>
      <c r="O106" s="13"/>
      <c r="P106" s="13"/>
      <c r="Q106" s="13"/>
      <c r="R106" s="13"/>
      <c r="T106" s="13"/>
      <c r="U106" s="13"/>
      <c r="V106" s="13"/>
      <c r="W106" s="13"/>
      <c r="X106" s="13"/>
      <c r="Y106" s="13"/>
      <c r="Z106" s="13"/>
      <c r="AA106" s="13"/>
      <c r="AB106" s="13"/>
      <c r="CK106" s="37"/>
      <c r="CL106" s="37"/>
      <c r="CM106" s="37"/>
      <c r="CN106" s="37"/>
      <c r="CO106" s="37"/>
      <c r="CP106" s="37"/>
      <c r="CQ106" s="37"/>
      <c r="CR106" s="37"/>
    </row>
    <row r="107" spans="1:97" s="1" customFormat="1" x14ac:dyDescent="0.25">
      <c r="A107" t="s">
        <v>222</v>
      </c>
      <c r="B107" s="66" t="str">
        <f>IFERROR(VLOOKUP($A107,[1]!LOOKUP_MDAPs,B$3,FALSE)/$I107,"")</f>
        <v/>
      </c>
      <c r="C107" s="66" t="str">
        <f>IFERROR(VLOOKUP($A107,[1]!LOOKUP_MDAPs,C$3,FALSE)/$I107,"")</f>
        <v/>
      </c>
      <c r="D107" s="66" t="str">
        <f>IFERROR(VLOOKUP($A107,[1]!LOOKUP_MDAPs,D$3,FALSE)/$I107,"")</f>
        <v/>
      </c>
      <c r="E107" s="66" t="str">
        <f>IFERROR(VLOOKUP($A107,[1]!LOOKUP_MDAPs,E$3,FALSE)/$I107,"")</f>
        <v/>
      </c>
      <c r="F107" s="66" t="str">
        <f>IFERROR(VLOOKUP($A107,[1]!LOOKUP_MDAPs,F$3,FALSE)/$I107,"")</f>
        <v/>
      </c>
      <c r="G107" s="66" t="str">
        <f>IFERROR(VLOOKUP($A107,[1]!LOOKUP_MDAPs,G$3,FALSE)/$I107,"")</f>
        <v/>
      </c>
      <c r="H107" s="66">
        <f t="shared" si="83"/>
        <v>1</v>
      </c>
      <c r="J107" s="13"/>
      <c r="K107" s="13"/>
      <c r="L107" s="14"/>
      <c r="M107" s="14"/>
      <c r="N107" s="13"/>
      <c r="O107" s="13"/>
      <c r="P107" s="13"/>
      <c r="Q107" s="13"/>
      <c r="R107" s="13"/>
      <c r="T107" s="13"/>
      <c r="U107" s="13"/>
      <c r="V107" s="13"/>
      <c r="W107" s="13"/>
      <c r="X107" s="13"/>
      <c r="Y107" s="13"/>
      <c r="Z107" s="13"/>
      <c r="AA107" s="13"/>
      <c r="AB107" s="13"/>
      <c r="CK107" s="37"/>
      <c r="CL107" s="37"/>
      <c r="CM107" s="37"/>
      <c r="CN107" s="37"/>
      <c r="CO107" s="37"/>
      <c r="CP107" s="37"/>
      <c r="CQ107" s="37"/>
      <c r="CR107" s="37"/>
    </row>
    <row r="108" spans="1:97" s="1" customFormat="1" x14ac:dyDescent="0.25">
      <c r="A108" t="s">
        <v>49</v>
      </c>
      <c r="B108" s="66" t="str">
        <f>IFERROR(VLOOKUP($A108,[1]!LOOKUP_MDAPs,B$3,FALSE)/$I108,"")</f>
        <v/>
      </c>
      <c r="C108" s="66" t="str">
        <f>IFERROR(VLOOKUP($A108,[1]!LOOKUP_MDAPs,C$3,FALSE)/$I108,"")</f>
        <v/>
      </c>
      <c r="D108" s="66" t="str">
        <f>IFERROR(VLOOKUP($A108,[1]!LOOKUP_MDAPs,D$3,FALSE)/$I108,"")</f>
        <v/>
      </c>
      <c r="E108" s="66" t="str">
        <f>IFERROR(VLOOKUP($A108,[1]!LOOKUP_MDAPs,E$3,FALSE)/$I108,"")</f>
        <v/>
      </c>
      <c r="F108" s="66" t="str">
        <f>IFERROR(VLOOKUP($A108,[1]!LOOKUP_MDAPs,F$3,FALSE)/$I108,"")</f>
        <v/>
      </c>
      <c r="G108" s="66" t="str">
        <f>IFERROR(VLOOKUP($A108,[1]!LOOKUP_MDAPs,G$3,FALSE)/$I108,"")</f>
        <v/>
      </c>
      <c r="H108" s="66">
        <f t="shared" si="83"/>
        <v>1</v>
      </c>
      <c r="J108" s="13"/>
      <c r="K108" s="13"/>
      <c r="L108" s="14"/>
      <c r="M108" s="14"/>
      <c r="N108" s="13"/>
      <c r="O108" s="13"/>
      <c r="P108" s="13"/>
      <c r="Q108" s="13"/>
      <c r="R108" s="13"/>
      <c r="T108" s="13"/>
      <c r="U108" s="13"/>
      <c r="V108" s="13"/>
      <c r="W108" s="13"/>
      <c r="X108" s="13"/>
      <c r="Y108" s="13"/>
      <c r="Z108" s="13"/>
      <c r="AA108" s="13"/>
      <c r="AB108" s="13"/>
      <c r="CK108" s="37"/>
      <c r="CL108" s="37"/>
      <c r="CM108" s="37"/>
      <c r="CN108" s="37"/>
      <c r="CO108" s="37"/>
      <c r="CP108" s="37"/>
      <c r="CQ108" s="37"/>
      <c r="CR108" s="37"/>
    </row>
    <row r="109" spans="1:97" s="1" customFormat="1" x14ac:dyDescent="0.25">
      <c r="A109" t="s">
        <v>60</v>
      </c>
      <c r="B109" s="66" t="str">
        <f>IFERROR(VLOOKUP($A109,[1]!LOOKUP_MDAPs,B$3,FALSE)/$I109,"")</f>
        <v/>
      </c>
      <c r="C109" s="66" t="str">
        <f>IFERROR(VLOOKUP($A109,[1]!LOOKUP_MDAPs,C$3,FALSE)/$I109,"")</f>
        <v/>
      </c>
      <c r="D109" s="66" t="str">
        <f>IFERROR(VLOOKUP($A109,[1]!LOOKUP_MDAPs,D$3,FALSE)/$I109,"")</f>
        <v/>
      </c>
      <c r="E109" s="66" t="str">
        <f>IFERROR(VLOOKUP($A109,[1]!LOOKUP_MDAPs,E$3,FALSE)/$I109,"")</f>
        <v/>
      </c>
      <c r="F109" s="66" t="str">
        <f>IFERROR(VLOOKUP($A109,[1]!LOOKUP_MDAPs,F$3,FALSE)/$I109,"")</f>
        <v/>
      </c>
      <c r="G109" s="66" t="str">
        <f>IFERROR(VLOOKUP($A109,[1]!LOOKUP_MDAPs,G$3,FALSE)/$I109,"")</f>
        <v/>
      </c>
      <c r="H109" s="66">
        <f t="shared" si="83"/>
        <v>1</v>
      </c>
      <c r="J109" s="13"/>
      <c r="K109" s="13"/>
      <c r="L109" s="14"/>
      <c r="M109" s="14"/>
      <c r="N109" s="13"/>
      <c r="O109" s="13"/>
      <c r="P109" s="13"/>
      <c r="Q109" s="13"/>
      <c r="R109" s="13"/>
      <c r="T109" s="13"/>
      <c r="U109" s="13"/>
      <c r="V109" s="13"/>
      <c r="W109" s="13"/>
      <c r="X109" s="13"/>
      <c r="Y109" s="13"/>
      <c r="Z109" s="13"/>
      <c r="AA109" s="13"/>
      <c r="AB109" s="13"/>
      <c r="CK109" s="37"/>
      <c r="CL109" s="37"/>
      <c r="CM109" s="37"/>
      <c r="CN109" s="37"/>
      <c r="CO109" s="37"/>
      <c r="CP109" s="37"/>
      <c r="CQ109" s="37"/>
      <c r="CR109" s="37"/>
    </row>
    <row r="110" spans="1:97" s="1" customFormat="1" x14ac:dyDescent="0.25">
      <c r="A110" s="92" t="s">
        <v>223</v>
      </c>
      <c r="B110" s="66" t="str">
        <f>IFERROR(VLOOKUP($A110,[1]!LOOKUP_MDAPs,B$3,FALSE)/$I110,"")</f>
        <v/>
      </c>
      <c r="C110" s="66" t="str">
        <f>IFERROR(VLOOKUP($A110,[1]!LOOKUP_MDAPs,C$3,FALSE)/$I110,"")</f>
        <v/>
      </c>
      <c r="D110" s="66" t="str">
        <f>IFERROR(VLOOKUP($A110,[1]!LOOKUP_MDAPs,D$3,FALSE)/$I110,"")</f>
        <v/>
      </c>
      <c r="E110" s="66" t="str">
        <f>IFERROR(VLOOKUP($A110,[1]!LOOKUP_MDAPs,E$3,FALSE)/$I110,"")</f>
        <v/>
      </c>
      <c r="F110" s="66" t="str">
        <f>IFERROR(VLOOKUP($A110,[1]!LOOKUP_MDAPs,F$3,FALSE)/$I110,"")</f>
        <v/>
      </c>
      <c r="G110" s="66" t="str">
        <f>IFERROR(VLOOKUP($A110,[1]!LOOKUP_MDAPs,G$3,FALSE)/$I110,"")</f>
        <v/>
      </c>
      <c r="H110" s="66">
        <f t="shared" si="83"/>
        <v>1</v>
      </c>
      <c r="J110" s="13"/>
      <c r="K110" s="13"/>
      <c r="L110" s="14"/>
      <c r="M110" s="14"/>
      <c r="N110" s="13"/>
      <c r="O110" s="13"/>
      <c r="P110" s="13"/>
      <c r="Q110" s="13"/>
      <c r="R110" s="13"/>
      <c r="T110" s="13"/>
      <c r="U110" s="13"/>
      <c r="V110" s="13"/>
      <c r="W110" s="13"/>
      <c r="X110" s="13"/>
      <c r="Y110" s="13"/>
      <c r="Z110" s="13"/>
      <c r="AA110" s="13"/>
      <c r="AB110" s="13"/>
      <c r="CK110" s="37"/>
      <c r="CL110" s="37"/>
      <c r="CM110" s="37"/>
      <c r="CN110" s="37"/>
      <c r="CO110" s="37"/>
      <c r="CP110" s="37"/>
      <c r="CQ110" s="37"/>
      <c r="CR110" s="37"/>
    </row>
    <row r="111" spans="1:97" s="1" customFormat="1" x14ac:dyDescent="0.25">
      <c r="A111" t="s">
        <v>56</v>
      </c>
      <c r="B111" s="66" t="str">
        <f>IFERROR(VLOOKUP($A111,[1]!LOOKUP_MDAPs,B$3,FALSE)/$I111,"")</f>
        <v/>
      </c>
      <c r="C111" s="66" t="str">
        <f>IFERROR(VLOOKUP($A111,[1]!LOOKUP_MDAPs,C$3,FALSE)/$I111,"")</f>
        <v/>
      </c>
      <c r="D111" s="66" t="str">
        <f>IFERROR(VLOOKUP($A111,[1]!LOOKUP_MDAPs,D$3,FALSE)/$I111,"")</f>
        <v/>
      </c>
      <c r="E111" s="66" t="str">
        <f>IFERROR(VLOOKUP($A111,[1]!LOOKUP_MDAPs,E$3,FALSE)/$I111,"")</f>
        <v/>
      </c>
      <c r="F111" s="66" t="str">
        <f>IFERROR(VLOOKUP($A111,[1]!LOOKUP_MDAPs,F$3,FALSE)/$I111,"")</f>
        <v/>
      </c>
      <c r="G111" s="66" t="str">
        <f>IFERROR(VLOOKUP($A111,[1]!LOOKUP_MDAPs,G$3,FALSE)/$I111,"")</f>
        <v/>
      </c>
      <c r="H111" s="66">
        <f t="shared" si="83"/>
        <v>1</v>
      </c>
      <c r="J111" s="13"/>
      <c r="K111" s="13"/>
      <c r="L111" s="14"/>
      <c r="M111" s="14"/>
      <c r="N111" s="13"/>
      <c r="O111" s="13"/>
      <c r="P111" s="13"/>
      <c r="Q111" s="13"/>
      <c r="R111" s="13"/>
      <c r="T111" s="13"/>
      <c r="U111" s="13"/>
      <c r="V111" s="13"/>
      <c r="W111" s="13"/>
      <c r="X111" s="13"/>
      <c r="Y111" s="13"/>
      <c r="Z111" s="13"/>
      <c r="AA111" s="13"/>
      <c r="AB111" s="13"/>
      <c r="CK111" s="37"/>
      <c r="CL111" s="37"/>
      <c r="CM111" s="37"/>
      <c r="CN111" s="37"/>
      <c r="CO111" s="37"/>
      <c r="CP111" s="37"/>
      <c r="CQ111" s="37"/>
      <c r="CR111" s="37"/>
    </row>
    <row r="112" spans="1:97" s="1" customFormat="1" x14ac:dyDescent="0.25">
      <c r="A112" t="s">
        <v>59</v>
      </c>
      <c r="B112" s="66" t="str">
        <f>IFERROR(VLOOKUP($A112,[1]!LOOKUP_MDAPs,B$3,FALSE)/$I112,"")</f>
        <v/>
      </c>
      <c r="C112" s="66" t="str">
        <f>IFERROR(VLOOKUP($A112,[1]!LOOKUP_MDAPs,C$3,FALSE)/$I112,"")</f>
        <v/>
      </c>
      <c r="D112" s="66" t="str">
        <f>IFERROR(VLOOKUP($A112,[1]!LOOKUP_MDAPs,D$3,FALSE)/$I112,"")</f>
        <v/>
      </c>
      <c r="E112" s="66" t="str">
        <f>IFERROR(VLOOKUP($A112,[1]!LOOKUP_MDAPs,E$3,FALSE)/$I112,"")</f>
        <v/>
      </c>
      <c r="F112" s="66" t="str">
        <f>IFERROR(VLOOKUP($A112,[1]!LOOKUP_MDAPs,F$3,FALSE)/$I112,"")</f>
        <v/>
      </c>
      <c r="G112" s="66" t="str">
        <f>IFERROR(VLOOKUP($A112,[1]!LOOKUP_MDAPs,G$3,FALSE)/$I112,"")</f>
        <v/>
      </c>
      <c r="H112" s="66">
        <f t="shared" si="83"/>
        <v>1</v>
      </c>
      <c r="J112" s="13"/>
      <c r="K112" s="13"/>
      <c r="L112" s="14"/>
      <c r="M112" s="14"/>
      <c r="N112" s="13"/>
      <c r="O112" s="13"/>
      <c r="P112" s="13"/>
      <c r="Q112" s="13"/>
      <c r="R112" s="13"/>
      <c r="T112" s="13"/>
      <c r="U112" s="13"/>
      <c r="V112" s="13"/>
      <c r="W112" s="13"/>
      <c r="X112" s="13"/>
      <c r="Y112" s="13"/>
      <c r="Z112" s="13"/>
      <c r="AA112" s="13"/>
      <c r="AB112" s="13"/>
      <c r="CK112" s="37"/>
      <c r="CL112" s="37"/>
      <c r="CM112" s="37"/>
      <c r="CN112" s="37"/>
      <c r="CO112" s="37"/>
      <c r="CP112" s="37"/>
      <c r="CQ112" s="37"/>
      <c r="CR112" s="37"/>
    </row>
    <row r="113" spans="1:8" x14ac:dyDescent="0.25">
      <c r="A113" t="s">
        <v>43</v>
      </c>
      <c r="B113" s="66" t="str">
        <f>IFERROR(VLOOKUP($A113,[1]!LOOKUP_MDAPs,B$3,FALSE)/$I113,"")</f>
        <v/>
      </c>
      <c r="C113" s="66" t="str">
        <f>IFERROR(VLOOKUP($A113,[1]!LOOKUP_MDAPs,C$3,FALSE)/$I113,"")</f>
        <v/>
      </c>
      <c r="D113" s="66" t="str">
        <f>IFERROR(VLOOKUP($A113,[1]!LOOKUP_MDAPs,D$3,FALSE)/$I113,"")</f>
        <v/>
      </c>
      <c r="E113" s="66" t="str">
        <f>IFERROR(VLOOKUP($A113,[1]!LOOKUP_MDAPs,E$3,FALSE)/$I113,"")</f>
        <v/>
      </c>
      <c r="F113" s="66" t="str">
        <f>IFERROR(VLOOKUP($A113,[1]!LOOKUP_MDAPs,F$3,FALSE)/$I113,"")</f>
        <v/>
      </c>
      <c r="G113" s="66" t="str">
        <f>IFERROR(VLOOKUP($A113,[1]!LOOKUP_MDAPs,G$3,FALSE)/$I113,"")</f>
        <v/>
      </c>
      <c r="H113" s="66">
        <f t="shared" si="83"/>
        <v>1</v>
      </c>
    </row>
    <row r="114" spans="1:8" x14ac:dyDescent="0.25">
      <c r="A114" t="s">
        <v>57</v>
      </c>
      <c r="B114" s="66" t="str">
        <f>IFERROR(VLOOKUP($A114,[1]!LOOKUP_MDAPs,B$3,FALSE)/$I114,"")</f>
        <v/>
      </c>
      <c r="C114" s="66" t="str">
        <f>IFERROR(VLOOKUP($A114,[1]!LOOKUP_MDAPs,C$3,FALSE)/$I114,"")</f>
        <v/>
      </c>
      <c r="D114" s="66" t="str">
        <f>IFERROR(VLOOKUP($A114,[1]!LOOKUP_MDAPs,D$3,FALSE)/$I114,"")</f>
        <v/>
      </c>
      <c r="E114" s="66" t="str">
        <f>IFERROR(VLOOKUP($A114,[1]!LOOKUP_MDAPs,E$3,FALSE)/$I114,"")</f>
        <v/>
      </c>
      <c r="F114" s="66" t="str">
        <f>IFERROR(VLOOKUP($A114,[1]!LOOKUP_MDAPs,F$3,FALSE)/$I114,"")</f>
        <v/>
      </c>
      <c r="G114" s="66" t="str">
        <f>IFERROR(VLOOKUP($A114,[1]!LOOKUP_MDAPs,G$3,FALSE)/$I114,"")</f>
        <v/>
      </c>
      <c r="H114" s="66">
        <f t="shared" si="83"/>
        <v>1</v>
      </c>
    </row>
    <row r="115" spans="1:8" x14ac:dyDescent="0.25">
      <c r="A115" t="s">
        <v>185</v>
      </c>
      <c r="B115" s="66" t="str">
        <f>IFERROR(VLOOKUP($A115,[1]!LOOKUP_MDAPs,B$3,FALSE)/$I115,"")</f>
        <v/>
      </c>
      <c r="C115" s="66" t="str">
        <f>IFERROR(VLOOKUP($A115,[1]!LOOKUP_MDAPs,C$3,FALSE)/$I115,"")</f>
        <v/>
      </c>
      <c r="D115" s="66" t="str">
        <f>IFERROR(VLOOKUP($A115,[1]!LOOKUP_MDAPs,D$3,FALSE)/$I115,"")</f>
        <v/>
      </c>
      <c r="E115" s="66" t="str">
        <f>IFERROR(VLOOKUP($A115,[1]!LOOKUP_MDAPs,E$3,FALSE)/$I115,"")</f>
        <v/>
      </c>
      <c r="F115" s="66" t="str">
        <f>IFERROR(VLOOKUP($A115,[1]!LOOKUP_MDAPs,F$3,FALSE)/$I115,"")</f>
        <v/>
      </c>
      <c r="G115" s="66" t="str">
        <f>IFERROR(VLOOKUP($A115,[1]!LOOKUP_MDAPs,G$3,FALSE)/$I115,"")</f>
        <v/>
      </c>
      <c r="H115" s="66">
        <f t="shared" si="83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37</vt:i4>
      </vt:variant>
    </vt:vector>
  </HeadingPairs>
  <TitlesOfParts>
    <vt:vector size="48" baseType="lpstr">
      <vt:lpstr>Overall Scatter</vt:lpstr>
      <vt:lpstr>Reason-Bar</vt:lpstr>
      <vt:lpstr>Time-Cost-Scatter</vt:lpstr>
      <vt:lpstr>Service-Scatter</vt:lpstr>
      <vt:lpstr>Service-Bar</vt:lpstr>
      <vt:lpstr>Prime-Scatter</vt:lpstr>
      <vt:lpstr>Prime-Bar</vt:lpstr>
      <vt:lpstr>Comp-Bar</vt:lpstr>
      <vt:lpstr>Comp-Detail</vt:lpstr>
      <vt:lpstr>Funding-Bar</vt:lpstr>
      <vt:lpstr>Funding-Detail</vt:lpstr>
      <vt:lpstr>Competition_Baseline</vt:lpstr>
      <vt:lpstr>Competition_Follow_On</vt:lpstr>
      <vt:lpstr>Competition_Full_Open_Multiple</vt:lpstr>
      <vt:lpstr>Competition_Full_Open_Single</vt:lpstr>
      <vt:lpstr>Competition_None</vt:lpstr>
      <vt:lpstr>Competition_Overrun_Dollars</vt:lpstr>
      <vt:lpstr>Competition_Overrun_Percent</vt:lpstr>
      <vt:lpstr>Competition_Partial_Multiple</vt:lpstr>
      <vt:lpstr>Competition_Partial_Single</vt:lpstr>
      <vt:lpstr>Competition_Unclear</vt:lpstr>
      <vt:lpstr>Funding_Baseline</vt:lpstr>
      <vt:lpstr>Funding_Combination</vt:lpstr>
      <vt:lpstr>Funding_Cost_Award_Incent</vt:lpstr>
      <vt:lpstr>Funding_Cost_Other</vt:lpstr>
      <vt:lpstr>Funding_Fixed_Price</vt:lpstr>
      <vt:lpstr>Funding_Overrun_Dollars</vt:lpstr>
      <vt:lpstr>Funding_Overrun_Percent</vt:lpstr>
      <vt:lpstr>Funding_Unclear</vt:lpstr>
      <vt:lpstr>LOOKUP_Company_Filter</vt:lpstr>
      <vt:lpstr>LOOKUP_PRIME_AGGREGATES</vt:lpstr>
      <vt:lpstr>PRIME_BASELINE</vt:lpstr>
      <vt:lpstr>PRIME_OVERRUN_DOLLARS</vt:lpstr>
      <vt:lpstr>PRIME_OVERRUN_PERCENT</vt:lpstr>
      <vt:lpstr>PRIME_PRIME_ALL</vt:lpstr>
      <vt:lpstr>PRIME_PRIME_FEW</vt:lpstr>
      <vt:lpstr>Reason_Baseline</vt:lpstr>
      <vt:lpstr>Reason_Engineering</vt:lpstr>
      <vt:lpstr>Reason_Estimating</vt:lpstr>
      <vt:lpstr>Reason_Other</vt:lpstr>
      <vt:lpstr>Reason_Quantity</vt:lpstr>
      <vt:lpstr>Reason_Schedule</vt:lpstr>
      <vt:lpstr>Reason_Support</vt:lpstr>
      <vt:lpstr>Reason_Total</vt:lpstr>
      <vt:lpstr>Service_Baseline</vt:lpstr>
      <vt:lpstr>Service_Overrun_Dollars</vt:lpstr>
      <vt:lpstr>Service_Overrun_Percentage</vt:lpstr>
      <vt:lpstr>Service_Service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CSUSUser</cp:lastModifiedBy>
  <dcterms:created xsi:type="dcterms:W3CDTF">2011-03-28T18:39:12Z</dcterms:created>
  <dcterms:modified xsi:type="dcterms:W3CDTF">2012-12-06T16:58:34Z</dcterms:modified>
</cp:coreProperties>
</file>