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Google Analytics App - LCL\"/>
    </mc:Choice>
  </mc:AlternateContent>
  <bookViews>
    <workbookView xWindow="0" yWindow="0" windowWidth="28800" windowHeight="12210" tabRatio="500" firstSheet="1" activeTab="1"/>
  </bookViews>
  <sheets>
    <sheet name="Raw View Data" sheetId="2" r:id="rId1"/>
    <sheet name="Raw Report Info" sheetId="1" r:id="rId2"/>
    <sheet name="Mailings- Detail" sheetId="5" r:id="rId3"/>
    <sheet name="Expert Views" sheetId="4" r:id="rId4"/>
    <sheet name="Random Work" sheetId="3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7" i="5"/>
  <c r="J6" i="5"/>
  <c r="F106" i="2"/>
  <c r="G106" i="2"/>
  <c r="U67" i="2" l="1"/>
  <c r="T67" i="2"/>
  <c r="S67" i="2"/>
  <c r="R67" i="2"/>
  <c r="Q67" i="2"/>
  <c r="P67" i="2"/>
  <c r="O67" i="2"/>
  <c r="N67" i="2"/>
  <c r="M67" i="2"/>
  <c r="L67" i="2"/>
  <c r="K67" i="2"/>
  <c r="J67" i="2"/>
  <c r="I67" i="2"/>
  <c r="O70" i="2"/>
  <c r="N70" i="2"/>
  <c r="M70" i="2"/>
  <c r="L70" i="2"/>
  <c r="K70" i="2"/>
  <c r="J70" i="2"/>
  <c r="U6" i="2"/>
  <c r="T6" i="2"/>
  <c r="S6" i="2"/>
  <c r="R6" i="2"/>
  <c r="Q6" i="2"/>
  <c r="P6" i="2"/>
  <c r="O6" i="2"/>
  <c r="N6" i="2"/>
  <c r="M6" i="2"/>
  <c r="L6" i="2"/>
  <c r="K6" i="2"/>
  <c r="J6" i="2"/>
  <c r="N5" i="2"/>
  <c r="M5" i="2"/>
  <c r="L5" i="2"/>
  <c r="K5" i="2"/>
  <c r="J5" i="2"/>
  <c r="I5" i="2"/>
  <c r="H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H67" i="2"/>
  <c r="T70" i="2"/>
  <c r="I70" i="2"/>
  <c r="F70" i="2" s="1"/>
  <c r="H70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T55" i="2"/>
  <c r="T71" i="1"/>
  <c r="S55" i="2"/>
  <c r="R55" i="2"/>
  <c r="Q55" i="2"/>
  <c r="P55" i="2"/>
  <c r="O55" i="2"/>
  <c r="N55" i="2"/>
  <c r="M55" i="2"/>
  <c r="L55" i="2"/>
  <c r="K55" i="2"/>
  <c r="J55" i="2"/>
  <c r="I55" i="2"/>
  <c r="H55" i="2"/>
  <c r="R63" i="2"/>
  <c r="Q63" i="2"/>
  <c r="P63" i="2"/>
  <c r="O63" i="2"/>
  <c r="N63" i="2"/>
  <c r="M63" i="2"/>
  <c r="L63" i="2"/>
  <c r="K63" i="2"/>
  <c r="J63" i="2"/>
  <c r="I63" i="2"/>
  <c r="I6" i="2"/>
  <c r="H6" i="2"/>
  <c r="T89" i="1"/>
  <c r="T106" i="1"/>
  <c r="T104" i="1"/>
  <c r="T97" i="1"/>
  <c r="T85" i="1"/>
  <c r="T114" i="1"/>
  <c r="R80" i="1"/>
  <c r="T98" i="1"/>
  <c r="T90" i="1"/>
  <c r="T87" i="1"/>
  <c r="F63" i="3" l="1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16" i="2"/>
  <c r="F116" i="2"/>
  <c r="G115" i="2"/>
  <c r="F115" i="2"/>
  <c r="G114" i="2"/>
  <c r="F114" i="2"/>
  <c r="G113" i="2"/>
  <c r="F113" i="2"/>
  <c r="G112" i="2"/>
  <c r="F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 s="1"/>
  <c r="F111" i="2"/>
  <c r="G110" i="2"/>
  <c r="F110" i="2"/>
  <c r="G109" i="2"/>
  <c r="F109" i="2"/>
  <c r="G108" i="2"/>
  <c r="F108" i="2"/>
  <c r="G107" i="2"/>
  <c r="F107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 s="1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86" i="2" l="1"/>
</calcChain>
</file>

<file path=xl/sharedStrings.xml><?xml version="1.0" encoding="utf-8"?>
<sst xmlns="http://schemas.openxmlformats.org/spreadsheetml/2006/main" count="1612" uniqueCount="318">
  <si>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</si>
  <si>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</si>
  <si>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</si>
  <si>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</si>
  <si>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</si>
  <si>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</si>
  <si>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</si>
  <si>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</si>
  <si>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</si>
  <si>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</si>
  <si>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</si>
  <si>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</si>
  <si>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</si>
  <si>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</si>
  <si>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</si>
  <si>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</si>
  <si>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</si>
  <si>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</si>
  <si>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</si>
  <si>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</si>
  <si>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</si>
  <si>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</si>
  <si>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</si>
  <si>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</si>
  <si>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</si>
  <si>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</si>
  <si>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</si>
  <si>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</si>
  <si>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</si>
  <si>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</si>
  <si>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</si>
  <si>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</si>
  <si>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</si>
  <si>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</si>
  <si>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</si>
  <si>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</si>
  <si>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</si>
  <si>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</si>
  <si>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</si>
  <si>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</si>
  <si>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</si>
  <si>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</si>
  <si>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</si>
  <si>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</si>
  <si>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</si>
  <si>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</si>
  <si>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</si>
  <si>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</si>
  <si>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</si>
  <si>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</si>
  <si>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</si>
  <si>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</si>
  <si>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</si>
  <si>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</si>
  <si>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</si>
  <si>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</si>
  <si>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</si>
  <si>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</si>
  <si>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</si>
  <si>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</si>
  <si>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</si>
  <si>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</si>
  <si>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</si>
  <si>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</si>
  <si>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</si>
  <si>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</si>
  <si>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</si>
  <si>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</si>
  <si>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</si>
  <si>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</si>
  <si>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</si>
  <si>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</si>
  <si>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</si>
  <si>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</si>
  <si>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</si>
  <si>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</si>
  <si>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</si>
  <si>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</si>
  <si>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</si>
  <si>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</si>
  <si>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</si>
  <si>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</si>
  <si>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</si>
  <si>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</si>
  <si>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</si>
  <si>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</si>
  <si>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</si>
  <si>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</si>
  <si>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</si>
  <si>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</si>
  <si>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</si>
  <si>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</si>
  <si>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</si>
  <si>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</si>
  <si>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</si>
  <si>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</si>
  <si>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</si>
  <si>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</si>
  <si>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</si>
  <si>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</si>
  <si>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</si>
  <si>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</si>
  <si>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</si>
  <si>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</si>
  <si>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</si>
  <si>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</si>
  <si>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</si>
  <si>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</si>
  <si>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</si>
  <si>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</si>
  <si>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</si>
  <si>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</si>
  <si>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</si>
  <si>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</si>
  <si>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</si>
  <si>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</si>
  <si>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</si>
  <si>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</si>
  <si>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</si>
  <si>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</si>
  <si>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</si>
  <si>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</si>
  <si>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</si>
  <si>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</si>
  <si>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Raymond DuBois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</si>
  <si>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</si>
  <si>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</si>
  <si>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</si>
  <si>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</si>
  <si>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</si>
  <si>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</si>
  <si>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</si>
  <si>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</si>
  <si>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</si>
  <si>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</si>
  <si>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</si>
  <si>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</si>
  <si>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</si>
  <si>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</si>
  <si>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</si>
  <si>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</si>
  <si>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</si>
  <si>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</si>
  <si>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</si>
  <si>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</si>
  <si>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</si>
  <si>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</si>
  <si>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</si>
  <si>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</si>
  <si>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</si>
  <si>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</si>
  <si>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</si>
  <si>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</si>
  <si>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</si>
  <si>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</si>
  <si>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</si>
  <si>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</si>
  <si>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</si>
  <si>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</si>
  <si>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</si>
  <si>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</si>
  <si>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</si>
  <si>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</si>
  <si>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</si>
  <si>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</si>
  <si>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</si>
  <si>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</si>
  <si>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</si>
  <si>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</si>
  <si>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</si>
  <si>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</si>
  <si>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</si>
  <si>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</si>
  <si>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</si>
  <si>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</si>
  <si>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</si>
  <si>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</si>
  <si>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</si>
  <si>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</si>
  <si>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</si>
  <si>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</si>
  <si>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</si>
  <si>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</si>
  <si>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</si>
  <si>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</si>
  <si>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</si>
  <si>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</si>
  <si>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</si>
  <si>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</si>
  <si>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</si>
  <si>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</si>
  <si>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</si>
  <si>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</si>
  <si>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</si>
  <si>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</si>
  <si>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</si>
  <si>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</si>
  <si>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</si>
  <si>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</si>
  <si>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</si>
  <si>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</si>
  <si>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</si>
  <si>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</si>
  <si>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</si>
  <si>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Program</t>
  </si>
  <si>
    <t>Average</t>
  </si>
  <si>
    <t>Twitter</t>
  </si>
  <si>
    <t>Facebook</t>
  </si>
  <si>
    <t>Event</t>
  </si>
  <si>
    <t>Current Event</t>
  </si>
  <si>
    <t>Energy &amp; Geopolitics, Energy &amp; National Security</t>
  </si>
  <si>
    <t>Europe</t>
  </si>
  <si>
    <t>GHPC</t>
  </si>
  <si>
    <t>Burke</t>
  </si>
  <si>
    <t>Strategic Technologies</t>
  </si>
  <si>
    <t>Energy &amp; National Security</t>
  </si>
  <si>
    <t>Southeast Asia</t>
  </si>
  <si>
    <t>Global Food Security</t>
  </si>
  <si>
    <t>Russia &amp; Eurasia</t>
  </si>
  <si>
    <t>Europe, ISP</t>
  </si>
  <si>
    <t>ISP</t>
  </si>
  <si>
    <t>International Security</t>
  </si>
  <si>
    <t>Human Rights Initiative (HRI)</t>
  </si>
  <si>
    <t>Africa</t>
  </si>
  <si>
    <t>Turkey Project</t>
  </si>
  <si>
    <t>China Studies</t>
  </si>
  <si>
    <t>Americas</t>
  </si>
  <si>
    <t>HRI</t>
  </si>
  <si>
    <t>Asia (Japan)</t>
  </si>
  <si>
    <t>US-India Policy Studies</t>
  </si>
  <si>
    <t>ISP (MDP)</t>
  </si>
  <si>
    <t>ISP (DIIG)</t>
  </si>
  <si>
    <t>Project on Prosperity and Development</t>
  </si>
  <si>
    <t>Youth Prosperity &amp; Security Initiative</t>
  </si>
  <si>
    <t>Middle East, (Global Security &amp; Geostrategy)</t>
  </si>
  <si>
    <t>Asia</t>
  </si>
  <si>
    <t>Pacific Forum</t>
  </si>
  <si>
    <t>Americas, HRI</t>
  </si>
  <si>
    <t>ISP (PONI)</t>
  </si>
  <si>
    <t>Urgent and Important: Measuring Investments in Youth Economic Opportunity</t>
  </si>
  <si>
    <t>Sound Policy, Uneven Performance: Assessing Nigeria's Agricultural Strategy</t>
  </si>
  <si>
    <t>Evening</t>
  </si>
  <si>
    <t>Crowdsourcing Perspectives on Defense Reform</t>
  </si>
  <si>
    <t>No</t>
  </si>
  <si>
    <t>Yes</t>
  </si>
  <si>
    <r>
      <t>N</t>
    </r>
    <r>
      <rPr>
        <sz val="12"/>
        <color theme="1"/>
        <rFont val="Optima Regular"/>
      </rPr>
      <t>o</t>
    </r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</si>
  <si>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</si>
  <si>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</si>
  <si>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</si>
  <si>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</si>
  <si>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</si>
  <si>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</si>
  <si>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</si>
  <si>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</si>
  <si>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</si>
  <si>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</si>
  <si>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</si>
  <si>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</si>
  <si>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</si>
  <si>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</si>
  <si>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</si>
  <si>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</si>
  <si>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</si>
  <si>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</si>
  <si>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</si>
  <si>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</si>
  <si>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</si>
  <si>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</si>
  <si>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</si>
  <si>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</si>
  <si>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</si>
  <si>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</si>
  <si>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</si>
  <si>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</si>
  <si>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</si>
  <si>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</si>
  <si>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</si>
  <si>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</si>
  <si>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</si>
  <si>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</si>
  <si>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</si>
  <si>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</si>
  <si>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</si>
  <si>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</si>
  <si>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</si>
  <si>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</si>
  <si>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</si>
  <si>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</si>
  <si>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</si>
  <si>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</si>
  <si>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</si>
  <si>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</si>
  <si>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</si>
  <si>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</si>
  <si>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</si>
  <si>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</si>
  <si>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</si>
  <si>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</si>
  <si>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</si>
  <si>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</si>
  <si>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Report Lenth</t>
  </si>
  <si>
    <t>Downloads</t>
  </si>
  <si>
    <t>Block Numbers?</t>
  </si>
  <si>
    <t>Block 1 Used?</t>
  </si>
  <si>
    <t>Block 1 Views</t>
  </si>
  <si>
    <t>Blk 2-4 Views</t>
  </si>
  <si>
    <t>Bck 2-4 Used?</t>
  </si>
  <si>
    <t>Mail-Opens</t>
  </si>
  <si>
    <t>Mail-Clicks</t>
  </si>
  <si>
    <t>Mail-All, Opens</t>
  </si>
  <si>
    <t>Publication Name</t>
  </si>
  <si>
    <t>Mail-All, Clicks</t>
  </si>
  <si>
    <t>Mail-Members, Opens</t>
  </si>
  <si>
    <t>Mail-Members, Clicks</t>
  </si>
  <si>
    <t>Mail-Press, Opens</t>
  </si>
  <si>
    <t>Mail-Press, Clicks</t>
  </si>
  <si>
    <t>Opens</t>
  </si>
  <si>
    <t>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</si>
</sst>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Optima Regula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Font="1"/>
    <xf numFmtId="3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1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4" xfId="0" applyFill="1" applyBorder="1"/>
    <xf numFmtId="0" fontId="0" fillId="2" borderId="9" xfId="0" applyFill="1" applyBorder="1"/>
    <xf numFmtId="16" fontId="0" fillId="0" borderId="10" xfId="0" applyNumberFormat="1" applyBorder="1"/>
    <xf numFmtId="0" fontId="0" fillId="0" borderId="10" xfId="0" applyFill="1" applyBorder="1"/>
    <xf numFmtId="0" fontId="0" fillId="0" borderId="11" xfId="0" applyBorder="1"/>
    <xf numFmtId="0" fontId="1" fillId="2" borderId="12" xfId="0" applyFont="1" applyFill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Fill="1" applyBorder="1"/>
    <xf numFmtId="0" fontId="1" fillId="0" borderId="14" xfId="0" applyFont="1" applyFill="1" applyBorder="1"/>
    <xf numFmtId="0" fontId="0" fillId="0" borderId="10" xfId="0" applyNumberFormat="1" applyFill="1" applyBorder="1"/>
    <xf numFmtId="0" fontId="0" fillId="0" borderId="4" xfId="0" applyNumberFormat="1" applyFill="1" applyBorder="1"/>
    <xf numFmtId="0" fontId="1" fillId="0" borderId="13" xfId="0" applyNumberFormat="1" applyFont="1" applyFill="1" applyBorder="1"/>
    <xf numFmtId="0" fontId="0" fillId="0" borderId="4" xfId="0" applyNumberFormat="1" applyFill="1" applyBorder="1" applyAlignment="1">
      <alignment horizontal="right"/>
    </xf>
    <xf numFmtId="0" fontId="0" fillId="0" borderId="0" xfId="0" applyNumberFormat="1" applyFill="1"/>
    <xf numFmtId="0" fontId="1" fillId="0" borderId="15" xfId="0" applyFont="1" applyFill="1" applyBorder="1"/>
    <xf numFmtId="0" fontId="0" fillId="0" borderId="16" xfId="0" applyBorder="1"/>
    <xf numFmtId="0" fontId="0" fillId="0" borderId="17" xfId="0" applyBorder="1"/>
    <xf numFmtId="0" fontId="1" fillId="0" borderId="19" xfId="0" applyFont="1" applyFill="1" applyBorder="1"/>
    <xf numFmtId="0" fontId="1" fillId="0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0" fillId="3" borderId="4" xfId="0" applyNumberFormat="1" applyFill="1" applyBorder="1"/>
    <xf numFmtId="0" fontId="0" fillId="3" borderId="17" xfId="0" applyFill="1" applyBorder="1"/>
    <xf numFmtId="0" fontId="0" fillId="3" borderId="5" xfId="0" applyFill="1" applyBorder="1"/>
    <xf numFmtId="0" fontId="0" fillId="3" borderId="0" xfId="0" applyFill="1"/>
    <xf numFmtId="0" fontId="0" fillId="3" borderId="4" xfId="0" applyNumberFormat="1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16" fontId="0" fillId="3" borderId="7" xfId="0" applyNumberFormat="1" applyFill="1" applyBorder="1"/>
    <xf numFmtId="0" fontId="0" fillId="3" borderId="7" xfId="0" applyNumberFormat="1" applyFill="1" applyBorder="1"/>
    <xf numFmtId="0" fontId="0" fillId="3" borderId="18" xfId="0" applyFill="1" applyBorder="1"/>
    <xf numFmtId="0" fontId="0" fillId="3" borderId="8" xfId="0" applyFill="1" applyBorder="1"/>
    <xf numFmtId="0" fontId="1" fillId="0" borderId="20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4" borderId="4" xfId="0" applyNumberFormat="1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/>
    <xf numFmtId="0" fontId="0" fillId="5" borderId="3" xfId="0" applyFill="1" applyBorder="1"/>
    <xf numFmtId="0" fontId="0" fillId="5" borderId="4" xfId="0" applyFill="1" applyBorder="1"/>
    <xf numFmtId="16" fontId="0" fillId="5" borderId="4" xfId="0" applyNumberFormat="1" applyFill="1" applyBorder="1"/>
    <xf numFmtId="0" fontId="0" fillId="5" borderId="4" xfId="0" applyNumberFormat="1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/>
    <xf numFmtId="0" fontId="1" fillId="2" borderId="19" xfId="0" applyFont="1" applyFill="1" applyBorder="1"/>
    <xf numFmtId="0" fontId="0" fillId="2" borderId="7" xfId="0" applyFill="1" applyBorder="1"/>
    <xf numFmtId="0" fontId="0" fillId="2" borderId="10" xfId="0" applyFill="1" applyBorder="1"/>
    <xf numFmtId="0" fontId="0" fillId="4" borderId="0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0" fontId="0" fillId="6" borderId="4" xfId="0" applyNumberFormat="1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0" xfId="0" applyFill="1"/>
    <xf numFmtId="0" fontId="1" fillId="0" borderId="0" xfId="0" applyFont="1" applyFill="1"/>
    <xf numFmtId="0" fontId="0" fillId="0" borderId="9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2"/>
          <c:order val="2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73" zoomScaleNormal="100" workbookViewId="0">
      <selection activeCell="B106" sqref="A106:XFD107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36.875" bestFit="1" customWidth="1"/>
    <col min="5" max="6" width="10.625" bestFit="1" customWidth="1"/>
    <col min="7" max="7" width="9.625" bestFit="1" customWidth="1"/>
    <col min="8" max="8" width="6" bestFit="1" customWidth="1"/>
    <col min="9" max="16" width="5.625" bestFit="1" customWidth="1"/>
    <col min="17" max="21" width="6.875" bestFit="1" customWidth="1"/>
    <col min="23" max="23" width="17.75" style="22" bestFit="1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73" t="s">
        <v>302</v>
      </c>
    </row>
    <row r="2" spans="1:23">
      <c r="A2" s="5" t="s">
        <v>21</v>
      </c>
      <c r="B2" s="6" t="s">
        <v>22</v>
      </c>
      <c r="C2" s="7">
        <v>42600</v>
      </c>
      <c r="D2" s="8" t="s">
        <v>23</v>
      </c>
      <c r="F2">
        <f>SUM(H2:U2)</f>
        <v>974</v>
      </c>
      <c r="G2" s="9">
        <f>AVERAGE(H2:T2)</f>
        <v>73.384615384615387</v>
      </c>
      <c r="H2">
        <v>136</v>
      </c>
      <c r="I2">
        <v>166</v>
      </c>
      <c r="J2">
        <v>130</v>
      </c>
      <c r="K2">
        <v>68</v>
      </c>
      <c r="L2">
        <v>189</v>
      </c>
      <c r="M2">
        <v>82</v>
      </c>
      <c r="N2">
        <v>53</v>
      </c>
      <c r="O2">
        <v>23</v>
      </c>
      <c r="P2">
        <v>24</v>
      </c>
      <c r="Q2">
        <v>24</v>
      </c>
      <c r="R2">
        <v>21</v>
      </c>
      <c r="S2">
        <v>19</v>
      </c>
      <c r="T2">
        <v>19</v>
      </c>
      <c r="U2">
        <v>20</v>
      </c>
      <c r="W2" s="74"/>
    </row>
    <row r="3" spans="1:23">
      <c r="A3" s="5" t="s">
        <v>24</v>
      </c>
      <c r="B3" s="6" t="s">
        <v>22</v>
      </c>
      <c r="C3" s="7">
        <v>42600</v>
      </c>
      <c r="D3" s="8" t="s">
        <v>25</v>
      </c>
      <c r="F3">
        <f t="shared" ref="F3:F46" si="0">SUM(H3:U3)</f>
        <v>838</v>
      </c>
      <c r="G3" s="9">
        <f t="shared" ref="G3:G66" si="1">AVERAGE(H3:T3)</f>
        <v>63.384615384615387</v>
      </c>
      <c r="H3">
        <f>88+34</f>
        <v>122</v>
      </c>
      <c r="I3">
        <f>143+108</f>
        <v>251</v>
      </c>
      <c r="J3">
        <f>67+13</f>
        <v>80</v>
      </c>
      <c r="K3">
        <f>78+17</f>
        <v>95</v>
      </c>
      <c r="L3">
        <f>81+16</f>
        <v>97</v>
      </c>
      <c r="M3">
        <f>50+7</f>
        <v>57</v>
      </c>
      <c r="N3">
        <f>27+4</f>
        <v>31</v>
      </c>
      <c r="O3">
        <f>24+2</f>
        <v>26</v>
      </c>
      <c r="P3">
        <f>20+1</f>
        <v>21</v>
      </c>
      <c r="Q3">
        <f>10+1</f>
        <v>11</v>
      </c>
      <c r="R3">
        <f>13+1</f>
        <v>14</v>
      </c>
      <c r="S3">
        <f>10+0</f>
        <v>10</v>
      </c>
      <c r="T3">
        <f>8+1</f>
        <v>9</v>
      </c>
      <c r="U3">
        <f>13+1</f>
        <v>14</v>
      </c>
    </row>
    <row r="4" spans="1:23">
      <c r="A4" s="5" t="s">
        <v>26</v>
      </c>
      <c r="B4" s="6" t="s">
        <v>22</v>
      </c>
      <c r="C4" s="7">
        <v>42599</v>
      </c>
      <c r="D4" s="8" t="s">
        <v>27</v>
      </c>
      <c r="F4">
        <f t="shared" si="0"/>
        <v>637</v>
      </c>
      <c r="G4" s="9">
        <f t="shared" si="1"/>
        <v>48.153846153846153</v>
      </c>
      <c r="H4">
        <v>98</v>
      </c>
      <c r="I4">
        <v>222</v>
      </c>
      <c r="J4">
        <v>123</v>
      </c>
      <c r="K4">
        <v>39</v>
      </c>
      <c r="L4">
        <v>25</v>
      </c>
      <c r="M4">
        <v>54</v>
      </c>
      <c r="N4">
        <v>18</v>
      </c>
      <c r="O4">
        <v>17</v>
      </c>
      <c r="P4">
        <v>7</v>
      </c>
      <c r="Q4">
        <v>10</v>
      </c>
      <c r="R4">
        <v>7</v>
      </c>
      <c r="S4">
        <v>3</v>
      </c>
      <c r="T4">
        <v>3</v>
      </c>
      <c r="U4">
        <v>11</v>
      </c>
    </row>
    <row r="5" spans="1:23">
      <c r="A5" s="5" t="s">
        <v>28</v>
      </c>
      <c r="B5" s="6" t="s">
        <v>22</v>
      </c>
      <c r="C5" s="7">
        <v>42597</v>
      </c>
      <c r="D5" s="8" t="s">
        <v>29</v>
      </c>
      <c r="F5">
        <f t="shared" si="0"/>
        <v>929</v>
      </c>
      <c r="G5" s="9">
        <f t="shared" si="1"/>
        <v>70.92307692307692</v>
      </c>
      <c r="H5">
        <f>185+108</f>
        <v>293</v>
      </c>
      <c r="I5">
        <f>182+60</f>
        <v>242</v>
      </c>
      <c r="J5">
        <f>119+20</f>
        <v>139</v>
      </c>
      <c r="K5">
        <f>79+4</f>
        <v>83</v>
      </c>
      <c r="L5">
        <f>26+1</f>
        <v>27</v>
      </c>
      <c r="M5">
        <f>16+1</f>
        <v>17</v>
      </c>
      <c r="N5">
        <f>13+4</f>
        <v>17</v>
      </c>
      <c r="O5">
        <v>23</v>
      </c>
      <c r="P5">
        <v>26</v>
      </c>
      <c r="Q5">
        <v>30</v>
      </c>
      <c r="R5">
        <v>12</v>
      </c>
      <c r="S5">
        <v>5</v>
      </c>
      <c r="T5">
        <v>8</v>
      </c>
      <c r="U5">
        <v>7</v>
      </c>
    </row>
    <row r="6" spans="1:23">
      <c r="A6" s="5" t="s">
        <v>30</v>
      </c>
      <c r="B6" s="6" t="s">
        <v>22</v>
      </c>
      <c r="C6" s="7">
        <v>42597</v>
      </c>
      <c r="D6" s="8" t="s">
        <v>31</v>
      </c>
      <c r="F6">
        <f t="shared" si="0"/>
        <v>3829</v>
      </c>
      <c r="G6" s="9">
        <f t="shared" si="1"/>
        <v>279.53846153846155</v>
      </c>
      <c r="H6">
        <f>638+339</f>
        <v>977</v>
      </c>
      <c r="I6">
        <f>351+247</f>
        <v>598</v>
      </c>
      <c r="J6">
        <f>257+81+88</f>
        <v>426</v>
      </c>
      <c r="K6">
        <f>266+29+76</f>
        <v>371</v>
      </c>
      <c r="L6">
        <f>156+28+2</f>
        <v>186</v>
      </c>
      <c r="M6">
        <f>248+25+3</f>
        <v>276</v>
      </c>
      <c r="N6">
        <f>153+27+2</f>
        <v>182</v>
      </c>
      <c r="O6">
        <f>123+18+2</f>
        <v>143</v>
      </c>
      <c r="P6">
        <f>123+16+0</f>
        <v>139</v>
      </c>
      <c r="Q6">
        <f>106+10+2</f>
        <v>118</v>
      </c>
      <c r="R6">
        <f>115+1+0</f>
        <v>116</v>
      </c>
      <c r="S6">
        <f>58+3+1</f>
        <v>62</v>
      </c>
      <c r="T6">
        <f>39+1+0</f>
        <v>40</v>
      </c>
      <c r="U6">
        <f>192+1+2</f>
        <v>195</v>
      </c>
    </row>
    <row r="7" spans="1:23">
      <c r="A7" s="5" t="s">
        <v>32</v>
      </c>
      <c r="B7" s="6" t="s">
        <v>22</v>
      </c>
      <c r="C7" s="7">
        <v>42593</v>
      </c>
      <c r="D7" s="8" t="s">
        <v>33</v>
      </c>
      <c r="F7">
        <f t="shared" si="0"/>
        <v>1207</v>
      </c>
      <c r="G7" s="9">
        <f t="shared" si="1"/>
        <v>91.84615384615384</v>
      </c>
      <c r="H7">
        <v>367</v>
      </c>
      <c r="I7">
        <v>227</v>
      </c>
      <c r="J7">
        <v>141</v>
      </c>
      <c r="K7">
        <v>97</v>
      </c>
      <c r="L7">
        <v>82</v>
      </c>
      <c r="M7">
        <v>98</v>
      </c>
      <c r="N7">
        <v>47</v>
      </c>
      <c r="O7">
        <v>44</v>
      </c>
      <c r="P7">
        <v>10</v>
      </c>
      <c r="Q7">
        <v>10</v>
      </c>
      <c r="R7">
        <v>10</v>
      </c>
      <c r="S7">
        <v>37</v>
      </c>
      <c r="T7">
        <v>24</v>
      </c>
      <c r="U7">
        <v>13</v>
      </c>
    </row>
    <row r="8" spans="1:23">
      <c r="A8" s="5" t="s">
        <v>34</v>
      </c>
      <c r="B8" s="6" t="s">
        <v>22</v>
      </c>
      <c r="C8" s="7">
        <v>42586</v>
      </c>
      <c r="D8" s="8" t="s">
        <v>35</v>
      </c>
      <c r="F8">
        <f t="shared" si="0"/>
        <v>420</v>
      </c>
      <c r="G8" s="9">
        <f t="shared" si="1"/>
        <v>31.846153846153847</v>
      </c>
      <c r="H8">
        <v>18</v>
      </c>
      <c r="I8">
        <v>84</v>
      </c>
      <c r="J8">
        <v>102</v>
      </c>
      <c r="K8">
        <v>74</v>
      </c>
      <c r="L8">
        <v>39</v>
      </c>
      <c r="M8">
        <v>32</v>
      </c>
      <c r="N8">
        <v>17</v>
      </c>
      <c r="O8">
        <v>19</v>
      </c>
      <c r="P8">
        <v>4</v>
      </c>
      <c r="Q8">
        <v>9</v>
      </c>
      <c r="R8">
        <v>9</v>
      </c>
      <c r="S8">
        <v>5</v>
      </c>
      <c r="T8">
        <v>2</v>
      </c>
      <c r="U8">
        <v>6</v>
      </c>
    </row>
    <row r="9" spans="1:23">
      <c r="A9" s="5" t="s">
        <v>36</v>
      </c>
      <c r="B9" s="6" t="s">
        <v>22</v>
      </c>
      <c r="C9" s="7">
        <v>42584</v>
      </c>
      <c r="D9" s="8" t="s">
        <v>37</v>
      </c>
      <c r="F9">
        <f t="shared" si="0"/>
        <v>1205</v>
      </c>
      <c r="G9" s="9">
        <f t="shared" si="1"/>
        <v>89.692307692307693</v>
      </c>
      <c r="H9">
        <v>181</v>
      </c>
      <c r="I9">
        <v>110</v>
      </c>
      <c r="J9">
        <v>119</v>
      </c>
      <c r="K9">
        <v>40</v>
      </c>
      <c r="L9">
        <v>7</v>
      </c>
      <c r="M9">
        <v>30</v>
      </c>
      <c r="N9">
        <v>63</v>
      </c>
      <c r="O9">
        <v>48</v>
      </c>
      <c r="P9">
        <v>82</v>
      </c>
      <c r="Q9">
        <v>225</v>
      </c>
      <c r="R9">
        <v>168</v>
      </c>
      <c r="S9">
        <v>53</v>
      </c>
      <c r="T9">
        <v>40</v>
      </c>
      <c r="U9">
        <v>39</v>
      </c>
    </row>
    <row r="10" spans="1:23">
      <c r="A10" s="5" t="s">
        <v>38</v>
      </c>
      <c r="B10" s="6" t="s">
        <v>22</v>
      </c>
      <c r="C10" s="7">
        <v>42580</v>
      </c>
      <c r="D10" s="8" t="s">
        <v>39</v>
      </c>
      <c r="F10">
        <f t="shared" si="0"/>
        <v>1869</v>
      </c>
      <c r="G10" s="9">
        <f t="shared" si="1"/>
        <v>141.15384615384616</v>
      </c>
      <c r="H10">
        <v>435</v>
      </c>
      <c r="I10">
        <v>334</v>
      </c>
      <c r="J10">
        <v>189</v>
      </c>
      <c r="K10">
        <v>243</v>
      </c>
      <c r="L10">
        <v>178</v>
      </c>
      <c r="M10">
        <v>98</v>
      </c>
      <c r="N10">
        <v>78</v>
      </c>
      <c r="O10">
        <v>55</v>
      </c>
      <c r="P10">
        <v>46</v>
      </c>
      <c r="Q10">
        <v>47</v>
      </c>
      <c r="R10">
        <v>53</v>
      </c>
      <c r="S10">
        <v>49</v>
      </c>
      <c r="T10">
        <v>30</v>
      </c>
      <c r="U10">
        <v>34</v>
      </c>
    </row>
    <row r="11" spans="1:23">
      <c r="A11" s="5" t="s">
        <v>40</v>
      </c>
      <c r="B11" s="6" t="s">
        <v>22</v>
      </c>
      <c r="C11" s="7">
        <v>42578</v>
      </c>
      <c r="D11" s="8" t="s">
        <v>31</v>
      </c>
      <c r="F11">
        <f t="shared" si="0"/>
        <v>2142</v>
      </c>
      <c r="G11" s="9">
        <f t="shared" si="1"/>
        <v>162.07692307692307</v>
      </c>
      <c r="H11">
        <v>259</v>
      </c>
      <c r="I11">
        <v>305</v>
      </c>
      <c r="J11">
        <v>187</v>
      </c>
      <c r="K11">
        <v>92</v>
      </c>
      <c r="L11">
        <v>210</v>
      </c>
      <c r="M11">
        <v>128</v>
      </c>
      <c r="N11">
        <v>59</v>
      </c>
      <c r="O11">
        <v>42</v>
      </c>
      <c r="P11">
        <v>363</v>
      </c>
      <c r="Q11">
        <v>175</v>
      </c>
      <c r="R11">
        <v>129</v>
      </c>
      <c r="S11">
        <v>58</v>
      </c>
      <c r="T11">
        <v>100</v>
      </c>
      <c r="U11">
        <v>35</v>
      </c>
    </row>
    <row r="12" spans="1:23">
      <c r="A12" s="5" t="s">
        <v>41</v>
      </c>
      <c r="B12" s="6" t="s">
        <v>22</v>
      </c>
      <c r="C12" s="7">
        <v>42576</v>
      </c>
      <c r="D12" s="8" t="s">
        <v>42</v>
      </c>
      <c r="F12">
        <f t="shared" si="0"/>
        <v>1855</v>
      </c>
      <c r="G12" s="9">
        <f t="shared" si="1"/>
        <v>141.84615384615384</v>
      </c>
      <c r="H12">
        <v>667</v>
      </c>
      <c r="I12">
        <v>522</v>
      </c>
      <c r="J12">
        <v>114</v>
      </c>
      <c r="K12">
        <v>57</v>
      </c>
      <c r="L12">
        <v>151</v>
      </c>
      <c r="M12">
        <v>64</v>
      </c>
      <c r="N12">
        <v>57</v>
      </c>
      <c r="O12">
        <v>46</v>
      </c>
      <c r="P12">
        <v>86</v>
      </c>
      <c r="Q12">
        <v>43</v>
      </c>
      <c r="R12">
        <v>15</v>
      </c>
      <c r="S12">
        <v>12</v>
      </c>
      <c r="T12">
        <v>10</v>
      </c>
      <c r="U12">
        <v>11</v>
      </c>
    </row>
    <row r="13" spans="1:23">
      <c r="A13" s="5" t="s">
        <v>43</v>
      </c>
      <c r="B13" s="6" t="s">
        <v>22</v>
      </c>
      <c r="C13" s="7">
        <v>42573</v>
      </c>
      <c r="D13" s="8" t="s">
        <v>44</v>
      </c>
      <c r="F13">
        <f t="shared" si="0"/>
        <v>504</v>
      </c>
      <c r="G13" s="9">
        <f t="shared" si="1"/>
        <v>38.07692307692308</v>
      </c>
      <c r="H13">
        <v>22</v>
      </c>
      <c r="I13">
        <v>17</v>
      </c>
      <c r="J13">
        <v>24</v>
      </c>
      <c r="K13">
        <v>73</v>
      </c>
      <c r="L13">
        <v>135</v>
      </c>
      <c r="M13">
        <v>97</v>
      </c>
      <c r="N13">
        <v>59</v>
      </c>
      <c r="O13">
        <v>17</v>
      </c>
      <c r="P13">
        <v>16</v>
      </c>
      <c r="Q13">
        <v>8</v>
      </c>
      <c r="R13">
        <v>14</v>
      </c>
      <c r="S13">
        <v>11</v>
      </c>
      <c r="T13">
        <v>2</v>
      </c>
      <c r="U13">
        <v>9</v>
      </c>
    </row>
    <row r="14" spans="1:23">
      <c r="A14" s="5" t="s">
        <v>45</v>
      </c>
      <c r="B14" s="6" t="s">
        <v>22</v>
      </c>
      <c r="C14" s="7">
        <v>42572</v>
      </c>
      <c r="D14" s="8" t="s">
        <v>46</v>
      </c>
      <c r="F14">
        <f t="shared" si="0"/>
        <v>385</v>
      </c>
      <c r="G14" s="9">
        <f t="shared" si="1"/>
        <v>22.692307692307693</v>
      </c>
      <c r="H14">
        <v>34</v>
      </c>
      <c r="I14">
        <v>35</v>
      </c>
      <c r="J14">
        <v>17</v>
      </c>
      <c r="K14">
        <v>30</v>
      </c>
      <c r="L14">
        <v>12</v>
      </c>
      <c r="M14">
        <v>14</v>
      </c>
      <c r="N14">
        <v>17</v>
      </c>
      <c r="O14">
        <v>72</v>
      </c>
      <c r="P14">
        <v>25</v>
      </c>
      <c r="Q14">
        <v>9</v>
      </c>
      <c r="R14">
        <v>14</v>
      </c>
      <c r="S14">
        <v>5</v>
      </c>
      <c r="T14">
        <v>11</v>
      </c>
      <c r="U14">
        <v>90</v>
      </c>
    </row>
    <row r="15" spans="1:23">
      <c r="A15" s="5" t="s">
        <v>47</v>
      </c>
      <c r="B15" s="6" t="s">
        <v>22</v>
      </c>
      <c r="C15" s="7">
        <v>42572</v>
      </c>
      <c r="D15" s="8" t="s">
        <v>48</v>
      </c>
      <c r="F15">
        <f t="shared" si="0"/>
        <v>1386</v>
      </c>
      <c r="G15" s="9">
        <f t="shared" si="1"/>
        <v>105.53846153846153</v>
      </c>
      <c r="H15">
        <v>200</v>
      </c>
      <c r="I15">
        <v>374</v>
      </c>
      <c r="J15">
        <v>293</v>
      </c>
      <c r="K15">
        <v>77</v>
      </c>
      <c r="L15">
        <v>98</v>
      </c>
      <c r="M15">
        <v>47</v>
      </c>
      <c r="N15">
        <v>45</v>
      </c>
      <c r="O15">
        <v>37</v>
      </c>
      <c r="P15">
        <v>24</v>
      </c>
      <c r="Q15">
        <v>27</v>
      </c>
      <c r="R15">
        <v>14</v>
      </c>
      <c r="S15">
        <v>77</v>
      </c>
      <c r="T15">
        <v>59</v>
      </c>
      <c r="U15">
        <v>14</v>
      </c>
    </row>
    <row r="16" spans="1:23">
      <c r="A16" s="5" t="s">
        <v>49</v>
      </c>
      <c r="B16" s="6" t="s">
        <v>22</v>
      </c>
      <c r="C16" s="7">
        <v>42566</v>
      </c>
      <c r="D16" s="8" t="s">
        <v>50</v>
      </c>
      <c r="F16">
        <f t="shared" si="0"/>
        <v>2414</v>
      </c>
      <c r="G16" s="9">
        <f t="shared" si="1"/>
        <v>185.07692307692307</v>
      </c>
      <c r="H16">
        <v>162</v>
      </c>
      <c r="I16">
        <v>224</v>
      </c>
      <c r="J16">
        <v>156</v>
      </c>
      <c r="K16">
        <v>769</v>
      </c>
      <c r="L16">
        <v>311</v>
      </c>
      <c r="M16">
        <v>466</v>
      </c>
      <c r="N16">
        <v>130</v>
      </c>
      <c r="O16">
        <v>50</v>
      </c>
      <c r="P16">
        <v>26</v>
      </c>
      <c r="Q16">
        <v>30</v>
      </c>
      <c r="R16">
        <v>39</v>
      </c>
      <c r="S16">
        <v>22</v>
      </c>
      <c r="T16">
        <v>21</v>
      </c>
      <c r="U16">
        <v>8</v>
      </c>
    </row>
    <row r="17" spans="1:21">
      <c r="A17" s="5" t="s">
        <v>51</v>
      </c>
      <c r="B17" s="6" t="s">
        <v>22</v>
      </c>
      <c r="C17" s="7">
        <v>42566</v>
      </c>
      <c r="D17" s="8" t="s">
        <v>52</v>
      </c>
      <c r="F17">
        <f t="shared" si="0"/>
        <v>492</v>
      </c>
      <c r="G17" s="9">
        <f t="shared" si="1"/>
        <v>37.230769230769234</v>
      </c>
      <c r="H17">
        <v>226</v>
      </c>
      <c r="I17">
        <v>129</v>
      </c>
      <c r="J17">
        <v>29</v>
      </c>
      <c r="K17">
        <v>18</v>
      </c>
      <c r="L17">
        <v>15</v>
      </c>
      <c r="M17">
        <v>9</v>
      </c>
      <c r="N17">
        <v>6</v>
      </c>
      <c r="O17">
        <v>17</v>
      </c>
      <c r="P17">
        <v>14</v>
      </c>
      <c r="Q17">
        <v>5</v>
      </c>
      <c r="R17">
        <v>8</v>
      </c>
      <c r="S17">
        <v>3</v>
      </c>
      <c r="T17">
        <v>5</v>
      </c>
      <c r="U17">
        <v>8</v>
      </c>
    </row>
    <row r="18" spans="1:21">
      <c r="A18" s="5" t="s">
        <v>53</v>
      </c>
      <c r="B18" s="6" t="s">
        <v>22</v>
      </c>
      <c r="C18" s="7">
        <v>42566</v>
      </c>
      <c r="D18" s="8" t="s">
        <v>54</v>
      </c>
      <c r="F18">
        <f t="shared" si="0"/>
        <v>1627</v>
      </c>
      <c r="G18" s="9">
        <f t="shared" si="1"/>
        <v>124.46153846153847</v>
      </c>
      <c r="H18">
        <v>174</v>
      </c>
      <c r="I18">
        <v>262</v>
      </c>
      <c r="J18">
        <v>120</v>
      </c>
      <c r="K18">
        <v>545</v>
      </c>
      <c r="L18">
        <v>233</v>
      </c>
      <c r="M18">
        <v>141</v>
      </c>
      <c r="N18">
        <v>44</v>
      </c>
      <c r="O18">
        <v>42</v>
      </c>
      <c r="P18">
        <v>12</v>
      </c>
      <c r="Q18">
        <v>7</v>
      </c>
      <c r="R18">
        <v>16</v>
      </c>
      <c r="S18">
        <v>12</v>
      </c>
      <c r="T18">
        <v>10</v>
      </c>
      <c r="U18">
        <v>9</v>
      </c>
    </row>
    <row r="19" spans="1:21">
      <c r="A19" s="5" t="s">
        <v>55</v>
      </c>
      <c r="B19" s="6" t="s">
        <v>22</v>
      </c>
      <c r="C19" s="7">
        <v>42558</v>
      </c>
      <c r="D19" s="8" t="s">
        <v>46</v>
      </c>
      <c r="F19">
        <f t="shared" si="0"/>
        <v>334</v>
      </c>
      <c r="G19" s="9">
        <f t="shared" si="1"/>
        <v>25.307692307692307</v>
      </c>
      <c r="H19">
        <v>19</v>
      </c>
      <c r="I19">
        <v>64</v>
      </c>
      <c r="J19">
        <v>32</v>
      </c>
      <c r="K19">
        <v>36</v>
      </c>
      <c r="L19">
        <v>43</v>
      </c>
      <c r="M19">
        <v>28</v>
      </c>
      <c r="N19">
        <v>19</v>
      </c>
      <c r="O19">
        <v>45</v>
      </c>
      <c r="P19">
        <v>14</v>
      </c>
      <c r="Q19">
        <v>5</v>
      </c>
      <c r="R19">
        <v>8</v>
      </c>
      <c r="S19">
        <v>14</v>
      </c>
      <c r="T19">
        <v>2</v>
      </c>
      <c r="U19">
        <v>5</v>
      </c>
    </row>
    <row r="20" spans="1:21">
      <c r="A20" s="5" t="s">
        <v>56</v>
      </c>
      <c r="B20" s="6" t="s">
        <v>22</v>
      </c>
      <c r="C20" s="7">
        <v>42557</v>
      </c>
      <c r="D20" s="8" t="s">
        <v>57</v>
      </c>
      <c r="F20">
        <f t="shared" si="0"/>
        <v>574</v>
      </c>
      <c r="G20" s="9">
        <f t="shared" si="1"/>
        <v>43.384615384615387</v>
      </c>
      <c r="H20">
        <v>26</v>
      </c>
      <c r="I20">
        <v>59</v>
      </c>
      <c r="J20">
        <v>202</v>
      </c>
      <c r="K20">
        <v>36</v>
      </c>
      <c r="L20">
        <v>40</v>
      </c>
      <c r="M20">
        <v>69</v>
      </c>
      <c r="N20">
        <v>34</v>
      </c>
      <c r="O20">
        <v>39</v>
      </c>
      <c r="P20">
        <v>20</v>
      </c>
      <c r="Q20">
        <v>28</v>
      </c>
      <c r="R20">
        <v>4</v>
      </c>
      <c r="S20">
        <v>1</v>
      </c>
      <c r="T20">
        <v>6</v>
      </c>
      <c r="U20">
        <v>10</v>
      </c>
    </row>
    <row r="21" spans="1:21">
      <c r="A21" s="5" t="s">
        <v>58</v>
      </c>
      <c r="B21" s="6" t="s">
        <v>22</v>
      </c>
      <c r="C21" s="7">
        <v>42556</v>
      </c>
      <c r="D21" s="8" t="s">
        <v>42</v>
      </c>
      <c r="F21">
        <f t="shared" si="0"/>
        <v>383</v>
      </c>
      <c r="G21" s="9">
        <f t="shared" si="1"/>
        <v>29.384615384615383</v>
      </c>
      <c r="H21">
        <v>110</v>
      </c>
      <c r="I21">
        <v>102</v>
      </c>
      <c r="J21">
        <v>85</v>
      </c>
      <c r="K21">
        <v>28</v>
      </c>
      <c r="L21">
        <v>13</v>
      </c>
      <c r="M21">
        <v>13</v>
      </c>
      <c r="N21">
        <v>11</v>
      </c>
      <c r="O21">
        <v>5</v>
      </c>
      <c r="P21">
        <v>5</v>
      </c>
      <c r="Q21">
        <v>4</v>
      </c>
      <c r="R21">
        <v>2</v>
      </c>
      <c r="S21">
        <v>1</v>
      </c>
      <c r="T21">
        <v>3</v>
      </c>
      <c r="U21">
        <v>1</v>
      </c>
    </row>
    <row r="22" spans="1:21">
      <c r="A22" s="5" t="s">
        <v>59</v>
      </c>
      <c r="B22" s="6" t="s">
        <v>22</v>
      </c>
      <c r="C22" s="7">
        <v>42556</v>
      </c>
      <c r="D22" s="8" t="s">
        <v>29</v>
      </c>
      <c r="F22">
        <f t="shared" si="0"/>
        <v>261</v>
      </c>
      <c r="G22" s="9">
        <f t="shared" si="1"/>
        <v>19.846153846153847</v>
      </c>
      <c r="H22">
        <v>38</v>
      </c>
      <c r="I22">
        <v>32</v>
      </c>
      <c r="J22">
        <v>31</v>
      </c>
      <c r="K22">
        <v>54</v>
      </c>
      <c r="L22">
        <v>10</v>
      </c>
      <c r="M22">
        <v>21</v>
      </c>
      <c r="N22">
        <v>25</v>
      </c>
      <c r="O22">
        <v>14</v>
      </c>
      <c r="P22">
        <v>9</v>
      </c>
      <c r="Q22">
        <v>11</v>
      </c>
      <c r="R22">
        <v>6</v>
      </c>
      <c r="S22">
        <v>1</v>
      </c>
      <c r="T22">
        <v>6</v>
      </c>
      <c r="U22">
        <v>3</v>
      </c>
    </row>
    <row r="23" spans="1:21">
      <c r="A23" s="5" t="s">
        <v>60</v>
      </c>
      <c r="B23" s="6" t="s">
        <v>22</v>
      </c>
      <c r="C23" s="7">
        <v>42556</v>
      </c>
      <c r="D23" s="8" t="s">
        <v>31</v>
      </c>
      <c r="F23">
        <f t="shared" si="0"/>
        <v>361</v>
      </c>
      <c r="G23" s="9">
        <f t="shared" si="1"/>
        <v>27.53846153846154</v>
      </c>
      <c r="H23">
        <v>46</v>
      </c>
      <c r="I23">
        <v>69</v>
      </c>
      <c r="J23">
        <v>75</v>
      </c>
      <c r="K23">
        <v>44</v>
      </c>
      <c r="L23">
        <v>15</v>
      </c>
      <c r="M23">
        <v>19</v>
      </c>
      <c r="N23">
        <v>22</v>
      </c>
      <c r="O23">
        <v>16</v>
      </c>
      <c r="P23">
        <v>23</v>
      </c>
      <c r="Q23">
        <v>9</v>
      </c>
      <c r="R23">
        <v>10</v>
      </c>
      <c r="S23">
        <v>7</v>
      </c>
      <c r="T23">
        <v>3</v>
      </c>
      <c r="U23">
        <v>3</v>
      </c>
    </row>
    <row r="24" spans="1:21">
      <c r="A24" s="5" t="s">
        <v>61</v>
      </c>
      <c r="B24" s="6" t="s">
        <v>22</v>
      </c>
      <c r="C24" s="7">
        <v>42552</v>
      </c>
      <c r="D24" s="8" t="s">
        <v>62</v>
      </c>
      <c r="F24">
        <f t="shared" si="0"/>
        <v>344</v>
      </c>
      <c r="G24" s="9">
        <f t="shared" si="1"/>
        <v>26.076923076923077</v>
      </c>
      <c r="H24">
        <v>16</v>
      </c>
      <c r="I24">
        <v>27</v>
      </c>
      <c r="J24">
        <v>75</v>
      </c>
      <c r="K24">
        <v>62</v>
      </c>
      <c r="L24">
        <v>37</v>
      </c>
      <c r="M24">
        <v>38</v>
      </c>
      <c r="N24">
        <v>28</v>
      </c>
      <c r="O24">
        <v>18</v>
      </c>
      <c r="P24">
        <v>6</v>
      </c>
      <c r="Q24">
        <v>12</v>
      </c>
      <c r="R24">
        <v>6</v>
      </c>
      <c r="S24">
        <v>10</v>
      </c>
      <c r="T24">
        <v>4</v>
      </c>
      <c r="U24">
        <v>5</v>
      </c>
    </row>
    <row r="25" spans="1:21">
      <c r="A25" s="5" t="s">
        <v>63</v>
      </c>
      <c r="B25" s="6" t="s">
        <v>22</v>
      </c>
      <c r="C25" s="7">
        <v>42550</v>
      </c>
      <c r="D25" s="8" t="s">
        <v>64</v>
      </c>
      <c r="F25">
        <f t="shared" si="0"/>
        <v>669</v>
      </c>
      <c r="G25" s="9">
        <f t="shared" si="1"/>
        <v>50.615384615384613</v>
      </c>
      <c r="H25">
        <v>157</v>
      </c>
      <c r="I25">
        <v>141</v>
      </c>
      <c r="J25">
        <v>84</v>
      </c>
      <c r="K25">
        <v>35</v>
      </c>
      <c r="L25">
        <v>36</v>
      </c>
      <c r="M25">
        <v>51</v>
      </c>
      <c r="N25">
        <v>51</v>
      </c>
      <c r="O25">
        <v>42</v>
      </c>
      <c r="P25">
        <v>27</v>
      </c>
      <c r="Q25">
        <v>11</v>
      </c>
      <c r="R25">
        <v>7</v>
      </c>
      <c r="S25">
        <v>5</v>
      </c>
      <c r="T25">
        <v>11</v>
      </c>
      <c r="U25">
        <v>11</v>
      </c>
    </row>
    <row r="26" spans="1:21">
      <c r="A26" s="5" t="s">
        <v>65</v>
      </c>
      <c r="B26" s="6" t="s">
        <v>22</v>
      </c>
      <c r="C26" s="7">
        <v>42550</v>
      </c>
      <c r="D26" s="8" t="s">
        <v>66</v>
      </c>
      <c r="F26">
        <f t="shared" si="0"/>
        <v>482</v>
      </c>
      <c r="G26" s="9">
        <f t="shared" si="1"/>
        <v>36</v>
      </c>
      <c r="H26">
        <v>85</v>
      </c>
      <c r="I26">
        <v>119</v>
      </c>
      <c r="J26">
        <v>41</v>
      </c>
      <c r="K26">
        <v>14</v>
      </c>
      <c r="L26">
        <v>15</v>
      </c>
      <c r="M26">
        <v>19</v>
      </c>
      <c r="N26">
        <v>69</v>
      </c>
      <c r="O26">
        <v>39</v>
      </c>
      <c r="P26">
        <v>16</v>
      </c>
      <c r="Q26">
        <v>11</v>
      </c>
      <c r="R26">
        <v>7</v>
      </c>
      <c r="S26">
        <v>8</v>
      </c>
      <c r="T26">
        <v>25</v>
      </c>
      <c r="U26">
        <v>14</v>
      </c>
    </row>
    <row r="27" spans="1:21">
      <c r="A27" s="5" t="s">
        <v>67</v>
      </c>
      <c r="B27" s="6" t="s">
        <v>22</v>
      </c>
      <c r="C27" s="7">
        <v>42550</v>
      </c>
      <c r="D27" s="8" t="s">
        <v>68</v>
      </c>
      <c r="F27">
        <f t="shared" si="0"/>
        <v>65</v>
      </c>
      <c r="G27" s="9">
        <f t="shared" si="1"/>
        <v>4.8461538461538458</v>
      </c>
      <c r="H27">
        <v>16</v>
      </c>
      <c r="I27">
        <v>14</v>
      </c>
      <c r="J27">
        <v>10</v>
      </c>
      <c r="K27">
        <v>5</v>
      </c>
      <c r="L27">
        <v>7</v>
      </c>
      <c r="M27">
        <v>4</v>
      </c>
      <c r="N27">
        <v>2</v>
      </c>
      <c r="O27">
        <v>2</v>
      </c>
      <c r="P27">
        <v>1</v>
      </c>
      <c r="Q27">
        <v>0</v>
      </c>
      <c r="R27">
        <v>0</v>
      </c>
      <c r="S27">
        <v>0</v>
      </c>
      <c r="T27">
        <v>2</v>
      </c>
      <c r="U27">
        <v>2</v>
      </c>
    </row>
    <row r="28" spans="1:21">
      <c r="A28" s="5" t="s">
        <v>69</v>
      </c>
      <c r="B28" s="6" t="s">
        <v>22</v>
      </c>
      <c r="C28" s="7">
        <v>42548</v>
      </c>
      <c r="D28" s="8" t="s">
        <v>70</v>
      </c>
      <c r="F28">
        <f t="shared" si="0"/>
        <v>357</v>
      </c>
      <c r="G28" s="9">
        <f t="shared" si="1"/>
        <v>27.307692307692307</v>
      </c>
      <c r="H28">
        <v>83</v>
      </c>
      <c r="I28">
        <v>88</v>
      </c>
      <c r="J28">
        <v>50</v>
      </c>
      <c r="K28">
        <v>26</v>
      </c>
      <c r="L28">
        <v>8</v>
      </c>
      <c r="M28">
        <v>7</v>
      </c>
      <c r="N28">
        <v>8</v>
      </c>
      <c r="O28">
        <v>22</v>
      </c>
      <c r="P28">
        <v>27</v>
      </c>
      <c r="Q28">
        <v>16</v>
      </c>
      <c r="R28">
        <v>10</v>
      </c>
      <c r="S28">
        <v>7</v>
      </c>
      <c r="T28">
        <v>3</v>
      </c>
      <c r="U28">
        <v>2</v>
      </c>
    </row>
    <row r="29" spans="1:21">
      <c r="A29" s="5" t="s">
        <v>71</v>
      </c>
      <c r="B29" s="6" t="s">
        <v>22</v>
      </c>
      <c r="C29" s="7">
        <v>42545</v>
      </c>
      <c r="D29" s="8" t="s">
        <v>72</v>
      </c>
      <c r="F29">
        <f t="shared" si="0"/>
        <v>277</v>
      </c>
      <c r="G29" s="9">
        <f t="shared" si="1"/>
        <v>21.153846153846153</v>
      </c>
      <c r="H29">
        <v>15</v>
      </c>
      <c r="I29">
        <v>60</v>
      </c>
      <c r="J29">
        <v>44</v>
      </c>
      <c r="K29">
        <v>53</v>
      </c>
      <c r="L29">
        <v>37</v>
      </c>
      <c r="M29">
        <v>30</v>
      </c>
      <c r="N29">
        <v>16</v>
      </c>
      <c r="O29">
        <v>7</v>
      </c>
      <c r="P29">
        <v>2</v>
      </c>
      <c r="Q29">
        <v>2</v>
      </c>
      <c r="R29">
        <v>4</v>
      </c>
      <c r="S29">
        <v>2</v>
      </c>
      <c r="T29">
        <v>3</v>
      </c>
      <c r="U29">
        <v>2</v>
      </c>
    </row>
    <row r="30" spans="1:21">
      <c r="A30" s="5" t="s">
        <v>73</v>
      </c>
      <c r="B30" s="6" t="s">
        <v>22</v>
      </c>
      <c r="C30" s="7">
        <v>42544</v>
      </c>
      <c r="D30" s="8" t="s">
        <v>46</v>
      </c>
      <c r="F30">
        <f t="shared" si="0"/>
        <v>270</v>
      </c>
      <c r="G30" s="9">
        <f t="shared" si="1"/>
        <v>20.53846153846154</v>
      </c>
      <c r="H30">
        <v>35</v>
      </c>
      <c r="I30">
        <v>54</v>
      </c>
      <c r="J30">
        <v>18</v>
      </c>
      <c r="K30">
        <v>27</v>
      </c>
      <c r="L30">
        <v>21</v>
      </c>
      <c r="M30">
        <v>33</v>
      </c>
      <c r="N30">
        <v>5</v>
      </c>
      <c r="O30">
        <v>32</v>
      </c>
      <c r="P30">
        <v>15</v>
      </c>
      <c r="Q30">
        <v>4</v>
      </c>
      <c r="R30">
        <v>11</v>
      </c>
      <c r="S30">
        <v>5</v>
      </c>
      <c r="T30">
        <v>7</v>
      </c>
      <c r="U30">
        <v>3</v>
      </c>
    </row>
    <row r="31" spans="1:21">
      <c r="A31" s="5" t="s">
        <v>74</v>
      </c>
      <c r="B31" s="6" t="s">
        <v>22</v>
      </c>
      <c r="C31" s="7">
        <v>42544</v>
      </c>
      <c r="D31" s="8" t="s">
        <v>31</v>
      </c>
      <c r="F31">
        <f t="shared" si="0"/>
        <v>833</v>
      </c>
      <c r="G31" s="9">
        <f t="shared" si="1"/>
        <v>63.153846153846153</v>
      </c>
      <c r="H31">
        <v>201</v>
      </c>
      <c r="I31">
        <v>152</v>
      </c>
      <c r="J31">
        <v>60</v>
      </c>
      <c r="K31">
        <v>76</v>
      </c>
      <c r="L31">
        <v>83</v>
      </c>
      <c r="M31">
        <v>77</v>
      </c>
      <c r="N31">
        <v>52</v>
      </c>
      <c r="O31">
        <v>29</v>
      </c>
      <c r="P31">
        <v>19</v>
      </c>
      <c r="Q31">
        <v>14</v>
      </c>
      <c r="R31">
        <v>14</v>
      </c>
      <c r="S31">
        <v>22</v>
      </c>
      <c r="T31">
        <v>22</v>
      </c>
      <c r="U31">
        <v>12</v>
      </c>
    </row>
    <row r="32" spans="1:21">
      <c r="A32" s="5" t="s">
        <v>75</v>
      </c>
      <c r="B32" s="6" t="s">
        <v>22</v>
      </c>
      <c r="C32" s="7">
        <v>42543</v>
      </c>
      <c r="D32" s="8" t="s">
        <v>64</v>
      </c>
      <c r="F32">
        <f t="shared" si="0"/>
        <v>433</v>
      </c>
      <c r="G32" s="9">
        <f t="shared" si="1"/>
        <v>33.07692307692308</v>
      </c>
      <c r="H32">
        <v>108</v>
      </c>
      <c r="I32">
        <v>128</v>
      </c>
      <c r="J32">
        <v>98</v>
      </c>
      <c r="K32">
        <v>24</v>
      </c>
      <c r="L32">
        <v>26</v>
      </c>
      <c r="M32">
        <v>14</v>
      </c>
      <c r="N32">
        <v>14</v>
      </c>
      <c r="O32">
        <v>4</v>
      </c>
      <c r="P32">
        <v>1</v>
      </c>
      <c r="Q32">
        <v>8</v>
      </c>
      <c r="R32">
        <v>3</v>
      </c>
      <c r="S32">
        <v>1</v>
      </c>
      <c r="T32">
        <v>1</v>
      </c>
      <c r="U32">
        <v>3</v>
      </c>
    </row>
    <row r="33" spans="1:21">
      <c r="A33" s="5" t="s">
        <v>76</v>
      </c>
      <c r="B33" s="6" t="s">
        <v>22</v>
      </c>
      <c r="C33" s="7">
        <v>42541</v>
      </c>
      <c r="D33" s="8" t="s">
        <v>77</v>
      </c>
      <c r="F33">
        <f t="shared" si="0"/>
        <v>119</v>
      </c>
      <c r="G33" s="9">
        <f t="shared" si="1"/>
        <v>9.0769230769230766</v>
      </c>
      <c r="H33">
        <v>34</v>
      </c>
      <c r="I33">
        <v>35</v>
      </c>
      <c r="J33">
        <v>26</v>
      </c>
      <c r="K33">
        <v>9</v>
      </c>
      <c r="L33">
        <v>4</v>
      </c>
      <c r="M33">
        <v>0</v>
      </c>
      <c r="N33">
        <v>4</v>
      </c>
      <c r="O33">
        <v>4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>
      <c r="A34" s="5" t="s">
        <v>78</v>
      </c>
      <c r="B34" s="6" t="s">
        <v>22</v>
      </c>
      <c r="C34" s="7">
        <v>42534</v>
      </c>
      <c r="D34" s="8" t="s">
        <v>31</v>
      </c>
      <c r="F34">
        <f t="shared" si="0"/>
        <v>802</v>
      </c>
      <c r="G34" s="9">
        <f t="shared" si="1"/>
        <v>61.384615384615387</v>
      </c>
      <c r="H34">
        <v>182</v>
      </c>
      <c r="I34">
        <v>229</v>
      </c>
      <c r="J34">
        <v>115</v>
      </c>
      <c r="K34">
        <v>71</v>
      </c>
      <c r="L34">
        <v>41</v>
      </c>
      <c r="M34">
        <v>31</v>
      </c>
      <c r="N34">
        <v>30</v>
      </c>
      <c r="O34">
        <v>30</v>
      </c>
      <c r="P34">
        <v>30</v>
      </c>
      <c r="Q34">
        <v>17</v>
      </c>
      <c r="R34">
        <v>9</v>
      </c>
      <c r="S34">
        <v>7</v>
      </c>
      <c r="T34">
        <v>6</v>
      </c>
      <c r="U34">
        <v>4</v>
      </c>
    </row>
    <row r="35" spans="1:21">
      <c r="A35" s="5" t="s">
        <v>79</v>
      </c>
      <c r="B35" s="6" t="s">
        <v>22</v>
      </c>
      <c r="C35" s="7">
        <v>42531</v>
      </c>
      <c r="D35" s="8" t="s">
        <v>80</v>
      </c>
      <c r="F35">
        <f t="shared" si="0"/>
        <v>217</v>
      </c>
      <c r="G35" s="9">
        <f t="shared" si="1"/>
        <v>16.53846153846154</v>
      </c>
      <c r="H35">
        <v>43</v>
      </c>
      <c r="I35">
        <v>26</v>
      </c>
      <c r="J35">
        <v>10</v>
      </c>
      <c r="K35">
        <v>14</v>
      </c>
      <c r="L35">
        <v>15</v>
      </c>
      <c r="M35">
        <v>58</v>
      </c>
      <c r="N35">
        <v>17</v>
      </c>
      <c r="O35">
        <v>3</v>
      </c>
      <c r="P35">
        <v>3</v>
      </c>
      <c r="Q35">
        <v>9</v>
      </c>
      <c r="R35">
        <v>7</v>
      </c>
      <c r="S35">
        <v>6</v>
      </c>
      <c r="T35">
        <v>4</v>
      </c>
      <c r="U35">
        <v>2</v>
      </c>
    </row>
    <row r="36" spans="1:21">
      <c r="A36" s="5" t="s">
        <v>81</v>
      </c>
      <c r="B36" s="6" t="s">
        <v>22</v>
      </c>
      <c r="C36" s="7">
        <v>42530</v>
      </c>
      <c r="D36" s="8" t="s">
        <v>82</v>
      </c>
      <c r="F36">
        <f t="shared" si="0"/>
        <v>2329</v>
      </c>
      <c r="G36" s="9">
        <f t="shared" si="1"/>
        <v>178.61538461538461</v>
      </c>
      <c r="H36">
        <v>263</v>
      </c>
      <c r="I36">
        <v>415</v>
      </c>
      <c r="J36">
        <v>510</v>
      </c>
      <c r="K36">
        <v>291</v>
      </c>
      <c r="L36">
        <v>565</v>
      </c>
      <c r="M36">
        <v>143</v>
      </c>
      <c r="N36">
        <v>55</v>
      </c>
      <c r="O36">
        <v>28</v>
      </c>
      <c r="P36">
        <v>10</v>
      </c>
      <c r="Q36">
        <v>9</v>
      </c>
      <c r="R36">
        <v>10</v>
      </c>
      <c r="S36">
        <v>13</v>
      </c>
      <c r="T36">
        <v>10</v>
      </c>
      <c r="U36">
        <v>7</v>
      </c>
    </row>
    <row r="37" spans="1:21">
      <c r="A37" s="5" t="s">
        <v>83</v>
      </c>
      <c r="B37" s="6" t="s">
        <v>22</v>
      </c>
      <c r="C37" s="7">
        <v>42530</v>
      </c>
      <c r="D37" s="8" t="s">
        <v>84</v>
      </c>
      <c r="F37">
        <f t="shared" si="0"/>
        <v>559</v>
      </c>
      <c r="G37" s="9">
        <f t="shared" si="1"/>
        <v>42.692307692307693</v>
      </c>
      <c r="H37">
        <v>38</v>
      </c>
      <c r="I37">
        <v>66</v>
      </c>
      <c r="J37">
        <v>71</v>
      </c>
      <c r="K37">
        <v>83</v>
      </c>
      <c r="L37">
        <v>78</v>
      </c>
      <c r="M37">
        <v>62</v>
      </c>
      <c r="N37">
        <v>65</v>
      </c>
      <c r="O37">
        <v>23</v>
      </c>
      <c r="P37">
        <v>20</v>
      </c>
      <c r="Q37">
        <v>12</v>
      </c>
      <c r="R37">
        <v>11</v>
      </c>
      <c r="S37">
        <v>5</v>
      </c>
      <c r="T37">
        <v>21</v>
      </c>
      <c r="U37">
        <v>4</v>
      </c>
    </row>
    <row r="38" spans="1:21">
      <c r="A38" s="5" t="s">
        <v>85</v>
      </c>
      <c r="B38" s="6" t="s">
        <v>22</v>
      </c>
      <c r="C38" s="7">
        <v>42530</v>
      </c>
      <c r="D38" s="8" t="s">
        <v>31</v>
      </c>
      <c r="F38">
        <f t="shared" si="0"/>
        <v>1379</v>
      </c>
      <c r="G38" s="9">
        <f t="shared" si="1"/>
        <v>103.15384615384616</v>
      </c>
      <c r="H38">
        <v>217</v>
      </c>
      <c r="I38">
        <v>218</v>
      </c>
      <c r="J38">
        <v>226</v>
      </c>
      <c r="K38">
        <v>160</v>
      </c>
      <c r="L38">
        <v>145</v>
      </c>
      <c r="M38">
        <v>81</v>
      </c>
      <c r="N38">
        <v>69</v>
      </c>
      <c r="O38">
        <v>37</v>
      </c>
      <c r="P38">
        <v>40</v>
      </c>
      <c r="Q38">
        <v>36</v>
      </c>
      <c r="R38">
        <v>32</v>
      </c>
      <c r="S38">
        <v>40</v>
      </c>
      <c r="T38">
        <v>40</v>
      </c>
      <c r="U38">
        <v>38</v>
      </c>
    </row>
    <row r="39" spans="1:21">
      <c r="A39" s="5" t="s">
        <v>86</v>
      </c>
      <c r="B39" s="6" t="s">
        <v>22</v>
      </c>
      <c r="C39" s="7">
        <v>42528</v>
      </c>
      <c r="D39" s="8" t="s">
        <v>25</v>
      </c>
      <c r="F39">
        <f t="shared" si="0"/>
        <v>787</v>
      </c>
      <c r="G39" s="9">
        <f t="shared" si="1"/>
        <v>59.46153846153846</v>
      </c>
      <c r="H39">
        <v>189</v>
      </c>
      <c r="I39">
        <v>142</v>
      </c>
      <c r="J39">
        <v>76</v>
      </c>
      <c r="K39">
        <v>32</v>
      </c>
      <c r="L39">
        <v>73</v>
      </c>
      <c r="M39">
        <v>83</v>
      </c>
      <c r="N39">
        <v>91</v>
      </c>
      <c r="O39">
        <v>36</v>
      </c>
      <c r="P39">
        <v>11</v>
      </c>
      <c r="Q39">
        <v>18</v>
      </c>
      <c r="R39">
        <v>8</v>
      </c>
      <c r="S39">
        <v>10</v>
      </c>
      <c r="T39">
        <v>4</v>
      </c>
      <c r="U39">
        <v>14</v>
      </c>
    </row>
    <row r="40" spans="1:21">
      <c r="A40" s="5" t="s">
        <v>87</v>
      </c>
      <c r="B40" s="6" t="s">
        <v>22</v>
      </c>
      <c r="C40" s="7">
        <v>42516</v>
      </c>
      <c r="D40" s="8" t="s">
        <v>88</v>
      </c>
      <c r="F40">
        <f t="shared" si="0"/>
        <v>370</v>
      </c>
      <c r="G40" s="9">
        <f t="shared" si="1"/>
        <v>25.53846153846154</v>
      </c>
      <c r="H40">
        <v>13</v>
      </c>
      <c r="I40">
        <v>14</v>
      </c>
      <c r="J40">
        <v>6</v>
      </c>
      <c r="K40">
        <v>5</v>
      </c>
      <c r="L40">
        <v>11</v>
      </c>
      <c r="M40">
        <v>16</v>
      </c>
      <c r="N40">
        <v>28</v>
      </c>
      <c r="O40">
        <v>90</v>
      </c>
      <c r="P40">
        <v>49</v>
      </c>
      <c r="Q40">
        <v>22</v>
      </c>
      <c r="R40">
        <v>31</v>
      </c>
      <c r="S40">
        <v>40</v>
      </c>
      <c r="T40">
        <v>7</v>
      </c>
      <c r="U40">
        <v>38</v>
      </c>
    </row>
    <row r="41" spans="1:21">
      <c r="A41" s="5" t="s">
        <v>89</v>
      </c>
      <c r="B41" s="6" t="s">
        <v>22</v>
      </c>
      <c r="C41" s="7">
        <v>42516</v>
      </c>
      <c r="D41" s="8" t="s">
        <v>90</v>
      </c>
      <c r="F41">
        <f t="shared" si="0"/>
        <v>227</v>
      </c>
      <c r="G41" s="9">
        <f t="shared" si="1"/>
        <v>16.923076923076923</v>
      </c>
      <c r="H41">
        <v>20</v>
      </c>
      <c r="I41">
        <v>15</v>
      </c>
      <c r="J41">
        <v>4</v>
      </c>
      <c r="K41">
        <v>13</v>
      </c>
      <c r="L41">
        <v>9</v>
      </c>
      <c r="M41">
        <v>40</v>
      </c>
      <c r="N41">
        <v>28</v>
      </c>
      <c r="O41">
        <v>29</v>
      </c>
      <c r="P41">
        <v>23</v>
      </c>
      <c r="Q41">
        <v>3</v>
      </c>
      <c r="R41">
        <v>4</v>
      </c>
      <c r="S41">
        <v>6</v>
      </c>
      <c r="T41">
        <v>26</v>
      </c>
      <c r="U41">
        <v>7</v>
      </c>
    </row>
    <row r="42" spans="1:21">
      <c r="A42" s="5" t="s">
        <v>91</v>
      </c>
      <c r="B42" s="6" t="s">
        <v>22</v>
      </c>
      <c r="C42" s="7">
        <v>42515</v>
      </c>
      <c r="D42" s="8" t="s">
        <v>92</v>
      </c>
      <c r="F42">
        <f t="shared" si="0"/>
        <v>703</v>
      </c>
      <c r="G42" s="9">
        <f t="shared" si="1"/>
        <v>51.384615384615387</v>
      </c>
      <c r="H42">
        <v>49</v>
      </c>
      <c r="I42">
        <v>113</v>
      </c>
      <c r="J42">
        <v>37</v>
      </c>
      <c r="K42">
        <v>10</v>
      </c>
      <c r="L42">
        <v>14</v>
      </c>
      <c r="M42">
        <v>22</v>
      </c>
      <c r="N42">
        <v>64</v>
      </c>
      <c r="O42">
        <v>145</v>
      </c>
      <c r="P42">
        <v>61</v>
      </c>
      <c r="Q42">
        <v>47</v>
      </c>
      <c r="R42">
        <v>30</v>
      </c>
      <c r="S42">
        <v>28</v>
      </c>
      <c r="T42">
        <v>48</v>
      </c>
      <c r="U42">
        <v>35</v>
      </c>
    </row>
    <row r="43" spans="1:21">
      <c r="A43" s="5" t="s">
        <v>93</v>
      </c>
      <c r="B43" s="6" t="s">
        <v>22</v>
      </c>
      <c r="C43" s="7">
        <v>42513</v>
      </c>
      <c r="D43" s="8" t="s">
        <v>31</v>
      </c>
      <c r="F43">
        <f t="shared" si="0"/>
        <v>872</v>
      </c>
      <c r="G43" s="9">
        <f t="shared" si="1"/>
        <v>66.692307692307693</v>
      </c>
      <c r="H43">
        <v>90</v>
      </c>
      <c r="I43">
        <v>275</v>
      </c>
      <c r="J43">
        <v>109</v>
      </c>
      <c r="K43">
        <v>71</v>
      </c>
      <c r="L43">
        <v>34</v>
      </c>
      <c r="M43">
        <v>14</v>
      </c>
      <c r="N43">
        <v>16</v>
      </c>
      <c r="O43">
        <v>31</v>
      </c>
      <c r="P43">
        <v>115</v>
      </c>
      <c r="Q43">
        <v>43</v>
      </c>
      <c r="R43">
        <v>34</v>
      </c>
      <c r="S43">
        <v>28</v>
      </c>
      <c r="T43">
        <v>7</v>
      </c>
      <c r="U43">
        <v>5</v>
      </c>
    </row>
    <row r="44" spans="1:21">
      <c r="A44" s="5" t="s">
        <v>94</v>
      </c>
      <c r="B44" s="6" t="s">
        <v>22</v>
      </c>
      <c r="C44" s="7">
        <v>42510</v>
      </c>
      <c r="D44" s="8" t="s">
        <v>95</v>
      </c>
      <c r="F44">
        <f t="shared" si="0"/>
        <v>467</v>
      </c>
      <c r="G44" s="9">
        <f t="shared" si="1"/>
        <v>35.769230769230766</v>
      </c>
      <c r="H44">
        <v>96</v>
      </c>
      <c r="I44">
        <v>74</v>
      </c>
      <c r="J44">
        <v>46</v>
      </c>
      <c r="K44">
        <v>58</v>
      </c>
      <c r="L44">
        <v>54</v>
      </c>
      <c r="M44">
        <v>71</v>
      </c>
      <c r="N44">
        <v>15</v>
      </c>
      <c r="O44">
        <v>7</v>
      </c>
      <c r="P44">
        <v>2</v>
      </c>
      <c r="Q44">
        <v>1</v>
      </c>
      <c r="R44">
        <v>14</v>
      </c>
      <c r="S44">
        <v>16</v>
      </c>
      <c r="T44">
        <v>11</v>
      </c>
      <c r="U44">
        <v>2</v>
      </c>
    </row>
    <row r="45" spans="1:21">
      <c r="A45" s="5" t="s">
        <v>96</v>
      </c>
      <c r="B45" s="6" t="s">
        <v>22</v>
      </c>
      <c r="C45" s="7">
        <v>42509</v>
      </c>
      <c r="D45" s="8" t="s">
        <v>23</v>
      </c>
      <c r="F45">
        <f t="shared" si="0"/>
        <v>187</v>
      </c>
      <c r="G45" s="9">
        <f t="shared" si="1"/>
        <v>13.153846153846153</v>
      </c>
      <c r="H45">
        <v>28</v>
      </c>
      <c r="I45">
        <v>20</v>
      </c>
      <c r="J45">
        <v>6</v>
      </c>
      <c r="K45">
        <v>2</v>
      </c>
      <c r="L45">
        <v>40</v>
      </c>
      <c r="M45">
        <v>18</v>
      </c>
      <c r="N45">
        <v>20</v>
      </c>
      <c r="O45">
        <v>12</v>
      </c>
      <c r="P45">
        <v>6</v>
      </c>
      <c r="Q45">
        <v>2</v>
      </c>
      <c r="R45">
        <v>2</v>
      </c>
      <c r="S45">
        <v>5</v>
      </c>
      <c r="T45">
        <v>10</v>
      </c>
      <c r="U45">
        <v>16</v>
      </c>
    </row>
    <row r="46" spans="1:21">
      <c r="A46" s="5" t="s">
        <v>97</v>
      </c>
      <c r="B46" s="6" t="s">
        <v>22</v>
      </c>
      <c r="C46" s="7">
        <v>42507</v>
      </c>
      <c r="D46" s="8" t="s">
        <v>27</v>
      </c>
      <c r="F46">
        <f t="shared" si="0"/>
        <v>890</v>
      </c>
      <c r="G46" s="9">
        <f t="shared" si="1"/>
        <v>67.538461538461533</v>
      </c>
      <c r="H46">
        <v>68</v>
      </c>
      <c r="I46">
        <v>480</v>
      </c>
      <c r="J46">
        <v>104</v>
      </c>
      <c r="K46">
        <v>67</v>
      </c>
      <c r="L46">
        <v>18</v>
      </c>
      <c r="M46">
        <v>18</v>
      </c>
      <c r="N46">
        <v>37</v>
      </c>
      <c r="O46">
        <v>22</v>
      </c>
      <c r="P46">
        <v>26</v>
      </c>
      <c r="Q46">
        <v>15</v>
      </c>
      <c r="R46">
        <v>8</v>
      </c>
      <c r="S46">
        <v>6</v>
      </c>
      <c r="T46">
        <v>9</v>
      </c>
      <c r="U46">
        <v>12</v>
      </c>
    </row>
    <row r="47" spans="1:21">
      <c r="A47" s="5" t="s">
        <v>98</v>
      </c>
      <c r="B47" s="6" t="s">
        <v>99</v>
      </c>
      <c r="C47" s="7">
        <v>42590</v>
      </c>
      <c r="D47" s="8" t="s">
        <v>100</v>
      </c>
      <c r="F47">
        <f>SUM(H47:U47)</f>
        <v>580</v>
      </c>
      <c r="G47" s="9">
        <f t="shared" si="1"/>
        <v>44.46153846153846</v>
      </c>
      <c r="H47">
        <v>44</v>
      </c>
      <c r="I47">
        <v>197</v>
      </c>
      <c r="J47">
        <v>162</v>
      </c>
      <c r="K47">
        <v>64</v>
      </c>
      <c r="L47">
        <v>13</v>
      </c>
      <c r="M47">
        <v>47</v>
      </c>
      <c r="N47">
        <v>23</v>
      </c>
      <c r="O47">
        <v>9</v>
      </c>
      <c r="P47">
        <v>9</v>
      </c>
      <c r="Q47">
        <v>3</v>
      </c>
      <c r="R47">
        <v>3</v>
      </c>
      <c r="S47">
        <v>1</v>
      </c>
      <c r="T47">
        <v>3</v>
      </c>
      <c r="U47">
        <v>2</v>
      </c>
    </row>
    <row r="48" spans="1:21">
      <c r="A48" s="5" t="s">
        <v>101</v>
      </c>
      <c r="B48" s="6" t="s">
        <v>99</v>
      </c>
      <c r="C48" s="7">
        <v>42586</v>
      </c>
      <c r="D48" s="8" t="s">
        <v>102</v>
      </c>
      <c r="F48">
        <f t="shared" ref="F48:F110" si="2">SUM(H48:U48)</f>
        <v>450</v>
      </c>
      <c r="G48" s="9">
        <f t="shared" si="1"/>
        <v>34.53846153846154</v>
      </c>
      <c r="H48">
        <v>47</v>
      </c>
      <c r="I48">
        <v>114</v>
      </c>
      <c r="J48">
        <v>37</v>
      </c>
      <c r="K48">
        <v>31</v>
      </c>
      <c r="L48">
        <v>70</v>
      </c>
      <c r="M48">
        <v>78</v>
      </c>
      <c r="N48">
        <v>25</v>
      </c>
      <c r="O48">
        <v>14</v>
      </c>
      <c r="P48">
        <v>14</v>
      </c>
      <c r="Q48">
        <v>6</v>
      </c>
      <c r="R48">
        <v>7</v>
      </c>
      <c r="S48">
        <v>1</v>
      </c>
      <c r="T48">
        <v>5</v>
      </c>
      <c r="U48">
        <v>1</v>
      </c>
    </row>
    <row r="49" spans="1:21">
      <c r="A49" s="5" t="s">
        <v>103</v>
      </c>
      <c r="B49" s="6" t="s">
        <v>99</v>
      </c>
      <c r="C49" s="7">
        <v>42583</v>
      </c>
      <c r="D49" s="8" t="s">
        <v>104</v>
      </c>
      <c r="F49">
        <f t="shared" si="2"/>
        <v>1511</v>
      </c>
      <c r="G49" s="9">
        <f t="shared" si="1"/>
        <v>114.23076923076923</v>
      </c>
      <c r="H49">
        <v>83</v>
      </c>
      <c r="I49">
        <v>735</v>
      </c>
      <c r="J49">
        <v>180</v>
      </c>
      <c r="K49">
        <v>156</v>
      </c>
      <c r="L49">
        <v>64</v>
      </c>
      <c r="M49">
        <v>18</v>
      </c>
      <c r="N49">
        <v>13</v>
      </c>
      <c r="O49">
        <v>94</v>
      </c>
      <c r="P49">
        <v>78</v>
      </c>
      <c r="Q49">
        <v>22</v>
      </c>
      <c r="R49">
        <v>21</v>
      </c>
      <c r="S49">
        <v>17</v>
      </c>
      <c r="T49">
        <v>4</v>
      </c>
      <c r="U49">
        <v>26</v>
      </c>
    </row>
    <row r="50" spans="1:21">
      <c r="A50" s="5" t="s">
        <v>105</v>
      </c>
      <c r="B50" s="6" t="s">
        <v>99</v>
      </c>
      <c r="C50" s="7">
        <v>42562</v>
      </c>
      <c r="D50" s="8" t="s">
        <v>100</v>
      </c>
      <c r="F50">
        <f t="shared" si="2"/>
        <v>371</v>
      </c>
      <c r="G50" s="9">
        <f t="shared" si="1"/>
        <v>28.23076923076923</v>
      </c>
      <c r="H50">
        <v>33</v>
      </c>
      <c r="I50">
        <v>64</v>
      </c>
      <c r="J50">
        <v>120</v>
      </c>
      <c r="K50">
        <v>78</v>
      </c>
      <c r="L50">
        <v>23</v>
      </c>
      <c r="M50">
        <v>8</v>
      </c>
      <c r="N50">
        <v>15</v>
      </c>
      <c r="O50">
        <v>9</v>
      </c>
      <c r="P50">
        <v>4</v>
      </c>
      <c r="Q50">
        <v>2</v>
      </c>
      <c r="R50">
        <v>4</v>
      </c>
      <c r="S50">
        <v>6</v>
      </c>
      <c r="T50">
        <v>1</v>
      </c>
      <c r="U50">
        <v>4</v>
      </c>
    </row>
    <row r="51" spans="1:21">
      <c r="A51" s="5" t="s">
        <v>106</v>
      </c>
      <c r="B51" s="6" t="s">
        <v>99</v>
      </c>
      <c r="C51" s="7">
        <v>42550</v>
      </c>
      <c r="D51" s="8" t="s">
        <v>107</v>
      </c>
      <c r="F51">
        <f t="shared" si="2"/>
        <v>500</v>
      </c>
      <c r="G51" s="9">
        <f t="shared" si="1"/>
        <v>36.307692307692307</v>
      </c>
      <c r="H51">
        <v>230</v>
      </c>
      <c r="I51">
        <v>79</v>
      </c>
      <c r="J51">
        <v>17</v>
      </c>
      <c r="K51">
        <v>19</v>
      </c>
      <c r="L51">
        <v>14</v>
      </c>
      <c r="M51">
        <v>15</v>
      </c>
      <c r="N51">
        <v>25</v>
      </c>
      <c r="O51">
        <v>16</v>
      </c>
      <c r="P51">
        <v>17</v>
      </c>
      <c r="Q51">
        <v>12</v>
      </c>
      <c r="R51">
        <v>5</v>
      </c>
      <c r="S51">
        <v>10</v>
      </c>
      <c r="T51">
        <v>13</v>
      </c>
      <c r="U51">
        <v>28</v>
      </c>
    </row>
    <row r="52" spans="1:21">
      <c r="A52" s="5" t="s">
        <v>108</v>
      </c>
      <c r="B52" s="6" t="s">
        <v>99</v>
      </c>
      <c r="C52" s="7">
        <v>42548</v>
      </c>
      <c r="D52" s="8" t="s">
        <v>109</v>
      </c>
      <c r="F52">
        <f t="shared" si="2"/>
        <v>568</v>
      </c>
      <c r="G52" s="9">
        <f t="shared" si="1"/>
        <v>43.46153846153846</v>
      </c>
      <c r="H52">
        <v>222</v>
      </c>
      <c r="I52">
        <v>174</v>
      </c>
      <c r="J52">
        <v>56</v>
      </c>
      <c r="K52">
        <v>32</v>
      </c>
      <c r="L52">
        <v>26</v>
      </c>
      <c r="M52">
        <v>6</v>
      </c>
      <c r="N52">
        <v>7</v>
      </c>
      <c r="O52">
        <v>10</v>
      </c>
      <c r="P52">
        <v>6</v>
      </c>
      <c r="Q52">
        <v>6</v>
      </c>
      <c r="R52">
        <v>6</v>
      </c>
      <c r="S52">
        <v>10</v>
      </c>
      <c r="T52">
        <v>4</v>
      </c>
      <c r="U52">
        <v>3</v>
      </c>
    </row>
    <row r="53" spans="1:21">
      <c r="A53" s="5" t="s">
        <v>110</v>
      </c>
      <c r="B53" s="6" t="s">
        <v>99</v>
      </c>
      <c r="C53" s="7">
        <v>42527</v>
      </c>
      <c r="D53" s="8" t="s">
        <v>102</v>
      </c>
      <c r="F53">
        <f t="shared" si="2"/>
        <v>417</v>
      </c>
      <c r="G53" s="9">
        <f t="shared" si="1"/>
        <v>31.53846153846154</v>
      </c>
      <c r="H53">
        <v>93</v>
      </c>
      <c r="I53">
        <v>102</v>
      </c>
      <c r="J53">
        <v>65</v>
      </c>
      <c r="K53">
        <v>35</v>
      </c>
      <c r="L53">
        <v>24</v>
      </c>
      <c r="M53">
        <v>21</v>
      </c>
      <c r="N53">
        <v>11</v>
      </c>
      <c r="O53">
        <v>24</v>
      </c>
      <c r="P53">
        <v>12</v>
      </c>
      <c r="Q53">
        <v>8</v>
      </c>
      <c r="R53">
        <v>5</v>
      </c>
      <c r="S53">
        <v>3</v>
      </c>
      <c r="T53">
        <v>7</v>
      </c>
      <c r="U53">
        <v>7</v>
      </c>
    </row>
    <row r="54" spans="1:21">
      <c r="A54" s="5" t="s">
        <v>111</v>
      </c>
      <c r="B54" s="6" t="s">
        <v>112</v>
      </c>
      <c r="C54" s="7">
        <v>42604</v>
      </c>
      <c r="D54" s="8" t="s">
        <v>31</v>
      </c>
      <c r="F54">
        <f t="shared" si="2"/>
        <v>1094</v>
      </c>
      <c r="G54" s="9">
        <f t="shared" si="1"/>
        <v>82.615384615384613</v>
      </c>
      <c r="H54">
        <v>147</v>
      </c>
      <c r="I54">
        <v>179</v>
      </c>
      <c r="J54">
        <v>63</v>
      </c>
      <c r="K54">
        <v>44</v>
      </c>
      <c r="L54">
        <v>67</v>
      </c>
      <c r="M54">
        <v>167</v>
      </c>
      <c r="N54">
        <v>93</v>
      </c>
      <c r="O54">
        <v>58</v>
      </c>
      <c r="P54">
        <v>55</v>
      </c>
      <c r="Q54">
        <v>35</v>
      </c>
      <c r="R54">
        <v>61</v>
      </c>
      <c r="S54">
        <v>63</v>
      </c>
      <c r="T54">
        <v>42</v>
      </c>
      <c r="U54">
        <v>20</v>
      </c>
    </row>
    <row r="55" spans="1:21">
      <c r="A55" s="5" t="s">
        <v>113</v>
      </c>
      <c r="B55" s="6" t="s">
        <v>112</v>
      </c>
      <c r="C55" s="7">
        <v>42601</v>
      </c>
      <c r="D55" s="8" t="s">
        <v>31</v>
      </c>
      <c r="F55">
        <f t="shared" si="2"/>
        <v>898</v>
      </c>
      <c r="G55" s="9">
        <f t="shared" si="1"/>
        <v>69.07692307692308</v>
      </c>
      <c r="H55">
        <f>48+52</f>
        <v>100</v>
      </c>
      <c r="I55">
        <f>47+69</f>
        <v>116</v>
      </c>
      <c r="J55">
        <f>97+67</f>
        <v>164</v>
      </c>
      <c r="K55">
        <f>67+96</f>
        <v>163</v>
      </c>
      <c r="L55">
        <f>69+36</f>
        <v>105</v>
      </c>
      <c r="M55">
        <f>57+2</f>
        <v>59</v>
      </c>
      <c r="N55">
        <f>44+0</f>
        <v>44</v>
      </c>
      <c r="O55">
        <f>27+0</f>
        <v>27</v>
      </c>
      <c r="P55">
        <f>11+1</f>
        <v>12</v>
      </c>
      <c r="Q55">
        <f>22+0</f>
        <v>22</v>
      </c>
      <c r="R55">
        <f>25+1</f>
        <v>26</v>
      </c>
      <c r="S55">
        <f>29+0</f>
        <v>29</v>
      </c>
      <c r="T55">
        <f>30+1</f>
        <v>31</v>
      </c>
    </row>
    <row r="56" spans="1:21">
      <c r="A56" s="5" t="s">
        <v>114</v>
      </c>
      <c r="B56" s="6" t="s">
        <v>112</v>
      </c>
      <c r="C56" s="7">
        <v>42598</v>
      </c>
      <c r="D56" s="8" t="s">
        <v>115</v>
      </c>
      <c r="F56">
        <f t="shared" si="2"/>
        <v>36</v>
      </c>
      <c r="G56" s="9">
        <f t="shared" si="1"/>
        <v>3</v>
      </c>
      <c r="H56">
        <v>3</v>
      </c>
      <c r="I56">
        <v>10</v>
      </c>
      <c r="J56">
        <v>4</v>
      </c>
      <c r="K56">
        <v>7</v>
      </c>
      <c r="L56">
        <v>1</v>
      </c>
      <c r="M56">
        <v>2</v>
      </c>
      <c r="N56">
        <v>0</v>
      </c>
      <c r="O56">
        <v>2</v>
      </c>
      <c r="P56">
        <v>4</v>
      </c>
      <c r="Q56">
        <v>0</v>
      </c>
      <c r="R56">
        <v>1</v>
      </c>
      <c r="S56">
        <v>2</v>
      </c>
    </row>
    <row r="57" spans="1:21">
      <c r="A57" s="5" t="s">
        <v>116</v>
      </c>
      <c r="B57" s="6" t="s">
        <v>112</v>
      </c>
      <c r="C57" s="7">
        <v>42593</v>
      </c>
      <c r="D57" s="8" t="s">
        <v>117</v>
      </c>
      <c r="F57">
        <f t="shared" si="2"/>
        <v>239</v>
      </c>
      <c r="G57" s="9">
        <f t="shared" si="1"/>
        <v>23.9</v>
      </c>
      <c r="H57">
        <v>11</v>
      </c>
      <c r="I57">
        <v>39</v>
      </c>
      <c r="J57">
        <v>30</v>
      </c>
      <c r="K57">
        <v>40</v>
      </c>
      <c r="L57">
        <v>35</v>
      </c>
      <c r="M57">
        <v>19</v>
      </c>
      <c r="N57">
        <v>10</v>
      </c>
      <c r="O57">
        <v>14</v>
      </c>
      <c r="P57">
        <v>32</v>
      </c>
      <c r="Q57">
        <v>9</v>
      </c>
    </row>
    <row r="58" spans="1:21">
      <c r="A58" s="5" t="s">
        <v>118</v>
      </c>
      <c r="B58" s="6" t="s">
        <v>112</v>
      </c>
      <c r="C58" s="7">
        <v>42593</v>
      </c>
      <c r="D58" s="8" t="s">
        <v>119</v>
      </c>
      <c r="F58">
        <f t="shared" si="2"/>
        <v>250</v>
      </c>
      <c r="G58" s="9">
        <f t="shared" si="1"/>
        <v>20.833333333333332</v>
      </c>
      <c r="H58">
        <v>49</v>
      </c>
      <c r="I58">
        <v>22</v>
      </c>
      <c r="J58">
        <v>55</v>
      </c>
      <c r="K58">
        <v>48</v>
      </c>
      <c r="L58">
        <v>22</v>
      </c>
      <c r="M58">
        <v>9</v>
      </c>
      <c r="N58">
        <v>22</v>
      </c>
      <c r="O58">
        <v>7</v>
      </c>
      <c r="P58">
        <v>4</v>
      </c>
      <c r="Q58">
        <v>4</v>
      </c>
      <c r="R58">
        <v>4</v>
      </c>
      <c r="S58">
        <v>4</v>
      </c>
    </row>
    <row r="59" spans="1:21">
      <c r="A59" s="5" t="s">
        <v>120</v>
      </c>
      <c r="B59" s="7" t="s">
        <v>112</v>
      </c>
      <c r="C59" s="7">
        <v>42593</v>
      </c>
      <c r="D59" s="8" t="s">
        <v>25</v>
      </c>
      <c r="F59">
        <f t="shared" si="2"/>
        <v>1193</v>
      </c>
      <c r="G59" s="9">
        <f t="shared" si="1"/>
        <v>90.538461538461533</v>
      </c>
      <c r="H59">
        <f>275+141</f>
        <v>416</v>
      </c>
      <c r="I59">
        <f>117+72</f>
        <v>189</v>
      </c>
      <c r="J59">
        <f>26+16</f>
        <v>42</v>
      </c>
      <c r="K59">
        <f>101+8</f>
        <v>109</v>
      </c>
      <c r="L59">
        <f>79+7</f>
        <v>86</v>
      </c>
      <c r="M59">
        <f>72+8</f>
        <v>80</v>
      </c>
      <c r="N59">
        <f>53+4</f>
        <v>57</v>
      </c>
      <c r="O59">
        <f>45+2</f>
        <v>47</v>
      </c>
      <c r="P59">
        <f>41+2</f>
        <v>43</v>
      </c>
      <c r="Q59">
        <f>20+2</f>
        <v>22</v>
      </c>
      <c r="R59">
        <f>23+2</f>
        <v>25</v>
      </c>
      <c r="S59">
        <f>17+1</f>
        <v>18</v>
      </c>
      <c r="T59">
        <f>2+41</f>
        <v>43</v>
      </c>
      <c r="U59">
        <f>2+14</f>
        <v>16</v>
      </c>
    </row>
    <row r="60" spans="1:21">
      <c r="A60" s="5" t="s">
        <v>121</v>
      </c>
      <c r="B60" s="6" t="s">
        <v>112</v>
      </c>
      <c r="C60" s="7">
        <v>42591</v>
      </c>
      <c r="D60" s="8" t="s">
        <v>31</v>
      </c>
      <c r="F60">
        <f t="shared" si="2"/>
        <v>684</v>
      </c>
      <c r="G60" s="9">
        <f t="shared" si="1"/>
        <v>50.769230769230766</v>
      </c>
      <c r="H60">
        <v>98</v>
      </c>
      <c r="I60">
        <v>137</v>
      </c>
      <c r="J60">
        <v>101</v>
      </c>
      <c r="K60">
        <v>44</v>
      </c>
      <c r="L60">
        <v>36</v>
      </c>
      <c r="M60">
        <v>59</v>
      </c>
      <c r="N60">
        <v>47</v>
      </c>
      <c r="O60">
        <v>42</v>
      </c>
      <c r="P60">
        <v>45</v>
      </c>
      <c r="Q60">
        <v>20</v>
      </c>
      <c r="R60">
        <v>15</v>
      </c>
      <c r="S60">
        <v>7</v>
      </c>
      <c r="T60">
        <v>9</v>
      </c>
      <c r="U60">
        <v>24</v>
      </c>
    </row>
    <row r="61" spans="1:21">
      <c r="A61" s="5" t="s">
        <v>122</v>
      </c>
      <c r="B61" s="6" t="s">
        <v>112</v>
      </c>
      <c r="C61" s="7">
        <v>42590</v>
      </c>
      <c r="D61" s="8" t="s">
        <v>31</v>
      </c>
      <c r="F61">
        <f t="shared" si="2"/>
        <v>1195</v>
      </c>
      <c r="G61" s="9">
        <f t="shared" si="1"/>
        <v>89.230769230769226</v>
      </c>
      <c r="H61">
        <v>98</v>
      </c>
      <c r="I61">
        <v>174</v>
      </c>
      <c r="J61">
        <v>149</v>
      </c>
      <c r="K61">
        <v>155</v>
      </c>
      <c r="L61">
        <v>135</v>
      </c>
      <c r="M61">
        <v>139</v>
      </c>
      <c r="N61">
        <v>90</v>
      </c>
      <c r="O61">
        <v>63</v>
      </c>
      <c r="P61">
        <v>41</v>
      </c>
      <c r="Q61">
        <v>38</v>
      </c>
      <c r="R61">
        <v>27</v>
      </c>
      <c r="S61">
        <v>28</v>
      </c>
      <c r="T61">
        <v>23</v>
      </c>
      <c r="U61">
        <v>35</v>
      </c>
    </row>
    <row r="62" spans="1:21">
      <c r="A62" s="5" t="s">
        <v>123</v>
      </c>
      <c r="B62" s="6" t="s">
        <v>112</v>
      </c>
      <c r="C62" s="7">
        <v>42586</v>
      </c>
      <c r="D62" s="8" t="s">
        <v>124</v>
      </c>
      <c r="F62">
        <f t="shared" si="2"/>
        <v>69</v>
      </c>
      <c r="G62" s="9">
        <f t="shared" si="1"/>
        <v>5.2307692307692308</v>
      </c>
      <c r="H62">
        <v>6</v>
      </c>
      <c r="I62">
        <v>5</v>
      </c>
      <c r="J62">
        <v>6</v>
      </c>
      <c r="K62">
        <v>20</v>
      </c>
      <c r="L62">
        <v>6</v>
      </c>
      <c r="M62">
        <v>5</v>
      </c>
      <c r="N62">
        <v>5</v>
      </c>
      <c r="O62">
        <v>2</v>
      </c>
      <c r="P62">
        <v>5</v>
      </c>
      <c r="Q62">
        <v>1</v>
      </c>
      <c r="R62">
        <v>2</v>
      </c>
      <c r="S62">
        <v>2</v>
      </c>
      <c r="T62">
        <v>3</v>
      </c>
      <c r="U62">
        <v>1</v>
      </c>
    </row>
    <row r="63" spans="1:21">
      <c r="A63" s="5" t="s">
        <v>125</v>
      </c>
      <c r="B63" s="6" t="s">
        <v>112</v>
      </c>
      <c r="C63" s="7">
        <v>42586</v>
      </c>
      <c r="D63" s="8" t="s">
        <v>31</v>
      </c>
      <c r="F63">
        <f t="shared" si="2"/>
        <v>1688</v>
      </c>
      <c r="G63" s="9">
        <f t="shared" si="1"/>
        <v>127.46153846153847</v>
      </c>
      <c r="H63">
        <v>89</v>
      </c>
      <c r="I63">
        <f>122+70</f>
        <v>192</v>
      </c>
      <c r="J63">
        <f>53+101</f>
        <v>154</v>
      </c>
      <c r="K63">
        <f>35+113</f>
        <v>148</v>
      </c>
      <c r="L63">
        <f>81+80</f>
        <v>161</v>
      </c>
      <c r="M63">
        <f>55+0</f>
        <v>55</v>
      </c>
      <c r="N63">
        <f>294+3</f>
        <v>297</v>
      </c>
      <c r="O63">
        <f>194+0</f>
        <v>194</v>
      </c>
      <c r="P63">
        <f>73+1</f>
        <v>74</v>
      </c>
      <c r="Q63">
        <f>25+1</f>
        <v>26</v>
      </c>
      <c r="R63">
        <f>121+1</f>
        <v>122</v>
      </c>
      <c r="S63">
        <v>109</v>
      </c>
      <c r="T63">
        <v>36</v>
      </c>
      <c r="U63">
        <v>31</v>
      </c>
    </row>
    <row r="64" spans="1:21">
      <c r="A64" s="5" t="s">
        <v>126</v>
      </c>
      <c r="B64" s="6" t="s">
        <v>112</v>
      </c>
      <c r="C64" s="7">
        <v>42586</v>
      </c>
      <c r="D64" s="8" t="s">
        <v>31</v>
      </c>
      <c r="F64">
        <f t="shared" si="2"/>
        <v>1116</v>
      </c>
      <c r="G64" s="9">
        <f t="shared" si="1"/>
        <v>84</v>
      </c>
      <c r="H64">
        <v>82</v>
      </c>
      <c r="I64">
        <v>137</v>
      </c>
      <c r="J64">
        <v>54</v>
      </c>
      <c r="K64">
        <v>88</v>
      </c>
      <c r="L64">
        <v>280</v>
      </c>
      <c r="M64">
        <v>176</v>
      </c>
      <c r="N64">
        <v>80</v>
      </c>
      <c r="O64">
        <v>37</v>
      </c>
      <c r="P64">
        <v>31</v>
      </c>
      <c r="Q64">
        <v>23</v>
      </c>
      <c r="R64">
        <v>39</v>
      </c>
      <c r="S64">
        <v>37</v>
      </c>
      <c r="T64">
        <v>28</v>
      </c>
      <c r="U64">
        <v>24</v>
      </c>
    </row>
    <row r="65" spans="1:21">
      <c r="A65" s="5" t="s">
        <v>127</v>
      </c>
      <c r="B65" s="6" t="s">
        <v>112</v>
      </c>
      <c r="C65" s="7">
        <v>42584</v>
      </c>
      <c r="D65" s="8" t="s">
        <v>128</v>
      </c>
      <c r="F65">
        <f t="shared" si="2"/>
        <v>1844</v>
      </c>
      <c r="G65" s="9">
        <f t="shared" si="1"/>
        <v>140</v>
      </c>
      <c r="H65">
        <v>29</v>
      </c>
      <c r="I65">
        <f>792+74</f>
        <v>866</v>
      </c>
      <c r="J65">
        <f>308+121</f>
        <v>429</v>
      </c>
      <c r="K65">
        <f>63+51</f>
        <v>114</v>
      </c>
      <c r="L65">
        <f>37+6</f>
        <v>43</v>
      </c>
      <c r="M65">
        <f>23+3</f>
        <v>26</v>
      </c>
      <c r="N65">
        <f>53+4</f>
        <v>57</v>
      </c>
      <c r="O65">
        <f>71+2</f>
        <v>73</v>
      </c>
      <c r="P65">
        <f>63+5</f>
        <v>68</v>
      </c>
      <c r="Q65">
        <f>47+4</f>
        <v>51</v>
      </c>
      <c r="R65">
        <f>27+5</f>
        <v>32</v>
      </c>
      <c r="S65">
        <f>13+2</f>
        <v>15</v>
      </c>
      <c r="T65">
        <f>17+0</f>
        <v>17</v>
      </c>
      <c r="U65">
        <f>20+4</f>
        <v>24</v>
      </c>
    </row>
    <row r="66" spans="1:21">
      <c r="A66" s="5" t="s">
        <v>129</v>
      </c>
      <c r="B66" s="6" t="s">
        <v>112</v>
      </c>
      <c r="C66" s="7">
        <v>42584</v>
      </c>
      <c r="D66" s="8" t="s">
        <v>31</v>
      </c>
      <c r="F66">
        <f t="shared" si="2"/>
        <v>463</v>
      </c>
      <c r="G66" s="9">
        <f t="shared" si="1"/>
        <v>33.92307692307692</v>
      </c>
      <c r="H66">
        <v>94</v>
      </c>
      <c r="I66">
        <v>106</v>
      </c>
      <c r="J66">
        <v>52</v>
      </c>
      <c r="K66">
        <v>18</v>
      </c>
      <c r="L66">
        <v>10</v>
      </c>
      <c r="M66">
        <v>14</v>
      </c>
      <c r="N66">
        <v>56</v>
      </c>
      <c r="O66">
        <v>21</v>
      </c>
      <c r="P66">
        <v>23</v>
      </c>
      <c r="Q66">
        <v>14</v>
      </c>
      <c r="R66">
        <v>14</v>
      </c>
      <c r="S66">
        <v>5</v>
      </c>
      <c r="T66">
        <v>14</v>
      </c>
      <c r="U66">
        <v>22</v>
      </c>
    </row>
    <row r="67" spans="1:21">
      <c r="A67" s="5" t="s">
        <v>130</v>
      </c>
      <c r="B67" s="6" t="s">
        <v>112</v>
      </c>
      <c r="C67" s="7">
        <v>42583</v>
      </c>
      <c r="D67" s="8" t="s">
        <v>31</v>
      </c>
      <c r="F67">
        <f t="shared" si="2"/>
        <v>2472</v>
      </c>
      <c r="G67" s="9">
        <f t="shared" ref="G67:G116" si="3">AVERAGE(H67:T67)</f>
        <v>187.92307692307693</v>
      </c>
      <c r="H67">
        <f>78+111</f>
        <v>189</v>
      </c>
      <c r="I67">
        <f>729+151+32</f>
        <v>912</v>
      </c>
      <c r="J67">
        <f>365+7+88</f>
        <v>460</v>
      </c>
      <c r="K67">
        <f>139+7+30</f>
        <v>176</v>
      </c>
      <c r="L67">
        <f>58+0+0</f>
        <v>58</v>
      </c>
      <c r="M67">
        <f>44+0+0</f>
        <v>44</v>
      </c>
      <c r="N67">
        <f>186+1+1</f>
        <v>188</v>
      </c>
      <c r="O67">
        <f>153+2+0</f>
        <v>155</v>
      </c>
      <c r="P67">
        <f>122+0+0</f>
        <v>122</v>
      </c>
      <c r="Q67">
        <f>58+2+0</f>
        <v>60</v>
      </c>
      <c r="R67">
        <f>30+1+0</f>
        <v>31</v>
      </c>
      <c r="S67">
        <f>29+0+0</f>
        <v>29</v>
      </c>
      <c r="T67">
        <f>19+0+0</f>
        <v>19</v>
      </c>
      <c r="U67">
        <f>26+2+1</f>
        <v>29</v>
      </c>
    </row>
    <row r="68" spans="1:21">
      <c r="A68" s="5" t="s">
        <v>131</v>
      </c>
      <c r="B68" s="6" t="s">
        <v>112</v>
      </c>
      <c r="C68" s="7">
        <v>42583</v>
      </c>
      <c r="D68" s="8" t="s">
        <v>132</v>
      </c>
      <c r="F68">
        <f t="shared" si="2"/>
        <v>698</v>
      </c>
      <c r="G68" s="9">
        <f t="shared" si="3"/>
        <v>53</v>
      </c>
      <c r="H68">
        <v>213</v>
      </c>
      <c r="I68">
        <v>167</v>
      </c>
      <c r="J68">
        <v>104</v>
      </c>
      <c r="K68">
        <v>78</v>
      </c>
      <c r="L68">
        <v>19</v>
      </c>
      <c r="M68">
        <v>7</v>
      </c>
      <c r="N68">
        <v>25</v>
      </c>
      <c r="O68">
        <v>15</v>
      </c>
      <c r="P68">
        <v>18</v>
      </c>
      <c r="Q68">
        <v>11</v>
      </c>
      <c r="R68">
        <v>8</v>
      </c>
      <c r="S68">
        <v>6</v>
      </c>
      <c r="T68">
        <v>18</v>
      </c>
      <c r="U68">
        <v>9</v>
      </c>
    </row>
    <row r="69" spans="1:21">
      <c r="A69" s="5" t="s">
        <v>133</v>
      </c>
      <c r="B69" s="6" t="s">
        <v>112</v>
      </c>
      <c r="C69" s="7">
        <v>42583</v>
      </c>
      <c r="D69" s="8" t="s">
        <v>31</v>
      </c>
      <c r="F69">
        <f t="shared" si="2"/>
        <v>385</v>
      </c>
      <c r="G69" s="9">
        <f t="shared" si="3"/>
        <v>28.846153846153847</v>
      </c>
      <c r="H69">
        <v>86</v>
      </c>
      <c r="I69">
        <v>119</v>
      </c>
      <c r="J69">
        <v>79</v>
      </c>
      <c r="K69">
        <v>23</v>
      </c>
      <c r="L69">
        <v>7</v>
      </c>
      <c r="M69">
        <v>10</v>
      </c>
      <c r="N69">
        <v>6</v>
      </c>
      <c r="O69">
        <v>7</v>
      </c>
      <c r="P69">
        <v>17</v>
      </c>
      <c r="Q69">
        <v>7</v>
      </c>
      <c r="R69">
        <v>5</v>
      </c>
      <c r="S69">
        <v>5</v>
      </c>
      <c r="T69">
        <v>4</v>
      </c>
      <c r="U69">
        <v>10</v>
      </c>
    </row>
    <row r="70" spans="1:21">
      <c r="A70" s="5" t="s">
        <v>134</v>
      </c>
      <c r="B70" s="6" t="s">
        <v>112</v>
      </c>
      <c r="C70" s="7">
        <v>42579</v>
      </c>
      <c r="D70" s="8" t="s">
        <v>135</v>
      </c>
      <c r="F70">
        <f>SUM(H70:U70)</f>
        <v>986</v>
      </c>
      <c r="G70" s="9">
        <f>AVERAGE(I70:U70)</f>
        <v>71.769230769230774</v>
      </c>
      <c r="H70">
        <f>1+52</f>
        <v>53</v>
      </c>
      <c r="I70">
        <f>27+86</f>
        <v>113</v>
      </c>
      <c r="J70">
        <f>264+107+40</f>
        <v>411</v>
      </c>
      <c r="K70">
        <f>38+10+29</f>
        <v>77</v>
      </c>
      <c r="L70">
        <f>36+0+28</f>
        <v>64</v>
      </c>
      <c r="M70">
        <f>36+14+48</f>
        <v>98</v>
      </c>
      <c r="N70">
        <f>23+3+20</f>
        <v>46</v>
      </c>
      <c r="O70">
        <f>31+1</f>
        <v>32</v>
      </c>
      <c r="P70">
        <v>20</v>
      </c>
      <c r="Q70">
        <v>10</v>
      </c>
      <c r="R70">
        <v>18</v>
      </c>
      <c r="S70">
        <v>5</v>
      </c>
      <c r="T70">
        <f>19+1</f>
        <v>20</v>
      </c>
      <c r="U70">
        <v>19</v>
      </c>
    </row>
    <row r="71" spans="1:21">
      <c r="A71" s="5" t="s">
        <v>136</v>
      </c>
      <c r="B71" s="6" t="s">
        <v>112</v>
      </c>
      <c r="C71" s="7">
        <v>42578</v>
      </c>
      <c r="D71" s="8" t="s">
        <v>31</v>
      </c>
      <c r="F71">
        <f t="shared" si="2"/>
        <v>2182</v>
      </c>
      <c r="G71" s="9">
        <f t="shared" si="3"/>
        <v>165.69230769230768</v>
      </c>
      <c r="H71">
        <v>126</v>
      </c>
      <c r="I71">
        <v>492</v>
      </c>
      <c r="J71">
        <v>572</v>
      </c>
      <c r="K71">
        <v>124</v>
      </c>
      <c r="L71">
        <v>380</v>
      </c>
      <c r="M71">
        <v>140</v>
      </c>
      <c r="N71">
        <v>107</v>
      </c>
      <c r="O71">
        <v>59</v>
      </c>
      <c r="P71">
        <v>46</v>
      </c>
      <c r="Q71">
        <v>21</v>
      </c>
      <c r="R71">
        <v>28</v>
      </c>
      <c r="S71">
        <v>21</v>
      </c>
      <c r="T71">
        <v>38</v>
      </c>
      <c r="U71">
        <v>28</v>
      </c>
    </row>
    <row r="72" spans="1:21">
      <c r="A72" s="5" t="s">
        <v>137</v>
      </c>
      <c r="B72" s="6" t="s">
        <v>112</v>
      </c>
      <c r="C72" s="7">
        <v>42577</v>
      </c>
      <c r="D72" s="8" t="s">
        <v>138</v>
      </c>
      <c r="F72">
        <f t="shared" si="2"/>
        <v>80</v>
      </c>
      <c r="G72" s="9">
        <f t="shared" si="3"/>
        <v>5.8461538461538458</v>
      </c>
      <c r="H72">
        <v>13</v>
      </c>
      <c r="I72">
        <v>15</v>
      </c>
      <c r="J72">
        <v>8</v>
      </c>
      <c r="K72">
        <v>13</v>
      </c>
      <c r="L72">
        <v>1</v>
      </c>
      <c r="M72">
        <v>3</v>
      </c>
      <c r="N72">
        <v>8</v>
      </c>
      <c r="O72">
        <v>2</v>
      </c>
      <c r="P72">
        <v>3</v>
      </c>
      <c r="Q72">
        <v>6</v>
      </c>
      <c r="R72">
        <v>2</v>
      </c>
      <c r="S72">
        <v>2</v>
      </c>
      <c r="T72">
        <v>0</v>
      </c>
      <c r="U72">
        <v>4</v>
      </c>
    </row>
    <row r="73" spans="1:21">
      <c r="A73" s="5" t="s">
        <v>139</v>
      </c>
      <c r="B73" s="6" t="s">
        <v>112</v>
      </c>
      <c r="C73" s="7">
        <v>42576</v>
      </c>
      <c r="D73" s="8" t="s">
        <v>31</v>
      </c>
      <c r="F73">
        <f t="shared" si="2"/>
        <v>867</v>
      </c>
      <c r="G73" s="9">
        <f t="shared" si="3"/>
        <v>66.07692307692308</v>
      </c>
      <c r="H73">
        <v>71</v>
      </c>
      <c r="I73">
        <v>372</v>
      </c>
      <c r="J73">
        <v>145</v>
      </c>
      <c r="K73">
        <v>79</v>
      </c>
      <c r="L73">
        <v>46</v>
      </c>
      <c r="M73">
        <v>21</v>
      </c>
      <c r="N73">
        <v>14</v>
      </c>
      <c r="O73">
        <v>27</v>
      </c>
      <c r="P73">
        <v>22</v>
      </c>
      <c r="Q73">
        <v>23</v>
      </c>
      <c r="R73">
        <v>21</v>
      </c>
      <c r="S73">
        <v>9</v>
      </c>
      <c r="T73">
        <v>9</v>
      </c>
      <c r="U73">
        <v>8</v>
      </c>
    </row>
    <row r="74" spans="1:21">
      <c r="A74" s="5" t="s">
        <v>140</v>
      </c>
      <c r="B74" s="6" t="s">
        <v>112</v>
      </c>
      <c r="C74" s="7">
        <v>42572</v>
      </c>
      <c r="D74" s="8" t="s">
        <v>141</v>
      </c>
      <c r="F74">
        <f t="shared" si="2"/>
        <v>3881</v>
      </c>
      <c r="G74" s="9">
        <f t="shared" si="3"/>
        <v>290.92307692307691</v>
      </c>
      <c r="H74">
        <v>83</v>
      </c>
      <c r="I74">
        <v>348</v>
      </c>
      <c r="J74">
        <v>388</v>
      </c>
      <c r="K74">
        <v>382</v>
      </c>
      <c r="L74">
        <v>562</v>
      </c>
      <c r="M74">
        <v>595</v>
      </c>
      <c r="N74">
        <v>370</v>
      </c>
      <c r="O74">
        <v>264</v>
      </c>
      <c r="P74">
        <v>132</v>
      </c>
      <c r="Q74">
        <v>257</v>
      </c>
      <c r="R74">
        <v>177</v>
      </c>
      <c r="S74">
        <v>131</v>
      </c>
      <c r="T74">
        <v>93</v>
      </c>
      <c r="U74">
        <v>99</v>
      </c>
    </row>
    <row r="75" spans="1:21">
      <c r="A75" s="5" t="s">
        <v>142</v>
      </c>
      <c r="B75" s="6" t="s">
        <v>112</v>
      </c>
      <c r="C75" s="7">
        <v>42571</v>
      </c>
      <c r="D75" s="8" t="s">
        <v>31</v>
      </c>
      <c r="F75">
        <f t="shared" si="2"/>
        <v>2113</v>
      </c>
      <c r="G75" s="9">
        <f t="shared" si="3"/>
        <v>159</v>
      </c>
      <c r="H75">
        <v>471</v>
      </c>
      <c r="I75">
        <v>750</v>
      </c>
      <c r="J75">
        <v>158</v>
      </c>
      <c r="K75">
        <v>92</v>
      </c>
      <c r="L75">
        <v>66</v>
      </c>
      <c r="M75">
        <v>38</v>
      </c>
      <c r="N75">
        <v>63</v>
      </c>
      <c r="O75">
        <v>41</v>
      </c>
      <c r="P75">
        <v>108</v>
      </c>
      <c r="Q75">
        <v>51</v>
      </c>
      <c r="R75">
        <v>85</v>
      </c>
      <c r="S75">
        <v>107</v>
      </c>
      <c r="T75">
        <v>37</v>
      </c>
      <c r="U75">
        <v>46</v>
      </c>
    </row>
    <row r="76" spans="1:21">
      <c r="A76" s="5" t="s">
        <v>143</v>
      </c>
      <c r="B76" s="6" t="s">
        <v>112</v>
      </c>
      <c r="C76" s="7">
        <v>42570</v>
      </c>
      <c r="D76" s="8" t="s">
        <v>144</v>
      </c>
      <c r="F76">
        <f t="shared" si="2"/>
        <v>53</v>
      </c>
      <c r="G76" s="9">
        <f t="shared" si="3"/>
        <v>4.0769230769230766</v>
      </c>
      <c r="H76">
        <v>8</v>
      </c>
      <c r="I76">
        <v>12</v>
      </c>
      <c r="J76">
        <v>13</v>
      </c>
      <c r="K76">
        <v>3</v>
      </c>
      <c r="L76">
        <v>1</v>
      </c>
      <c r="M76">
        <v>3</v>
      </c>
      <c r="N76">
        <v>3</v>
      </c>
      <c r="O76">
        <v>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5" t="s">
        <v>145</v>
      </c>
      <c r="B77" s="6" t="s">
        <v>112</v>
      </c>
      <c r="C77" s="7">
        <v>42569</v>
      </c>
      <c r="D77" s="8" t="s">
        <v>146</v>
      </c>
      <c r="F77">
        <f t="shared" si="2"/>
        <v>599</v>
      </c>
      <c r="G77" s="9">
        <f t="shared" si="3"/>
        <v>45.307692307692307</v>
      </c>
      <c r="H77">
        <v>146</v>
      </c>
      <c r="I77">
        <v>173</v>
      </c>
      <c r="J77">
        <v>76</v>
      </c>
      <c r="K77">
        <v>38</v>
      </c>
      <c r="L77">
        <v>15</v>
      </c>
      <c r="M77">
        <v>29</v>
      </c>
      <c r="N77">
        <v>17</v>
      </c>
      <c r="O77">
        <v>27</v>
      </c>
      <c r="P77">
        <v>15</v>
      </c>
      <c r="Q77">
        <v>29</v>
      </c>
      <c r="R77">
        <v>7</v>
      </c>
      <c r="S77">
        <v>7</v>
      </c>
      <c r="T77">
        <v>10</v>
      </c>
      <c r="U77">
        <v>10</v>
      </c>
    </row>
    <row r="78" spans="1:21">
      <c r="A78" s="5" t="s">
        <v>147</v>
      </c>
      <c r="B78" s="6" t="s">
        <v>112</v>
      </c>
      <c r="C78" s="7">
        <v>42566</v>
      </c>
      <c r="D78" s="8" t="s">
        <v>84</v>
      </c>
      <c r="F78">
        <f t="shared" si="2"/>
        <v>559</v>
      </c>
      <c r="G78" s="9">
        <f t="shared" si="3"/>
        <v>42.692307692307693</v>
      </c>
      <c r="H78">
        <v>38</v>
      </c>
      <c r="I78">
        <v>66</v>
      </c>
      <c r="J78">
        <v>71</v>
      </c>
      <c r="K78">
        <v>83</v>
      </c>
      <c r="L78">
        <v>78</v>
      </c>
      <c r="M78">
        <v>62</v>
      </c>
      <c r="N78">
        <v>65</v>
      </c>
      <c r="O78">
        <v>23</v>
      </c>
      <c r="P78">
        <v>20</v>
      </c>
      <c r="Q78">
        <v>12</v>
      </c>
      <c r="R78">
        <v>11</v>
      </c>
      <c r="S78">
        <v>5</v>
      </c>
      <c r="T78">
        <v>21</v>
      </c>
      <c r="U78">
        <v>4</v>
      </c>
    </row>
    <row r="79" spans="1:21">
      <c r="A79" s="5" t="s">
        <v>148</v>
      </c>
      <c r="B79" s="6" t="s">
        <v>112</v>
      </c>
      <c r="C79" s="7">
        <v>42565</v>
      </c>
      <c r="D79" s="8" t="s">
        <v>135</v>
      </c>
      <c r="F79">
        <f t="shared" si="2"/>
        <v>1084</v>
      </c>
      <c r="G79" s="9">
        <f t="shared" si="3"/>
        <v>80.692307692307693</v>
      </c>
      <c r="H79">
        <v>32</v>
      </c>
      <c r="I79">
        <v>310</v>
      </c>
      <c r="J79">
        <v>208</v>
      </c>
      <c r="K79">
        <v>62</v>
      </c>
      <c r="L79">
        <v>55</v>
      </c>
      <c r="M79">
        <v>133</v>
      </c>
      <c r="N79">
        <v>89</v>
      </c>
      <c r="O79">
        <v>42</v>
      </c>
      <c r="P79">
        <v>36</v>
      </c>
      <c r="Q79">
        <v>23</v>
      </c>
      <c r="R79">
        <v>11</v>
      </c>
      <c r="S79">
        <v>25</v>
      </c>
      <c r="T79">
        <v>23</v>
      </c>
      <c r="U79">
        <v>35</v>
      </c>
    </row>
    <row r="80" spans="1:21">
      <c r="A80" s="5" t="s">
        <v>149</v>
      </c>
      <c r="B80" s="6" t="s">
        <v>112</v>
      </c>
      <c r="C80" s="7">
        <v>42563</v>
      </c>
      <c r="D80" s="8" t="s">
        <v>150</v>
      </c>
      <c r="F80">
        <f t="shared" si="2"/>
        <v>390</v>
      </c>
      <c r="G80" s="9">
        <f t="shared" si="3"/>
        <v>29.692307692307693</v>
      </c>
      <c r="H80">
        <v>113</v>
      </c>
      <c r="I80">
        <v>69</v>
      </c>
      <c r="J80">
        <v>45</v>
      </c>
      <c r="K80">
        <v>41</v>
      </c>
      <c r="L80">
        <v>14</v>
      </c>
      <c r="M80">
        <v>23</v>
      </c>
      <c r="N80">
        <v>38</v>
      </c>
      <c r="O80">
        <v>17</v>
      </c>
      <c r="P80">
        <v>9</v>
      </c>
      <c r="Q80">
        <v>5</v>
      </c>
      <c r="R80">
        <v>2</v>
      </c>
      <c r="S80">
        <v>7</v>
      </c>
      <c r="T80">
        <v>3</v>
      </c>
      <c r="U80">
        <v>4</v>
      </c>
    </row>
    <row r="81" spans="1:21">
      <c r="A81" s="5" t="s">
        <v>151</v>
      </c>
      <c r="B81" s="6" t="s">
        <v>112</v>
      </c>
      <c r="C81" s="7">
        <v>42562</v>
      </c>
      <c r="D81" s="8" t="s">
        <v>31</v>
      </c>
      <c r="F81">
        <f t="shared" si="2"/>
        <v>610</v>
      </c>
      <c r="G81" s="9">
        <f t="shared" si="3"/>
        <v>43.846153846153847</v>
      </c>
      <c r="H81">
        <v>67</v>
      </c>
      <c r="I81">
        <v>57</v>
      </c>
      <c r="J81">
        <v>25</v>
      </c>
      <c r="K81">
        <v>81</v>
      </c>
      <c r="L81">
        <v>41</v>
      </c>
      <c r="M81">
        <v>67</v>
      </c>
      <c r="N81">
        <v>38</v>
      </c>
      <c r="O81">
        <v>15</v>
      </c>
      <c r="P81">
        <v>11</v>
      </c>
      <c r="Q81">
        <v>9</v>
      </c>
      <c r="R81">
        <v>12</v>
      </c>
      <c r="S81">
        <v>58</v>
      </c>
      <c r="T81">
        <v>89</v>
      </c>
      <c r="U81">
        <v>40</v>
      </c>
    </row>
    <row r="82" spans="1:21">
      <c r="A82" s="5" t="s">
        <v>152</v>
      </c>
      <c r="B82" s="6" t="s">
        <v>112</v>
      </c>
      <c r="C82" s="7">
        <v>42560</v>
      </c>
      <c r="D82" s="8" t="s">
        <v>153</v>
      </c>
      <c r="F82">
        <f t="shared" si="2"/>
        <v>39</v>
      </c>
      <c r="G82" s="9">
        <f t="shared" si="3"/>
        <v>2.6153846153846154</v>
      </c>
      <c r="H82">
        <v>6</v>
      </c>
      <c r="I82">
        <v>9</v>
      </c>
      <c r="J82">
        <v>2</v>
      </c>
      <c r="K82">
        <v>1</v>
      </c>
      <c r="L82">
        <v>4</v>
      </c>
      <c r="M82">
        <v>4</v>
      </c>
      <c r="N82">
        <v>3</v>
      </c>
      <c r="O82">
        <v>4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</row>
    <row r="83" spans="1:21">
      <c r="A83" s="5" t="s">
        <v>154</v>
      </c>
      <c r="B83" s="6" t="s">
        <v>112</v>
      </c>
      <c r="C83" s="7">
        <v>42560</v>
      </c>
      <c r="D83" s="8" t="s">
        <v>155</v>
      </c>
      <c r="F83">
        <f t="shared" si="2"/>
        <v>136</v>
      </c>
      <c r="G83" s="9">
        <f t="shared" si="3"/>
        <v>9.1538461538461533</v>
      </c>
      <c r="H83">
        <v>12</v>
      </c>
      <c r="I83">
        <v>19</v>
      </c>
      <c r="J83">
        <v>29</v>
      </c>
      <c r="K83">
        <v>9</v>
      </c>
      <c r="L83">
        <v>5</v>
      </c>
      <c r="M83">
        <v>8</v>
      </c>
      <c r="N83">
        <v>10</v>
      </c>
      <c r="O83">
        <v>6</v>
      </c>
      <c r="P83">
        <v>10</v>
      </c>
      <c r="Q83">
        <v>7</v>
      </c>
      <c r="R83">
        <v>1</v>
      </c>
      <c r="S83">
        <v>2</v>
      </c>
      <c r="T83">
        <v>1</v>
      </c>
      <c r="U83">
        <v>17</v>
      </c>
    </row>
    <row r="84" spans="1:21">
      <c r="A84" s="5" t="s">
        <v>156</v>
      </c>
      <c r="B84" s="6" t="s">
        <v>112</v>
      </c>
      <c r="C84" s="7">
        <v>42560</v>
      </c>
      <c r="D84" s="8" t="s">
        <v>155</v>
      </c>
      <c r="F84">
        <f t="shared" si="2"/>
        <v>52</v>
      </c>
      <c r="G84" s="9">
        <f t="shared" si="3"/>
        <v>3.8461538461538463</v>
      </c>
      <c r="H84">
        <v>5</v>
      </c>
      <c r="I84">
        <v>6</v>
      </c>
      <c r="J84">
        <v>4</v>
      </c>
      <c r="K84">
        <v>7</v>
      </c>
      <c r="L84">
        <v>2</v>
      </c>
      <c r="M84">
        <v>4</v>
      </c>
      <c r="N84">
        <v>10</v>
      </c>
      <c r="O84">
        <v>2</v>
      </c>
      <c r="P84">
        <v>8</v>
      </c>
      <c r="Q84">
        <v>1</v>
      </c>
      <c r="R84">
        <v>0</v>
      </c>
      <c r="S84">
        <v>1</v>
      </c>
      <c r="T84">
        <v>0</v>
      </c>
      <c r="U84">
        <v>2</v>
      </c>
    </row>
    <row r="85" spans="1:21">
      <c r="A85" s="5" t="s">
        <v>157</v>
      </c>
      <c r="B85" s="6" t="s">
        <v>112</v>
      </c>
      <c r="C85" s="7">
        <v>42560</v>
      </c>
      <c r="D85" s="8" t="s">
        <v>153</v>
      </c>
      <c r="F85">
        <f t="shared" si="2"/>
        <v>78</v>
      </c>
      <c r="G85" s="9">
        <f t="shared" si="3"/>
        <v>5.2307692307692308</v>
      </c>
      <c r="H85">
        <v>14</v>
      </c>
      <c r="I85">
        <v>8</v>
      </c>
      <c r="J85">
        <v>3</v>
      </c>
      <c r="K85">
        <v>4</v>
      </c>
      <c r="L85">
        <v>2</v>
      </c>
      <c r="M85">
        <v>3</v>
      </c>
      <c r="N85">
        <v>12</v>
      </c>
      <c r="O85">
        <v>4</v>
      </c>
      <c r="P85">
        <v>3</v>
      </c>
      <c r="Q85">
        <v>4</v>
      </c>
      <c r="R85">
        <v>2</v>
      </c>
      <c r="S85">
        <v>1</v>
      </c>
      <c r="T85">
        <v>8</v>
      </c>
      <c r="U85">
        <v>10</v>
      </c>
    </row>
    <row r="86" spans="1:21">
      <c r="A86" s="5" t="s">
        <v>158</v>
      </c>
      <c r="B86" s="6" t="s">
        <v>112</v>
      </c>
      <c r="C86" s="7">
        <v>42558</v>
      </c>
      <c r="D86" s="8" t="s">
        <v>31</v>
      </c>
      <c r="F86">
        <f t="shared" si="2"/>
        <v>732</v>
      </c>
      <c r="G86" s="9">
        <f t="shared" si="3"/>
        <v>54.230769230769234</v>
      </c>
      <c r="H86">
        <f>72</f>
        <v>72</v>
      </c>
      <c r="I86">
        <f>136</f>
        <v>136</v>
      </c>
      <c r="J86">
        <f>61</f>
        <v>61</v>
      </c>
      <c r="K86">
        <f>74</f>
        <v>74</v>
      </c>
      <c r="L86">
        <f>110</f>
        <v>110</v>
      </c>
      <c r="M86">
        <f>62</f>
        <v>62</v>
      </c>
      <c r="N86">
        <f>42</f>
        <v>42</v>
      </c>
      <c r="O86">
        <f>45</f>
        <v>45</v>
      </c>
      <c r="P86">
        <f>29</f>
        <v>29</v>
      </c>
      <c r="Q86">
        <f>16</f>
        <v>16</v>
      </c>
      <c r="R86">
        <f>10</f>
        <v>10</v>
      </c>
      <c r="S86">
        <f>27</f>
        <v>27</v>
      </c>
      <c r="T86">
        <f>21</f>
        <v>21</v>
      </c>
      <c r="U86">
        <f>27</f>
        <v>27</v>
      </c>
    </row>
    <row r="87" spans="1:21">
      <c r="A87" s="5" t="s">
        <v>159</v>
      </c>
      <c r="B87" s="6" t="s">
        <v>112</v>
      </c>
      <c r="C87" s="7">
        <v>42557</v>
      </c>
      <c r="D87" s="8" t="s">
        <v>124</v>
      </c>
      <c r="F87">
        <f t="shared" si="2"/>
        <v>215</v>
      </c>
      <c r="G87" s="9">
        <f t="shared" si="3"/>
        <v>15.692307692307692</v>
      </c>
      <c r="H87">
        <v>22</v>
      </c>
      <c r="I87">
        <v>30</v>
      </c>
      <c r="J87">
        <v>13</v>
      </c>
      <c r="K87">
        <v>12</v>
      </c>
      <c r="L87">
        <v>8</v>
      </c>
      <c r="M87">
        <v>14</v>
      </c>
      <c r="N87">
        <v>20</v>
      </c>
      <c r="O87">
        <v>23</v>
      </c>
      <c r="P87">
        <v>29</v>
      </c>
      <c r="Q87">
        <v>19</v>
      </c>
      <c r="R87">
        <v>10</v>
      </c>
      <c r="S87">
        <v>1</v>
      </c>
      <c r="T87">
        <v>3</v>
      </c>
      <c r="U87">
        <v>11</v>
      </c>
    </row>
    <row r="88" spans="1:21">
      <c r="A88" s="5" t="s">
        <v>160</v>
      </c>
      <c r="B88" s="6" t="s">
        <v>112</v>
      </c>
      <c r="C88" s="7">
        <v>42557</v>
      </c>
      <c r="D88" s="8" t="s">
        <v>84</v>
      </c>
      <c r="F88">
        <f t="shared" si="2"/>
        <v>310</v>
      </c>
      <c r="G88" s="9">
        <f t="shared" si="3"/>
        <v>23.53846153846154</v>
      </c>
      <c r="H88">
        <v>49</v>
      </c>
      <c r="I88">
        <v>43</v>
      </c>
      <c r="J88">
        <v>42</v>
      </c>
      <c r="K88">
        <v>23</v>
      </c>
      <c r="L88">
        <v>24</v>
      </c>
      <c r="M88">
        <v>28</v>
      </c>
      <c r="N88">
        <v>33</v>
      </c>
      <c r="O88">
        <v>12</v>
      </c>
      <c r="P88">
        <v>16</v>
      </c>
      <c r="Q88">
        <v>11</v>
      </c>
      <c r="R88">
        <v>7</v>
      </c>
      <c r="S88">
        <v>8</v>
      </c>
      <c r="T88">
        <v>10</v>
      </c>
      <c r="U88">
        <v>4</v>
      </c>
    </row>
    <row r="89" spans="1:21">
      <c r="A89" s="5" t="s">
        <v>161</v>
      </c>
      <c r="B89" s="6" t="s">
        <v>112</v>
      </c>
      <c r="C89" s="7">
        <v>42552</v>
      </c>
      <c r="D89" s="8" t="s">
        <v>153</v>
      </c>
      <c r="F89">
        <f t="shared" si="2"/>
        <v>55</v>
      </c>
      <c r="G89" s="9">
        <f t="shared" si="3"/>
        <v>4.1538461538461542</v>
      </c>
      <c r="H89">
        <v>8</v>
      </c>
      <c r="I89">
        <v>12</v>
      </c>
      <c r="J89">
        <v>5</v>
      </c>
      <c r="K89">
        <v>5</v>
      </c>
      <c r="L89">
        <v>1</v>
      </c>
      <c r="M89">
        <v>5</v>
      </c>
      <c r="N89">
        <v>5</v>
      </c>
      <c r="O89">
        <v>8</v>
      </c>
      <c r="P89">
        <v>1</v>
      </c>
      <c r="Q89">
        <v>0</v>
      </c>
      <c r="R89">
        <v>2</v>
      </c>
      <c r="S89">
        <v>2</v>
      </c>
      <c r="T89">
        <v>0</v>
      </c>
      <c r="U89">
        <v>1</v>
      </c>
    </row>
    <row r="90" spans="1:21">
      <c r="A90" s="5" t="s">
        <v>162</v>
      </c>
      <c r="B90" s="6" t="s">
        <v>112</v>
      </c>
      <c r="C90" s="7">
        <v>42552</v>
      </c>
      <c r="D90" s="8" t="s">
        <v>153</v>
      </c>
      <c r="F90">
        <f t="shared" si="2"/>
        <v>87</v>
      </c>
      <c r="G90" s="9">
        <f t="shared" si="3"/>
        <v>6.5384615384615383</v>
      </c>
      <c r="H90">
        <v>17</v>
      </c>
      <c r="I90">
        <v>18</v>
      </c>
      <c r="J90">
        <v>10</v>
      </c>
      <c r="K90">
        <v>5</v>
      </c>
      <c r="L90">
        <v>4</v>
      </c>
      <c r="M90">
        <v>7</v>
      </c>
      <c r="N90">
        <v>5</v>
      </c>
      <c r="O90">
        <v>6</v>
      </c>
      <c r="P90">
        <v>1</v>
      </c>
      <c r="Q90">
        <v>3</v>
      </c>
      <c r="R90">
        <v>2</v>
      </c>
      <c r="S90">
        <v>1</v>
      </c>
      <c r="T90">
        <v>6</v>
      </c>
      <c r="U90">
        <v>2</v>
      </c>
    </row>
    <row r="91" spans="1:21">
      <c r="A91" s="5" t="s">
        <v>163</v>
      </c>
      <c r="B91" s="6" t="s">
        <v>112</v>
      </c>
      <c r="C91" s="7">
        <v>42552</v>
      </c>
      <c r="D91" s="8" t="s">
        <v>153</v>
      </c>
      <c r="F91">
        <f t="shared" si="2"/>
        <v>62</v>
      </c>
      <c r="G91" s="9">
        <f t="shared" si="3"/>
        <v>4.6923076923076925</v>
      </c>
      <c r="H91">
        <v>9</v>
      </c>
      <c r="I91">
        <v>12</v>
      </c>
      <c r="J91">
        <v>5</v>
      </c>
      <c r="K91">
        <v>1</v>
      </c>
      <c r="L91">
        <v>3</v>
      </c>
      <c r="M91">
        <v>2</v>
      </c>
      <c r="N91">
        <v>9</v>
      </c>
      <c r="O91">
        <v>9</v>
      </c>
      <c r="P91">
        <v>1</v>
      </c>
      <c r="Q91">
        <v>4</v>
      </c>
      <c r="R91">
        <v>5</v>
      </c>
      <c r="S91">
        <v>0</v>
      </c>
      <c r="T91">
        <v>1</v>
      </c>
      <c r="U91">
        <v>1</v>
      </c>
    </row>
    <row r="92" spans="1:21">
      <c r="A92" s="5" t="s">
        <v>164</v>
      </c>
      <c r="B92" s="6" t="s">
        <v>112</v>
      </c>
      <c r="C92" s="7">
        <v>42552</v>
      </c>
      <c r="D92" s="8" t="s">
        <v>77</v>
      </c>
      <c r="F92">
        <f t="shared" si="2"/>
        <v>280</v>
      </c>
      <c r="G92" s="9">
        <f t="shared" si="3"/>
        <v>20.76923076923077</v>
      </c>
      <c r="H92">
        <v>19</v>
      </c>
      <c r="I92">
        <v>18</v>
      </c>
      <c r="J92">
        <v>31</v>
      </c>
      <c r="K92">
        <v>39</v>
      </c>
      <c r="L92">
        <v>59</v>
      </c>
      <c r="M92">
        <v>38</v>
      </c>
      <c r="N92">
        <v>13</v>
      </c>
      <c r="O92">
        <v>11</v>
      </c>
      <c r="P92">
        <v>1</v>
      </c>
      <c r="Q92">
        <v>5</v>
      </c>
      <c r="R92">
        <v>19</v>
      </c>
      <c r="S92">
        <v>11</v>
      </c>
      <c r="T92">
        <v>6</v>
      </c>
      <c r="U92">
        <v>10</v>
      </c>
    </row>
    <row r="93" spans="1:21">
      <c r="A93" s="5" t="s">
        <v>165</v>
      </c>
      <c r="B93" s="6" t="s">
        <v>112</v>
      </c>
      <c r="C93" s="7">
        <v>42551</v>
      </c>
      <c r="D93" s="8" t="s">
        <v>166</v>
      </c>
      <c r="F93">
        <f t="shared" si="2"/>
        <v>168</v>
      </c>
      <c r="G93" s="9">
        <f t="shared" si="3"/>
        <v>12.076923076923077</v>
      </c>
      <c r="H93">
        <v>7</v>
      </c>
      <c r="I93">
        <v>10</v>
      </c>
      <c r="J93">
        <v>4</v>
      </c>
      <c r="K93">
        <v>8</v>
      </c>
      <c r="L93">
        <v>2</v>
      </c>
      <c r="M93">
        <v>2</v>
      </c>
      <c r="N93">
        <v>9</v>
      </c>
      <c r="O93">
        <v>8</v>
      </c>
      <c r="P93">
        <v>1</v>
      </c>
      <c r="Q93">
        <v>61</v>
      </c>
      <c r="R93">
        <v>29</v>
      </c>
      <c r="S93">
        <v>6</v>
      </c>
      <c r="T93">
        <v>10</v>
      </c>
      <c r="U93">
        <v>11</v>
      </c>
    </row>
    <row r="94" spans="1:21">
      <c r="A94" s="5" t="s">
        <v>167</v>
      </c>
      <c r="B94" s="6" t="s">
        <v>112</v>
      </c>
      <c r="C94" s="7">
        <v>42551</v>
      </c>
      <c r="D94" s="8" t="s">
        <v>166</v>
      </c>
      <c r="F94">
        <f t="shared" si="2"/>
        <v>163</v>
      </c>
      <c r="G94" s="9">
        <f t="shared" si="3"/>
        <v>12.076923076923077</v>
      </c>
      <c r="H94">
        <v>8</v>
      </c>
      <c r="I94">
        <v>3</v>
      </c>
      <c r="J94">
        <v>2</v>
      </c>
      <c r="K94">
        <v>0</v>
      </c>
      <c r="L94">
        <v>3</v>
      </c>
      <c r="M94">
        <v>9</v>
      </c>
      <c r="N94">
        <v>9</v>
      </c>
      <c r="O94">
        <v>1</v>
      </c>
      <c r="P94">
        <v>58</v>
      </c>
      <c r="Q94">
        <v>31</v>
      </c>
      <c r="R94">
        <v>10</v>
      </c>
      <c r="S94">
        <v>12</v>
      </c>
      <c r="T94">
        <v>11</v>
      </c>
      <c r="U94">
        <v>6</v>
      </c>
    </row>
    <row r="95" spans="1:21">
      <c r="A95" s="5" t="s">
        <v>168</v>
      </c>
      <c r="B95" s="6" t="s">
        <v>112</v>
      </c>
      <c r="C95" s="7">
        <v>42551</v>
      </c>
      <c r="D95" s="8" t="s">
        <v>166</v>
      </c>
      <c r="F95">
        <f t="shared" si="2"/>
        <v>139</v>
      </c>
      <c r="G95" s="9">
        <f t="shared" si="3"/>
        <v>10.461538461538462</v>
      </c>
      <c r="H95">
        <v>6</v>
      </c>
      <c r="I95">
        <v>4</v>
      </c>
      <c r="J95">
        <v>1</v>
      </c>
      <c r="K95">
        <v>0</v>
      </c>
      <c r="L95">
        <v>1</v>
      </c>
      <c r="M95">
        <v>4</v>
      </c>
      <c r="N95">
        <v>4</v>
      </c>
      <c r="O95">
        <v>3</v>
      </c>
      <c r="P95">
        <v>57</v>
      </c>
      <c r="Q95">
        <v>29</v>
      </c>
      <c r="R95">
        <v>7</v>
      </c>
      <c r="S95">
        <v>13</v>
      </c>
      <c r="T95">
        <v>7</v>
      </c>
      <c r="U95">
        <v>3</v>
      </c>
    </row>
    <row r="96" spans="1:21">
      <c r="A96" s="5" t="s">
        <v>169</v>
      </c>
      <c r="B96" s="6" t="s">
        <v>112</v>
      </c>
      <c r="C96" s="7">
        <v>42550</v>
      </c>
      <c r="D96" s="8" t="s">
        <v>170</v>
      </c>
      <c r="F96">
        <f t="shared" si="2"/>
        <v>929</v>
      </c>
      <c r="G96" s="9">
        <f t="shared" si="3"/>
        <v>68.692307692307693</v>
      </c>
      <c r="H96">
        <v>260</v>
      </c>
      <c r="I96">
        <v>165</v>
      </c>
      <c r="J96">
        <v>75</v>
      </c>
      <c r="K96">
        <v>27</v>
      </c>
      <c r="L96">
        <v>23</v>
      </c>
      <c r="M96">
        <v>59</v>
      </c>
      <c r="N96">
        <v>47</v>
      </c>
      <c r="O96">
        <v>98</v>
      </c>
      <c r="P96">
        <v>61</v>
      </c>
      <c r="Q96">
        <v>37</v>
      </c>
      <c r="R96">
        <v>14</v>
      </c>
      <c r="S96">
        <v>9</v>
      </c>
      <c r="T96">
        <v>18</v>
      </c>
      <c r="U96">
        <v>36</v>
      </c>
    </row>
    <row r="97" spans="1:21">
      <c r="A97" s="5" t="s">
        <v>171</v>
      </c>
      <c r="B97" s="6" t="s">
        <v>112</v>
      </c>
      <c r="C97" s="7">
        <v>42550</v>
      </c>
      <c r="D97" s="8" t="s">
        <v>172</v>
      </c>
      <c r="F97">
        <f t="shared" si="2"/>
        <v>1326</v>
      </c>
      <c r="G97" s="9">
        <f t="shared" si="3"/>
        <v>100.38461538461539</v>
      </c>
      <c r="H97">
        <v>527</v>
      </c>
      <c r="I97">
        <v>244</v>
      </c>
      <c r="J97">
        <v>147</v>
      </c>
      <c r="K97">
        <v>58</v>
      </c>
      <c r="L97">
        <v>51</v>
      </c>
      <c r="M97">
        <v>62</v>
      </c>
      <c r="N97">
        <v>87</v>
      </c>
      <c r="O97">
        <v>35</v>
      </c>
      <c r="P97">
        <v>38</v>
      </c>
      <c r="Q97">
        <v>14</v>
      </c>
      <c r="R97">
        <v>5</v>
      </c>
      <c r="S97">
        <v>14</v>
      </c>
      <c r="T97">
        <v>23</v>
      </c>
      <c r="U97">
        <v>21</v>
      </c>
    </row>
    <row r="98" spans="1:21">
      <c r="A98" s="5" t="s">
        <v>173</v>
      </c>
      <c r="B98" s="6" t="s">
        <v>112</v>
      </c>
      <c r="C98" s="7">
        <v>42542</v>
      </c>
      <c r="D98" s="8" t="s">
        <v>109</v>
      </c>
      <c r="F98">
        <f t="shared" si="2"/>
        <v>259</v>
      </c>
      <c r="G98" s="9">
        <f t="shared" si="3"/>
        <v>19.692307692307693</v>
      </c>
      <c r="H98">
        <v>66</v>
      </c>
      <c r="I98">
        <v>88</v>
      </c>
      <c r="J98">
        <v>28</v>
      </c>
      <c r="K98">
        <v>15</v>
      </c>
      <c r="L98">
        <v>7</v>
      </c>
      <c r="M98">
        <v>9</v>
      </c>
      <c r="N98">
        <v>20</v>
      </c>
      <c r="O98">
        <v>5</v>
      </c>
      <c r="P98">
        <v>4</v>
      </c>
      <c r="Q98">
        <v>9</v>
      </c>
      <c r="R98">
        <v>5</v>
      </c>
      <c r="S98">
        <v>0</v>
      </c>
      <c r="T98">
        <v>0</v>
      </c>
      <c r="U98">
        <v>3</v>
      </c>
    </row>
    <row r="99" spans="1:21">
      <c r="A99" s="5" t="s">
        <v>174</v>
      </c>
      <c r="B99" s="6" t="s">
        <v>112</v>
      </c>
      <c r="C99" s="7">
        <v>42536</v>
      </c>
      <c r="D99" s="8" t="s">
        <v>175</v>
      </c>
      <c r="F99">
        <f t="shared" si="2"/>
        <v>424</v>
      </c>
      <c r="G99" s="9">
        <f t="shared" si="3"/>
        <v>31.846153846153847</v>
      </c>
      <c r="H99">
        <v>48</v>
      </c>
      <c r="I99">
        <v>82</v>
      </c>
      <c r="J99">
        <v>43</v>
      </c>
      <c r="K99">
        <v>25</v>
      </c>
      <c r="L99">
        <v>37</v>
      </c>
      <c r="M99">
        <v>49</v>
      </c>
      <c r="N99">
        <v>50</v>
      </c>
      <c r="O99">
        <v>28</v>
      </c>
      <c r="P99">
        <v>21</v>
      </c>
      <c r="Q99">
        <v>8</v>
      </c>
      <c r="R99">
        <v>5</v>
      </c>
      <c r="S99">
        <v>6</v>
      </c>
      <c r="T99">
        <v>12</v>
      </c>
      <c r="U99">
        <v>10</v>
      </c>
    </row>
    <row r="100" spans="1:21">
      <c r="A100" s="5" t="s">
        <v>176</v>
      </c>
      <c r="B100" s="6" t="s">
        <v>112</v>
      </c>
      <c r="C100" s="7">
        <v>42536</v>
      </c>
      <c r="D100" s="8" t="s">
        <v>31</v>
      </c>
      <c r="F100">
        <f t="shared" si="2"/>
        <v>1163</v>
      </c>
      <c r="G100" s="9">
        <f t="shared" si="3"/>
        <v>86.307692307692307</v>
      </c>
      <c r="H100">
        <v>174</v>
      </c>
      <c r="I100">
        <v>234</v>
      </c>
      <c r="J100">
        <v>123</v>
      </c>
      <c r="K100">
        <v>61</v>
      </c>
      <c r="L100">
        <v>84</v>
      </c>
      <c r="M100">
        <v>113</v>
      </c>
      <c r="N100">
        <v>116</v>
      </c>
      <c r="O100">
        <v>62</v>
      </c>
      <c r="P100">
        <v>54</v>
      </c>
      <c r="Q100">
        <v>16</v>
      </c>
      <c r="R100">
        <v>19</v>
      </c>
      <c r="S100">
        <v>25</v>
      </c>
      <c r="T100">
        <v>41</v>
      </c>
      <c r="U100">
        <v>41</v>
      </c>
    </row>
    <row r="101" spans="1:21">
      <c r="A101" s="5" t="s">
        <v>177</v>
      </c>
      <c r="B101" s="6" t="s">
        <v>112</v>
      </c>
      <c r="C101" s="7">
        <v>42535</v>
      </c>
      <c r="D101" s="8" t="s">
        <v>178</v>
      </c>
      <c r="F101">
        <f t="shared" si="2"/>
        <v>186</v>
      </c>
      <c r="G101" s="9">
        <f t="shared" si="3"/>
        <v>13.923076923076923</v>
      </c>
      <c r="H101">
        <v>34</v>
      </c>
      <c r="I101">
        <v>37</v>
      </c>
      <c r="J101">
        <v>21</v>
      </c>
      <c r="K101">
        <v>17</v>
      </c>
      <c r="L101">
        <v>7</v>
      </c>
      <c r="M101">
        <v>7</v>
      </c>
      <c r="N101">
        <v>20</v>
      </c>
      <c r="O101">
        <v>13</v>
      </c>
      <c r="P101">
        <v>14</v>
      </c>
      <c r="Q101">
        <v>5</v>
      </c>
      <c r="R101">
        <v>1</v>
      </c>
      <c r="S101">
        <v>0</v>
      </c>
      <c r="T101">
        <v>5</v>
      </c>
      <c r="U101">
        <v>5</v>
      </c>
    </row>
    <row r="102" spans="1:21">
      <c r="A102" s="5" t="s">
        <v>179</v>
      </c>
      <c r="B102" s="6" t="s">
        <v>112</v>
      </c>
      <c r="C102" s="7">
        <v>42528</v>
      </c>
      <c r="D102" s="8" t="s">
        <v>180</v>
      </c>
      <c r="F102">
        <f t="shared" si="2"/>
        <v>167</v>
      </c>
      <c r="G102" s="9">
        <f t="shared" si="3"/>
        <v>12.692307692307692</v>
      </c>
      <c r="H102">
        <v>7</v>
      </c>
      <c r="I102">
        <v>14</v>
      </c>
      <c r="J102">
        <v>11</v>
      </c>
      <c r="K102">
        <v>10</v>
      </c>
      <c r="L102">
        <v>14</v>
      </c>
      <c r="M102">
        <v>26</v>
      </c>
      <c r="N102">
        <v>40</v>
      </c>
      <c r="O102">
        <v>15</v>
      </c>
      <c r="P102">
        <v>16</v>
      </c>
      <c r="Q102">
        <v>6</v>
      </c>
      <c r="R102">
        <v>1</v>
      </c>
      <c r="S102">
        <v>3</v>
      </c>
      <c r="T102">
        <v>2</v>
      </c>
      <c r="U102">
        <v>2</v>
      </c>
    </row>
    <row r="103" spans="1:21">
      <c r="A103" s="5" t="s">
        <v>181</v>
      </c>
      <c r="B103" s="6" t="s">
        <v>112</v>
      </c>
      <c r="C103" s="7">
        <v>42524</v>
      </c>
      <c r="D103" s="8" t="s">
        <v>182</v>
      </c>
      <c r="F103">
        <f t="shared" si="2"/>
        <v>538</v>
      </c>
      <c r="G103" s="9">
        <f t="shared" si="3"/>
        <v>39.769230769230766</v>
      </c>
      <c r="H103">
        <v>19</v>
      </c>
      <c r="I103">
        <v>45</v>
      </c>
      <c r="J103">
        <v>61</v>
      </c>
      <c r="K103">
        <v>73</v>
      </c>
      <c r="L103">
        <v>62</v>
      </c>
      <c r="M103">
        <v>43</v>
      </c>
      <c r="N103">
        <v>43</v>
      </c>
      <c r="O103">
        <v>19</v>
      </c>
      <c r="P103">
        <v>22</v>
      </c>
      <c r="Q103">
        <v>16</v>
      </c>
      <c r="R103">
        <v>31</v>
      </c>
      <c r="S103">
        <v>39</v>
      </c>
      <c r="T103">
        <v>44</v>
      </c>
      <c r="U103">
        <v>21</v>
      </c>
    </row>
    <row r="104" spans="1:21">
      <c r="A104" s="5" t="s">
        <v>183</v>
      </c>
      <c r="B104" s="6" t="s">
        <v>112</v>
      </c>
      <c r="C104" s="7">
        <v>42523</v>
      </c>
      <c r="D104" s="8" t="s">
        <v>57</v>
      </c>
      <c r="F104">
        <f t="shared" si="2"/>
        <v>147</v>
      </c>
      <c r="G104" s="9">
        <f t="shared" si="3"/>
        <v>11.076923076923077</v>
      </c>
      <c r="H104">
        <v>19</v>
      </c>
      <c r="I104">
        <v>33</v>
      </c>
      <c r="J104">
        <v>11</v>
      </c>
      <c r="K104">
        <v>17</v>
      </c>
      <c r="L104">
        <v>19</v>
      </c>
      <c r="M104">
        <v>15</v>
      </c>
      <c r="N104">
        <v>8</v>
      </c>
      <c r="O104">
        <v>3</v>
      </c>
      <c r="P104">
        <v>0</v>
      </c>
      <c r="Q104">
        <v>0</v>
      </c>
      <c r="R104">
        <v>4</v>
      </c>
      <c r="S104">
        <v>5</v>
      </c>
      <c r="T104">
        <v>10</v>
      </c>
      <c r="U104">
        <v>3</v>
      </c>
    </row>
    <row r="105" spans="1:21">
      <c r="A105" s="5" t="s">
        <v>184</v>
      </c>
      <c r="B105" s="6" t="s">
        <v>112</v>
      </c>
      <c r="C105" s="7">
        <v>42523</v>
      </c>
      <c r="D105" s="8" t="s">
        <v>185</v>
      </c>
      <c r="F105">
        <f t="shared" si="2"/>
        <v>179</v>
      </c>
      <c r="G105" s="9">
        <f t="shared" si="3"/>
        <v>13.076923076923077</v>
      </c>
      <c r="H105">
        <v>20</v>
      </c>
      <c r="I105">
        <v>19</v>
      </c>
      <c r="J105">
        <v>21</v>
      </c>
      <c r="K105">
        <v>27</v>
      </c>
      <c r="L105">
        <v>5</v>
      </c>
      <c r="M105">
        <v>2</v>
      </c>
      <c r="N105">
        <v>13</v>
      </c>
      <c r="O105">
        <v>12</v>
      </c>
      <c r="P105">
        <v>12</v>
      </c>
      <c r="Q105">
        <v>22</v>
      </c>
      <c r="R105">
        <v>11</v>
      </c>
      <c r="S105">
        <v>4</v>
      </c>
      <c r="T105">
        <v>2</v>
      </c>
      <c r="U105">
        <v>9</v>
      </c>
    </row>
    <row r="106" spans="1:21">
      <c r="A106" s="5" t="s">
        <v>186</v>
      </c>
      <c r="B106" s="6" t="s">
        <v>112</v>
      </c>
      <c r="C106" s="7">
        <v>42516</v>
      </c>
      <c r="D106" s="8" t="s">
        <v>31</v>
      </c>
      <c r="F106">
        <f>SUM(H106:U106)</f>
        <v>1516</v>
      </c>
      <c r="G106" s="9">
        <f>AVERAGE(H106:U106)</f>
        <v>108.28571428571429</v>
      </c>
      <c r="H106">
        <v>113</v>
      </c>
      <c r="I106">
        <v>166</v>
      </c>
      <c r="J106">
        <v>119</v>
      </c>
      <c r="K106">
        <v>143</v>
      </c>
      <c r="L106">
        <v>110</v>
      </c>
      <c r="M106">
        <v>95</v>
      </c>
      <c r="N106">
        <v>240</v>
      </c>
      <c r="O106">
        <v>135</v>
      </c>
      <c r="P106">
        <v>61</v>
      </c>
      <c r="Q106">
        <v>70</v>
      </c>
      <c r="R106">
        <v>47</v>
      </c>
      <c r="S106">
        <v>93</v>
      </c>
      <c r="T106">
        <v>75</v>
      </c>
      <c r="U106">
        <v>49</v>
      </c>
    </row>
    <row r="107" spans="1:21">
      <c r="A107" s="5" t="s">
        <v>187</v>
      </c>
      <c r="B107" s="6" t="s">
        <v>112</v>
      </c>
      <c r="C107" s="7">
        <v>42515</v>
      </c>
      <c r="D107" s="8" t="s">
        <v>84</v>
      </c>
      <c r="F107">
        <f t="shared" si="2"/>
        <v>1425</v>
      </c>
      <c r="G107" s="9">
        <f t="shared" si="3"/>
        <v>103</v>
      </c>
      <c r="H107">
        <v>28</v>
      </c>
      <c r="I107">
        <v>252</v>
      </c>
      <c r="J107">
        <v>172</v>
      </c>
      <c r="K107">
        <v>115</v>
      </c>
      <c r="L107">
        <v>103</v>
      </c>
      <c r="M107">
        <v>147</v>
      </c>
      <c r="N107">
        <v>65</v>
      </c>
      <c r="O107">
        <v>57</v>
      </c>
      <c r="P107">
        <v>97</v>
      </c>
      <c r="Q107">
        <v>56</v>
      </c>
      <c r="R107">
        <v>54</v>
      </c>
      <c r="S107">
        <v>85</v>
      </c>
      <c r="T107">
        <v>108</v>
      </c>
      <c r="U107">
        <v>86</v>
      </c>
    </row>
    <row r="108" spans="1:21">
      <c r="A108" s="5" t="s">
        <v>188</v>
      </c>
      <c r="B108" s="6" t="s">
        <v>112</v>
      </c>
      <c r="C108" s="7">
        <v>42514</v>
      </c>
      <c r="D108" s="8" t="s">
        <v>189</v>
      </c>
      <c r="F108">
        <f t="shared" si="2"/>
        <v>275</v>
      </c>
      <c r="G108" s="9">
        <f t="shared" si="3"/>
        <v>20.923076923076923</v>
      </c>
      <c r="H108">
        <v>28</v>
      </c>
      <c r="I108">
        <v>25</v>
      </c>
      <c r="J108">
        <v>21</v>
      </c>
      <c r="K108">
        <v>9</v>
      </c>
      <c r="L108">
        <v>9</v>
      </c>
      <c r="M108">
        <v>18</v>
      </c>
      <c r="N108">
        <v>81</v>
      </c>
      <c r="O108">
        <v>21</v>
      </c>
      <c r="P108">
        <v>11</v>
      </c>
      <c r="Q108">
        <v>21</v>
      </c>
      <c r="R108">
        <v>4</v>
      </c>
      <c r="S108">
        <v>6</v>
      </c>
      <c r="T108">
        <v>18</v>
      </c>
      <c r="U108">
        <v>3</v>
      </c>
    </row>
    <row r="109" spans="1:21">
      <c r="A109" s="5" t="s">
        <v>190</v>
      </c>
      <c r="B109" s="6" t="s">
        <v>112</v>
      </c>
      <c r="C109" s="7">
        <v>42513</v>
      </c>
      <c r="D109" s="8" t="s">
        <v>191</v>
      </c>
      <c r="F109">
        <f t="shared" si="2"/>
        <v>1914</v>
      </c>
      <c r="G109" s="9">
        <f t="shared" si="3"/>
        <v>146.61538461538461</v>
      </c>
      <c r="H109">
        <v>30</v>
      </c>
      <c r="I109">
        <v>288</v>
      </c>
      <c r="J109">
        <v>470</v>
      </c>
      <c r="K109">
        <v>380</v>
      </c>
      <c r="L109">
        <v>280</v>
      </c>
      <c r="M109">
        <v>133</v>
      </c>
      <c r="N109">
        <v>58</v>
      </c>
      <c r="O109">
        <v>23</v>
      </c>
      <c r="P109">
        <v>57</v>
      </c>
      <c r="Q109">
        <v>61</v>
      </c>
      <c r="R109">
        <v>59</v>
      </c>
      <c r="S109">
        <v>45</v>
      </c>
      <c r="T109">
        <v>22</v>
      </c>
      <c r="U109">
        <v>8</v>
      </c>
    </row>
    <row r="110" spans="1:21">
      <c r="A110" s="5" t="s">
        <v>192</v>
      </c>
      <c r="B110" s="6" t="s">
        <v>112</v>
      </c>
      <c r="C110" s="7">
        <v>42510</v>
      </c>
      <c r="D110" s="8" t="s">
        <v>193</v>
      </c>
      <c r="F110">
        <f t="shared" si="2"/>
        <v>233</v>
      </c>
      <c r="G110" s="9">
        <f t="shared" si="3"/>
        <v>17.53846153846154</v>
      </c>
      <c r="H110">
        <v>39</v>
      </c>
      <c r="I110">
        <v>27</v>
      </c>
      <c r="J110">
        <v>29</v>
      </c>
      <c r="K110">
        <v>30</v>
      </c>
      <c r="L110">
        <v>31</v>
      </c>
      <c r="M110">
        <v>15</v>
      </c>
      <c r="N110">
        <v>18</v>
      </c>
      <c r="O110">
        <v>5</v>
      </c>
      <c r="P110">
        <v>6</v>
      </c>
      <c r="Q110">
        <v>7</v>
      </c>
      <c r="R110">
        <v>9</v>
      </c>
      <c r="S110">
        <v>8</v>
      </c>
      <c r="T110">
        <v>4</v>
      </c>
      <c r="U110">
        <v>5</v>
      </c>
    </row>
    <row r="111" spans="1:21">
      <c r="A111" s="5" t="s">
        <v>194</v>
      </c>
      <c r="B111" s="6" t="s">
        <v>112</v>
      </c>
      <c r="C111" s="7">
        <v>42509</v>
      </c>
      <c r="D111" s="8" t="s">
        <v>31</v>
      </c>
      <c r="F111">
        <f t="shared" ref="F111:F116" si="4">SUM(H111:U111)</f>
        <v>1229</v>
      </c>
      <c r="G111" s="9">
        <f t="shared" si="3"/>
        <v>93.384615384615387</v>
      </c>
      <c r="H111">
        <f>69</f>
        <v>69</v>
      </c>
      <c r="I111">
        <f>143</f>
        <v>143</v>
      </c>
      <c r="J111">
        <f>44</f>
        <v>44</v>
      </c>
      <c r="K111">
        <f>159</f>
        <v>159</v>
      </c>
      <c r="L111">
        <f>125</f>
        <v>125</v>
      </c>
      <c r="M111">
        <f>355</f>
        <v>355</v>
      </c>
      <c r="N111">
        <f>117</f>
        <v>117</v>
      </c>
      <c r="O111">
        <f>45</f>
        <v>45</v>
      </c>
      <c r="P111">
        <f>23</f>
        <v>23</v>
      </c>
      <c r="Q111">
        <f>18</f>
        <v>18</v>
      </c>
      <c r="R111">
        <f>81</f>
        <v>81</v>
      </c>
      <c r="S111">
        <f>18</f>
        <v>18</v>
      </c>
      <c r="T111">
        <f>17</f>
        <v>17</v>
      </c>
      <c r="U111">
        <f>15</f>
        <v>15</v>
      </c>
    </row>
    <row r="112" spans="1:21">
      <c r="A112" s="5" t="s">
        <v>195</v>
      </c>
      <c r="B112" s="6" t="s">
        <v>112</v>
      </c>
      <c r="C112" s="7">
        <v>42508</v>
      </c>
      <c r="D112" s="8" t="s">
        <v>196</v>
      </c>
      <c r="F112">
        <f t="shared" si="4"/>
        <v>269</v>
      </c>
      <c r="G112" s="9">
        <f t="shared" si="3"/>
        <v>19.923076923076923</v>
      </c>
      <c r="H112">
        <v>18</v>
      </c>
      <c r="I112">
        <v>71</v>
      </c>
      <c r="J112">
        <v>41</v>
      </c>
      <c r="K112">
        <v>23</v>
      </c>
      <c r="L112">
        <v>11</v>
      </c>
      <c r="M112">
        <v>22</v>
      </c>
      <c r="N112">
        <v>10</v>
      </c>
      <c r="O112">
        <v>19</v>
      </c>
      <c r="P112">
        <v>22</v>
      </c>
      <c r="Q112">
        <v>7</v>
      </c>
      <c r="R112">
        <v>2</v>
      </c>
      <c r="S112">
        <v>7</v>
      </c>
      <c r="T112">
        <v>6</v>
      </c>
      <c r="U112">
        <v>10</v>
      </c>
    </row>
    <row r="113" spans="1:21">
      <c r="A113" s="5" t="s">
        <v>197</v>
      </c>
      <c r="B113" s="6" t="s">
        <v>112</v>
      </c>
      <c r="C113" s="7">
        <v>42508</v>
      </c>
      <c r="D113" s="8" t="s">
        <v>198</v>
      </c>
      <c r="F113">
        <f t="shared" si="4"/>
        <v>718</v>
      </c>
      <c r="G113" s="9">
        <f t="shared" si="3"/>
        <v>50</v>
      </c>
      <c r="H113">
        <v>23</v>
      </c>
      <c r="I113">
        <v>40</v>
      </c>
      <c r="J113">
        <v>15</v>
      </c>
      <c r="K113">
        <v>3</v>
      </c>
      <c r="L113">
        <v>5</v>
      </c>
      <c r="M113">
        <v>106</v>
      </c>
      <c r="N113">
        <v>44</v>
      </c>
      <c r="O113">
        <v>30</v>
      </c>
      <c r="P113">
        <v>126</v>
      </c>
      <c r="Q113">
        <v>149</v>
      </c>
      <c r="R113">
        <v>32</v>
      </c>
      <c r="S113">
        <v>29</v>
      </c>
      <c r="T113">
        <v>48</v>
      </c>
      <c r="U113">
        <v>68</v>
      </c>
    </row>
    <row r="114" spans="1:21">
      <c r="A114" s="5" t="s">
        <v>199</v>
      </c>
      <c r="B114" s="6" t="s">
        <v>112</v>
      </c>
      <c r="C114" s="7">
        <v>42507</v>
      </c>
      <c r="D114" s="8" t="s">
        <v>200</v>
      </c>
      <c r="F114">
        <f t="shared" si="4"/>
        <v>316</v>
      </c>
      <c r="G114" s="9">
        <f t="shared" si="3"/>
        <v>24.076923076923077</v>
      </c>
      <c r="H114">
        <v>18</v>
      </c>
      <c r="I114">
        <v>85</v>
      </c>
      <c r="J114">
        <v>52</v>
      </c>
      <c r="K114">
        <v>15</v>
      </c>
      <c r="L114">
        <v>7</v>
      </c>
      <c r="M114">
        <v>20</v>
      </c>
      <c r="N114">
        <v>62</v>
      </c>
      <c r="O114">
        <v>32</v>
      </c>
      <c r="P114">
        <v>7</v>
      </c>
      <c r="Q114">
        <v>8</v>
      </c>
      <c r="R114">
        <v>4</v>
      </c>
      <c r="S114">
        <v>1</v>
      </c>
      <c r="T114">
        <v>2</v>
      </c>
      <c r="U114">
        <v>3</v>
      </c>
    </row>
    <row r="115" spans="1:21">
      <c r="A115" s="5" t="s">
        <v>201</v>
      </c>
      <c r="B115" s="6" t="s">
        <v>112</v>
      </c>
      <c r="C115" s="7">
        <v>42507</v>
      </c>
      <c r="D115" s="8" t="s">
        <v>153</v>
      </c>
      <c r="F115">
        <f t="shared" si="4"/>
        <v>668</v>
      </c>
      <c r="G115" s="9">
        <f t="shared" si="3"/>
        <v>51.07692307692308</v>
      </c>
      <c r="H115">
        <v>70</v>
      </c>
      <c r="I115">
        <v>163</v>
      </c>
      <c r="J115">
        <v>107</v>
      </c>
      <c r="K115">
        <v>51</v>
      </c>
      <c r="L115">
        <v>30</v>
      </c>
      <c r="M115">
        <v>27</v>
      </c>
      <c r="N115">
        <v>66</v>
      </c>
      <c r="O115">
        <v>53</v>
      </c>
      <c r="P115">
        <v>23</v>
      </c>
      <c r="Q115">
        <v>25</v>
      </c>
      <c r="R115">
        <v>24</v>
      </c>
      <c r="S115">
        <v>9</v>
      </c>
      <c r="T115">
        <v>16</v>
      </c>
      <c r="U115">
        <v>4</v>
      </c>
    </row>
    <row r="116" spans="1:21">
      <c r="A116" s="5" t="s">
        <v>202</v>
      </c>
      <c r="B116" s="6" t="s">
        <v>112</v>
      </c>
      <c r="C116" s="7">
        <v>42506</v>
      </c>
      <c r="D116" s="8" t="s">
        <v>203</v>
      </c>
      <c r="F116">
        <f t="shared" si="4"/>
        <v>465</v>
      </c>
      <c r="G116" s="9">
        <f t="shared" si="3"/>
        <v>35.153846153846153</v>
      </c>
      <c r="H116">
        <v>49</v>
      </c>
      <c r="I116">
        <v>233</v>
      </c>
      <c r="J116">
        <v>54</v>
      </c>
      <c r="K116">
        <v>27</v>
      </c>
      <c r="L116">
        <v>7</v>
      </c>
      <c r="M116">
        <v>7</v>
      </c>
      <c r="N116">
        <v>18</v>
      </c>
      <c r="O116">
        <v>25</v>
      </c>
      <c r="P116">
        <v>6</v>
      </c>
      <c r="Q116">
        <v>11</v>
      </c>
      <c r="R116">
        <v>9</v>
      </c>
      <c r="S116">
        <v>7</v>
      </c>
      <c r="T116">
        <v>4</v>
      </c>
      <c r="U1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xSplit="1" topLeftCell="G1" activePane="topRight" state="frozen"/>
      <selection pane="topRight" activeCell="M2" sqref="M2:M114"/>
    </sheetView>
  </sheetViews>
  <sheetFormatPr defaultColWidth="11" defaultRowHeight="15.75"/>
  <cols>
    <col min="1" max="1" width="88.375" customWidth="1"/>
    <col min="2" max="2" width="15.375" bestFit="1" customWidth="1"/>
    <col min="3" max="3" width="7.375" bestFit="1" customWidth="1"/>
    <col min="4" max="4" width="36.875" bestFit="1" customWidth="1"/>
    <col min="5" max="5" width="40.625" bestFit="1" customWidth="1"/>
    <col min="9" max="9" width="10.875" style="12"/>
    <col min="10" max="11" width="10.875" style="53"/>
    <col min="12" max="12" width="11.125" bestFit="1" customWidth="1"/>
    <col min="13" max="13" width="9.875" bestFit="1" customWidth="1"/>
    <col min="14" max="14" width="12.125" bestFit="1" customWidth="1"/>
    <col min="16" max="16" width="12.5" bestFit="1" customWidth="1"/>
    <col min="17" max="17" width="12.5" customWidth="1"/>
    <col min="18" max="18" width="12.375" style="90" bestFit="1" customWidth="1"/>
    <col min="19" max="19" width="12.5" bestFit="1" customWidth="1"/>
    <col min="20" max="20" width="12" bestFit="1" customWidth="1"/>
  </cols>
  <sheetData>
    <row r="1" spans="1:20" ht="16.5" thickBot="1">
      <c r="A1" s="44" t="s">
        <v>0</v>
      </c>
      <c r="B1" s="45" t="s">
        <v>1</v>
      </c>
      <c r="C1" s="45" t="s">
        <v>2</v>
      </c>
      <c r="D1" s="45" t="s">
        <v>3</v>
      </c>
      <c r="E1" s="46" t="s">
        <v>204</v>
      </c>
      <c r="F1" s="47" t="s">
        <v>4</v>
      </c>
      <c r="G1" s="47" t="s">
        <v>205</v>
      </c>
      <c r="H1" s="47" t="s">
        <v>208</v>
      </c>
      <c r="I1" s="47" t="s">
        <v>206</v>
      </c>
      <c r="J1" s="51" t="s">
        <v>207</v>
      </c>
      <c r="K1" s="51" t="s">
        <v>241</v>
      </c>
      <c r="L1" s="26" t="s">
        <v>307</v>
      </c>
      <c r="M1" s="26" t="s">
        <v>308</v>
      </c>
      <c r="N1" s="54" t="s">
        <v>300</v>
      </c>
      <c r="O1" s="54" t="s">
        <v>301</v>
      </c>
      <c r="P1" s="48" t="s">
        <v>209</v>
      </c>
      <c r="Q1" s="57" t="s">
        <v>303</v>
      </c>
      <c r="R1" s="91" t="s">
        <v>304</v>
      </c>
      <c r="S1" s="58" t="s">
        <v>306</v>
      </c>
      <c r="T1" s="58" t="s">
        <v>305</v>
      </c>
    </row>
    <row r="2" spans="1:20">
      <c r="A2" s="40" t="s">
        <v>242</v>
      </c>
      <c r="B2" s="32" t="s">
        <v>112</v>
      </c>
      <c r="C2" s="41">
        <v>42506</v>
      </c>
      <c r="D2" s="32" t="s">
        <v>203</v>
      </c>
      <c r="E2" s="32" t="s">
        <v>220</v>
      </c>
      <c r="F2" s="42">
        <v>671</v>
      </c>
      <c r="G2" s="93"/>
      <c r="H2" s="32">
        <v>0</v>
      </c>
      <c r="I2" s="42">
        <v>0</v>
      </c>
      <c r="J2" s="49">
        <v>0</v>
      </c>
      <c r="K2" s="49">
        <v>2</v>
      </c>
      <c r="L2">
        <v>0</v>
      </c>
      <c r="M2">
        <v>0</v>
      </c>
      <c r="N2" s="55"/>
      <c r="O2" s="55"/>
      <c r="P2" s="43" t="s">
        <v>243</v>
      </c>
      <c r="Q2" s="10" t="s">
        <v>243</v>
      </c>
      <c r="R2" s="90">
        <v>0</v>
      </c>
      <c r="S2" t="s">
        <v>243</v>
      </c>
      <c r="T2">
        <v>0</v>
      </c>
    </row>
    <row r="3" spans="1:20">
      <c r="A3" s="5" t="s">
        <v>97</v>
      </c>
      <c r="B3" s="6" t="s">
        <v>22</v>
      </c>
      <c r="C3" s="7">
        <v>42507</v>
      </c>
      <c r="D3" s="6" t="s">
        <v>27</v>
      </c>
      <c r="E3" s="38" t="s">
        <v>212</v>
      </c>
      <c r="F3" s="38">
        <v>1154</v>
      </c>
      <c r="G3" s="39"/>
      <c r="H3" s="6">
        <v>0</v>
      </c>
      <c r="I3" s="38">
        <v>3</v>
      </c>
      <c r="J3" s="50">
        <v>0</v>
      </c>
      <c r="K3" s="50">
        <v>1</v>
      </c>
      <c r="L3">
        <v>0</v>
      </c>
      <c r="M3">
        <v>0</v>
      </c>
      <c r="N3" s="56"/>
      <c r="O3" s="56"/>
      <c r="P3" s="8" t="s">
        <v>243</v>
      </c>
      <c r="Q3" s="10" t="s">
        <v>243</v>
      </c>
      <c r="R3" s="90">
        <v>0</v>
      </c>
      <c r="S3" s="10" t="s">
        <v>243</v>
      </c>
      <c r="T3">
        <v>0</v>
      </c>
    </row>
    <row r="4" spans="1:20">
      <c r="A4" s="5" t="s">
        <v>199</v>
      </c>
      <c r="B4" s="6" t="s">
        <v>112</v>
      </c>
      <c r="C4" s="7">
        <v>42507</v>
      </c>
      <c r="D4" s="6" t="s">
        <v>200</v>
      </c>
      <c r="E4" s="39" t="s">
        <v>215</v>
      </c>
      <c r="F4" s="38">
        <v>511</v>
      </c>
      <c r="G4" s="39"/>
      <c r="H4" s="6">
        <v>0</v>
      </c>
      <c r="I4" s="38">
        <v>0</v>
      </c>
      <c r="J4" s="50">
        <v>0</v>
      </c>
      <c r="K4" s="50">
        <v>1</v>
      </c>
      <c r="L4">
        <v>2667</v>
      </c>
      <c r="M4">
        <v>402</v>
      </c>
      <c r="N4" s="56"/>
      <c r="O4" s="56"/>
      <c r="P4" s="8" t="s">
        <v>243</v>
      </c>
      <c r="Q4" s="10" t="s">
        <v>243</v>
      </c>
      <c r="R4" s="90">
        <v>0</v>
      </c>
      <c r="S4" t="s">
        <v>243</v>
      </c>
      <c r="T4">
        <v>0</v>
      </c>
    </row>
    <row r="5" spans="1:20">
      <c r="A5" s="5" t="s">
        <v>201</v>
      </c>
      <c r="B5" s="6" t="s">
        <v>112</v>
      </c>
      <c r="C5" s="7">
        <v>42507</v>
      </c>
      <c r="D5" s="6" t="s">
        <v>153</v>
      </c>
      <c r="E5" s="6" t="s">
        <v>220</v>
      </c>
      <c r="F5" s="38">
        <v>1008</v>
      </c>
      <c r="G5" s="39"/>
      <c r="H5" s="6">
        <v>0</v>
      </c>
      <c r="I5" s="38">
        <v>0</v>
      </c>
      <c r="J5" s="50">
        <v>0</v>
      </c>
      <c r="K5" s="50">
        <v>4</v>
      </c>
      <c r="L5">
        <v>0</v>
      </c>
      <c r="M5">
        <v>0</v>
      </c>
      <c r="N5" s="56"/>
      <c r="O5" s="56"/>
      <c r="P5" s="8" t="s">
        <v>243</v>
      </c>
      <c r="Q5" s="10" t="s">
        <v>243</v>
      </c>
      <c r="R5" s="90">
        <v>0</v>
      </c>
      <c r="S5" t="s">
        <v>243</v>
      </c>
      <c r="T5">
        <v>0</v>
      </c>
    </row>
    <row r="6" spans="1:20">
      <c r="A6" s="5" t="s">
        <v>195</v>
      </c>
      <c r="B6" s="6" t="s">
        <v>112</v>
      </c>
      <c r="C6" s="7">
        <v>42508</v>
      </c>
      <c r="D6" s="6" t="s">
        <v>196</v>
      </c>
      <c r="E6" s="38" t="s">
        <v>232</v>
      </c>
      <c r="F6" s="38">
        <v>430</v>
      </c>
      <c r="G6" s="39"/>
      <c r="H6" s="6">
        <v>3324</v>
      </c>
      <c r="I6" s="38">
        <v>1</v>
      </c>
      <c r="J6" s="50">
        <v>0</v>
      </c>
      <c r="K6" s="50">
        <v>1</v>
      </c>
      <c r="L6">
        <v>4249</v>
      </c>
      <c r="M6">
        <v>504</v>
      </c>
      <c r="N6" s="56"/>
      <c r="O6" s="56"/>
      <c r="P6" s="8" t="s">
        <v>243</v>
      </c>
      <c r="Q6" s="10" t="s">
        <v>243</v>
      </c>
      <c r="R6" s="90">
        <v>0</v>
      </c>
      <c r="S6" t="s">
        <v>243</v>
      </c>
      <c r="T6">
        <v>0</v>
      </c>
    </row>
    <row r="7" spans="1:20">
      <c r="A7" s="5" t="s">
        <v>197</v>
      </c>
      <c r="B7" s="6" t="s">
        <v>112</v>
      </c>
      <c r="C7" s="7">
        <v>42508</v>
      </c>
      <c r="D7" s="6" t="s">
        <v>198</v>
      </c>
      <c r="E7" s="38" t="s">
        <v>232</v>
      </c>
      <c r="F7" s="38">
        <v>1360</v>
      </c>
      <c r="G7" s="39"/>
      <c r="H7" s="6">
        <v>2098</v>
      </c>
      <c r="I7" s="38">
        <v>0</v>
      </c>
      <c r="J7" s="50">
        <v>0</v>
      </c>
      <c r="K7" s="50">
        <v>2</v>
      </c>
      <c r="L7">
        <v>8261</v>
      </c>
      <c r="M7">
        <v>189</v>
      </c>
      <c r="N7" s="56"/>
      <c r="O7" s="56"/>
      <c r="P7" s="8" t="s">
        <v>243</v>
      </c>
      <c r="Q7" s="10" t="s">
        <v>243</v>
      </c>
      <c r="R7" s="90">
        <v>0</v>
      </c>
      <c r="S7" t="s">
        <v>243</v>
      </c>
      <c r="T7">
        <v>0</v>
      </c>
    </row>
    <row r="8" spans="1:20">
      <c r="A8" s="5" t="s">
        <v>96</v>
      </c>
      <c r="B8" s="6" t="s">
        <v>22</v>
      </c>
      <c r="C8" s="7">
        <v>42509</v>
      </c>
      <c r="D8" s="6" t="s">
        <v>23</v>
      </c>
      <c r="E8" s="38" t="s">
        <v>210</v>
      </c>
      <c r="F8" s="38">
        <v>296</v>
      </c>
      <c r="G8" s="39"/>
      <c r="H8" s="6">
        <v>0</v>
      </c>
      <c r="I8" s="38">
        <v>0</v>
      </c>
      <c r="J8" s="50">
        <v>0</v>
      </c>
      <c r="K8" s="50">
        <v>0</v>
      </c>
      <c r="L8">
        <v>305</v>
      </c>
      <c r="M8">
        <v>29</v>
      </c>
      <c r="N8" s="56"/>
      <c r="O8" s="56"/>
      <c r="P8" s="8" t="s">
        <v>243</v>
      </c>
      <c r="Q8" s="10" t="s">
        <v>243</v>
      </c>
      <c r="R8" s="90">
        <v>0</v>
      </c>
      <c r="S8" s="10" t="s">
        <v>243</v>
      </c>
      <c r="T8">
        <v>0</v>
      </c>
    </row>
    <row r="9" spans="1:20">
      <c r="A9" s="5" t="s">
        <v>194</v>
      </c>
      <c r="B9" s="6" t="s">
        <v>112</v>
      </c>
      <c r="C9" s="7">
        <v>42509</v>
      </c>
      <c r="D9" s="6" t="s">
        <v>31</v>
      </c>
      <c r="E9" s="6" t="s">
        <v>213</v>
      </c>
      <c r="F9" s="38">
        <v>1500</v>
      </c>
      <c r="G9" s="39"/>
      <c r="H9" s="6">
        <v>0</v>
      </c>
      <c r="I9" s="38">
        <v>1</v>
      </c>
      <c r="J9" s="50">
        <v>1</v>
      </c>
      <c r="K9" s="50">
        <v>0</v>
      </c>
      <c r="L9">
        <v>860</v>
      </c>
      <c r="M9">
        <v>2</v>
      </c>
      <c r="N9" s="56"/>
      <c r="O9" s="56"/>
      <c r="P9" s="8" t="s">
        <v>244</v>
      </c>
      <c r="Q9" s="10" t="s">
        <v>243</v>
      </c>
      <c r="R9" s="90">
        <v>0</v>
      </c>
      <c r="S9" t="s">
        <v>243</v>
      </c>
      <c r="T9">
        <v>0</v>
      </c>
    </row>
    <row r="10" spans="1:20">
      <c r="A10" s="5" t="s">
        <v>94</v>
      </c>
      <c r="B10" s="6" t="s">
        <v>22</v>
      </c>
      <c r="C10" s="7">
        <v>42510</v>
      </c>
      <c r="D10" s="6" t="s">
        <v>95</v>
      </c>
      <c r="E10" s="38" t="s">
        <v>217</v>
      </c>
      <c r="F10" s="38">
        <v>715</v>
      </c>
      <c r="G10" s="39"/>
      <c r="H10" s="6">
        <v>0</v>
      </c>
      <c r="I10" s="38">
        <v>0</v>
      </c>
      <c r="J10" s="50">
        <v>0</v>
      </c>
      <c r="K10" s="50">
        <v>0</v>
      </c>
      <c r="L10">
        <v>6405</v>
      </c>
      <c r="M10">
        <v>193</v>
      </c>
      <c r="N10" s="56"/>
      <c r="O10" s="56"/>
      <c r="P10" s="8" t="s">
        <v>243</v>
      </c>
      <c r="Q10" s="10" t="s">
        <v>243</v>
      </c>
      <c r="R10" s="90">
        <v>0</v>
      </c>
      <c r="S10" s="10" t="s">
        <v>243</v>
      </c>
      <c r="T10">
        <v>0</v>
      </c>
    </row>
    <row r="11" spans="1:20">
      <c r="A11" s="5" t="s">
        <v>192</v>
      </c>
      <c r="B11" s="6" t="s">
        <v>112</v>
      </c>
      <c r="C11" s="7">
        <v>42510</v>
      </c>
      <c r="D11" s="6" t="s">
        <v>193</v>
      </c>
      <c r="E11" s="38" t="s">
        <v>236</v>
      </c>
      <c r="F11" s="38">
        <v>389</v>
      </c>
      <c r="G11" s="39"/>
      <c r="H11" s="6">
        <v>0</v>
      </c>
      <c r="I11" s="38">
        <v>0</v>
      </c>
      <c r="J11" s="50">
        <v>0</v>
      </c>
      <c r="K11" s="50">
        <v>0</v>
      </c>
      <c r="L11">
        <v>0</v>
      </c>
      <c r="M11">
        <v>0</v>
      </c>
      <c r="N11" s="56"/>
      <c r="O11" s="56"/>
      <c r="P11" s="8" t="s">
        <v>243</v>
      </c>
      <c r="Q11" s="10" t="s">
        <v>243</v>
      </c>
      <c r="R11" s="90">
        <v>0</v>
      </c>
      <c r="S11" t="s">
        <v>243</v>
      </c>
      <c r="T11">
        <v>0</v>
      </c>
    </row>
    <row r="12" spans="1:20">
      <c r="A12" s="5" t="s">
        <v>93</v>
      </c>
      <c r="B12" s="6" t="s">
        <v>22</v>
      </c>
      <c r="C12" s="7">
        <v>42513</v>
      </c>
      <c r="D12" s="6" t="s">
        <v>31</v>
      </c>
      <c r="E12" s="38" t="s">
        <v>213</v>
      </c>
      <c r="F12" s="38">
        <v>1296</v>
      </c>
      <c r="G12" s="39"/>
      <c r="H12" s="6">
        <v>0</v>
      </c>
      <c r="I12" s="38">
        <v>3</v>
      </c>
      <c r="J12" s="50">
        <v>1</v>
      </c>
      <c r="K12" s="50">
        <v>3</v>
      </c>
      <c r="L12">
        <v>0</v>
      </c>
      <c r="M12">
        <v>0</v>
      </c>
      <c r="N12" s="56"/>
      <c r="O12" s="56"/>
      <c r="P12" s="8" t="s">
        <v>243</v>
      </c>
      <c r="Q12" s="10" t="s">
        <v>243</v>
      </c>
      <c r="R12" s="90">
        <v>0</v>
      </c>
      <c r="S12" s="10" t="s">
        <v>243</v>
      </c>
      <c r="T12">
        <v>0</v>
      </c>
    </row>
    <row r="13" spans="1:20">
      <c r="A13" s="5" t="s">
        <v>190</v>
      </c>
      <c r="B13" s="6" t="s">
        <v>112</v>
      </c>
      <c r="C13" s="7">
        <v>42513</v>
      </c>
      <c r="D13" s="6" t="s">
        <v>191</v>
      </c>
      <c r="E13" s="38" t="s">
        <v>225</v>
      </c>
      <c r="F13" s="38">
        <v>3173</v>
      </c>
      <c r="G13" s="39"/>
      <c r="H13" s="6">
        <v>2751</v>
      </c>
      <c r="I13" s="38">
        <v>1</v>
      </c>
      <c r="J13" s="50">
        <v>0</v>
      </c>
      <c r="K13" s="50">
        <v>5</v>
      </c>
      <c r="L13">
        <v>2575</v>
      </c>
      <c r="M13">
        <v>36</v>
      </c>
      <c r="N13" s="56"/>
      <c r="O13" s="56"/>
      <c r="P13" s="8" t="s">
        <v>243</v>
      </c>
      <c r="Q13" s="10" t="s">
        <v>243</v>
      </c>
      <c r="R13" s="90">
        <v>0</v>
      </c>
      <c r="S13" t="s">
        <v>243</v>
      </c>
      <c r="T13">
        <v>0</v>
      </c>
    </row>
    <row r="14" spans="1:20">
      <c r="A14" s="5" t="s">
        <v>188</v>
      </c>
      <c r="B14" s="6" t="s">
        <v>112</v>
      </c>
      <c r="C14" s="7">
        <v>42514</v>
      </c>
      <c r="D14" s="6" t="s">
        <v>189</v>
      </c>
      <c r="E14" s="38" t="s">
        <v>215</v>
      </c>
      <c r="F14" s="38">
        <v>504</v>
      </c>
      <c r="G14" s="39"/>
      <c r="H14" s="6">
        <v>0</v>
      </c>
      <c r="I14" s="38">
        <v>0</v>
      </c>
      <c r="J14" s="50">
        <v>0</v>
      </c>
      <c r="K14" s="50">
        <v>0</v>
      </c>
      <c r="L14">
        <v>0</v>
      </c>
      <c r="M14">
        <v>0</v>
      </c>
      <c r="N14" s="56"/>
      <c r="O14" s="56"/>
      <c r="P14" s="8" t="s">
        <v>243</v>
      </c>
      <c r="Q14" s="10" t="s">
        <v>243</v>
      </c>
      <c r="R14" s="90">
        <v>0</v>
      </c>
      <c r="S14" t="s">
        <v>243</v>
      </c>
      <c r="T14">
        <v>0</v>
      </c>
    </row>
    <row r="15" spans="1:20">
      <c r="A15" s="5" t="s">
        <v>91</v>
      </c>
      <c r="B15" s="6" t="s">
        <v>22</v>
      </c>
      <c r="C15" s="7">
        <v>42515</v>
      </c>
      <c r="D15" s="6" t="s">
        <v>92</v>
      </c>
      <c r="E15" s="38" t="s">
        <v>214</v>
      </c>
      <c r="F15" s="38">
        <v>1339</v>
      </c>
      <c r="G15" s="39"/>
      <c r="H15" s="6">
        <v>0</v>
      </c>
      <c r="I15" s="38">
        <v>14</v>
      </c>
      <c r="J15" s="50">
        <v>0</v>
      </c>
      <c r="K15" s="50">
        <v>0</v>
      </c>
      <c r="L15">
        <v>0</v>
      </c>
      <c r="M15">
        <v>0</v>
      </c>
      <c r="N15" s="56"/>
      <c r="O15" s="56"/>
      <c r="P15" s="8" t="s">
        <v>243</v>
      </c>
      <c r="Q15" s="10" t="s">
        <v>243</v>
      </c>
      <c r="R15" s="90">
        <v>0</v>
      </c>
      <c r="S15" s="10" t="s">
        <v>243</v>
      </c>
      <c r="T15">
        <v>0</v>
      </c>
    </row>
    <row r="16" spans="1:20">
      <c r="A16" s="5" t="s">
        <v>187</v>
      </c>
      <c r="B16" s="6" t="s">
        <v>112</v>
      </c>
      <c r="C16" s="7">
        <v>42515</v>
      </c>
      <c r="D16" s="6" t="s">
        <v>84</v>
      </c>
      <c r="E16" s="6" t="s">
        <v>220</v>
      </c>
      <c r="F16" s="38">
        <v>1813</v>
      </c>
      <c r="G16" s="39"/>
      <c r="H16" s="6">
        <v>0</v>
      </c>
      <c r="I16" s="38">
        <v>17</v>
      </c>
      <c r="J16" s="50">
        <v>0</v>
      </c>
      <c r="K16" s="50">
        <v>0</v>
      </c>
      <c r="L16">
        <v>0</v>
      </c>
      <c r="M16">
        <v>0</v>
      </c>
      <c r="N16" s="56"/>
      <c r="O16" s="56"/>
      <c r="P16" s="8" t="s">
        <v>243</v>
      </c>
      <c r="Q16" s="10" t="s">
        <v>243</v>
      </c>
      <c r="R16" s="90">
        <v>0</v>
      </c>
      <c r="S16" t="s">
        <v>243</v>
      </c>
      <c r="T16">
        <v>0</v>
      </c>
    </row>
    <row r="17" spans="1:20">
      <c r="A17" s="5" t="s">
        <v>87</v>
      </c>
      <c r="B17" s="6" t="s">
        <v>22</v>
      </c>
      <c r="C17" s="7">
        <v>42516</v>
      </c>
      <c r="D17" s="6" t="s">
        <v>88</v>
      </c>
      <c r="E17" s="38" t="s">
        <v>216</v>
      </c>
      <c r="F17" s="38">
        <v>648</v>
      </c>
      <c r="G17" s="39"/>
      <c r="H17" s="6">
        <v>0</v>
      </c>
      <c r="I17" s="38">
        <v>12</v>
      </c>
      <c r="J17" s="50">
        <v>0</v>
      </c>
      <c r="K17" s="50">
        <v>1</v>
      </c>
      <c r="L17">
        <v>0</v>
      </c>
      <c r="M17">
        <v>0</v>
      </c>
      <c r="N17" s="56"/>
      <c r="O17" s="56"/>
      <c r="P17" s="8" t="s">
        <v>243</v>
      </c>
      <c r="Q17" s="10" t="s">
        <v>243</v>
      </c>
      <c r="R17" s="90">
        <v>0</v>
      </c>
      <c r="S17" s="10" t="s">
        <v>243</v>
      </c>
      <c r="T17">
        <v>0</v>
      </c>
    </row>
    <row r="18" spans="1:20">
      <c r="A18" s="5" t="s">
        <v>89</v>
      </c>
      <c r="B18" s="6" t="s">
        <v>22</v>
      </c>
      <c r="C18" s="7">
        <v>42516</v>
      </c>
      <c r="D18" s="6" t="s">
        <v>90</v>
      </c>
      <c r="E18" s="38" t="s">
        <v>226</v>
      </c>
      <c r="F18" s="38">
        <v>335</v>
      </c>
      <c r="G18" s="39"/>
      <c r="H18" s="6">
        <v>0</v>
      </c>
      <c r="I18" s="38">
        <v>11</v>
      </c>
      <c r="J18" s="50">
        <v>0</v>
      </c>
      <c r="K18" s="50">
        <v>0</v>
      </c>
      <c r="L18">
        <v>0</v>
      </c>
      <c r="M18">
        <v>0</v>
      </c>
      <c r="N18" s="56"/>
      <c r="O18" s="56"/>
      <c r="P18" s="8" t="s">
        <v>243</v>
      </c>
      <c r="Q18" s="10" t="s">
        <v>243</v>
      </c>
      <c r="R18" s="90">
        <v>0</v>
      </c>
      <c r="S18" s="10" t="s">
        <v>243</v>
      </c>
      <c r="T18">
        <v>0</v>
      </c>
    </row>
    <row r="19" spans="1:20">
      <c r="A19" s="5" t="s">
        <v>186</v>
      </c>
      <c r="B19" s="6" t="s">
        <v>112</v>
      </c>
      <c r="C19" s="7">
        <v>42516</v>
      </c>
      <c r="D19" s="6" t="s">
        <v>31</v>
      </c>
      <c r="E19" s="6" t="s">
        <v>213</v>
      </c>
      <c r="F19" s="38">
        <v>2821</v>
      </c>
      <c r="G19" s="39"/>
      <c r="H19" s="6">
        <v>0</v>
      </c>
      <c r="I19" s="38">
        <v>0</v>
      </c>
      <c r="J19" s="50">
        <v>0</v>
      </c>
      <c r="K19" s="50">
        <v>2</v>
      </c>
      <c r="L19">
        <v>0</v>
      </c>
      <c r="M19">
        <v>0</v>
      </c>
      <c r="N19" s="56"/>
      <c r="O19" s="56"/>
      <c r="P19" s="8" t="s">
        <v>245</v>
      </c>
      <c r="Q19" s="10" t="s">
        <v>243</v>
      </c>
      <c r="R19" s="90">
        <v>0</v>
      </c>
      <c r="S19" t="s">
        <v>243</v>
      </c>
      <c r="T19">
        <v>0</v>
      </c>
    </row>
    <row r="20" spans="1:20">
      <c r="A20" s="5" t="s">
        <v>240</v>
      </c>
      <c r="B20" s="6" t="s">
        <v>112</v>
      </c>
      <c r="C20" s="7">
        <v>42523</v>
      </c>
      <c r="D20" s="6" t="s">
        <v>57</v>
      </c>
      <c r="E20" s="38" t="s">
        <v>223</v>
      </c>
      <c r="F20" s="38">
        <v>260</v>
      </c>
      <c r="G20" s="39"/>
      <c r="H20" s="6">
        <v>0</v>
      </c>
      <c r="I20" s="38">
        <v>4</v>
      </c>
      <c r="J20" s="50">
        <v>0</v>
      </c>
      <c r="K20" s="50">
        <v>0</v>
      </c>
      <c r="L20">
        <v>0</v>
      </c>
      <c r="M20">
        <v>0</v>
      </c>
      <c r="N20" s="56"/>
      <c r="O20" s="56"/>
      <c r="P20" s="8" t="s">
        <v>243</v>
      </c>
      <c r="Q20" s="10" t="s">
        <v>243</v>
      </c>
      <c r="R20" s="90">
        <v>0</v>
      </c>
      <c r="S20" t="s">
        <v>243</v>
      </c>
      <c r="T20">
        <v>0</v>
      </c>
    </row>
    <row r="21" spans="1:20">
      <c r="A21" s="5" t="s">
        <v>184</v>
      </c>
      <c r="B21" s="6" t="s">
        <v>112</v>
      </c>
      <c r="C21" s="7">
        <v>42523</v>
      </c>
      <c r="D21" s="6" t="s">
        <v>185</v>
      </c>
      <c r="E21" s="38" t="s">
        <v>238</v>
      </c>
      <c r="F21" s="38">
        <v>385</v>
      </c>
      <c r="G21" s="39"/>
      <c r="H21" s="6">
        <v>0</v>
      </c>
      <c r="I21" s="38">
        <v>0</v>
      </c>
      <c r="J21" s="50">
        <v>0</v>
      </c>
      <c r="K21" s="50">
        <v>0</v>
      </c>
      <c r="L21">
        <v>0</v>
      </c>
      <c r="M21">
        <v>0</v>
      </c>
      <c r="N21" s="56"/>
      <c r="O21" s="56"/>
      <c r="P21" s="8" t="s">
        <v>243</v>
      </c>
      <c r="Q21" s="10" t="s">
        <v>243</v>
      </c>
      <c r="R21" s="90">
        <v>0</v>
      </c>
      <c r="S21" t="s">
        <v>243</v>
      </c>
      <c r="T21">
        <v>0</v>
      </c>
    </row>
    <row r="22" spans="1:20">
      <c r="A22" s="5" t="s">
        <v>181</v>
      </c>
      <c r="B22" s="6" t="s">
        <v>112</v>
      </c>
      <c r="C22" s="7">
        <v>42524</v>
      </c>
      <c r="D22" s="6" t="s">
        <v>182</v>
      </c>
      <c r="E22" s="38" t="s">
        <v>236</v>
      </c>
      <c r="F22" s="38">
        <v>1027</v>
      </c>
      <c r="G22" s="39"/>
      <c r="H22" s="6">
        <v>0</v>
      </c>
      <c r="I22" s="38">
        <v>0</v>
      </c>
      <c r="J22" s="50">
        <v>0</v>
      </c>
      <c r="K22" s="50">
        <v>0</v>
      </c>
      <c r="L22">
        <v>0</v>
      </c>
      <c r="M22">
        <v>0</v>
      </c>
      <c r="N22" s="56"/>
      <c r="O22" s="56"/>
      <c r="P22" s="8" t="s">
        <v>243</v>
      </c>
      <c r="Q22" s="10" t="s">
        <v>243</v>
      </c>
      <c r="R22" s="90">
        <v>0</v>
      </c>
      <c r="S22" t="s">
        <v>243</v>
      </c>
      <c r="T22">
        <v>0</v>
      </c>
    </row>
    <row r="23" spans="1:20">
      <c r="A23" s="5" t="s">
        <v>110</v>
      </c>
      <c r="B23" s="6" t="s">
        <v>99</v>
      </c>
      <c r="C23" s="7">
        <v>42527</v>
      </c>
      <c r="D23" s="6" t="s">
        <v>102</v>
      </c>
      <c r="E23" s="38" t="s">
        <v>229</v>
      </c>
      <c r="F23" s="38">
        <v>541</v>
      </c>
      <c r="G23" s="39"/>
      <c r="H23" s="6">
        <v>0</v>
      </c>
      <c r="I23" s="38">
        <v>1</v>
      </c>
      <c r="J23" s="50">
        <v>1</v>
      </c>
      <c r="K23" s="50">
        <v>2</v>
      </c>
      <c r="L23">
        <v>172</v>
      </c>
      <c r="M23">
        <v>0</v>
      </c>
      <c r="N23" s="56"/>
      <c r="O23" s="56"/>
      <c r="P23" s="8" t="s">
        <v>244</v>
      </c>
      <c r="Q23" s="10" t="s">
        <v>243</v>
      </c>
      <c r="R23" s="90">
        <v>0</v>
      </c>
      <c r="S23" t="s">
        <v>243</v>
      </c>
      <c r="T23">
        <v>0</v>
      </c>
    </row>
    <row r="24" spans="1:20">
      <c r="A24" s="5" t="s">
        <v>86</v>
      </c>
      <c r="B24" s="6" t="s">
        <v>22</v>
      </c>
      <c r="C24" s="7">
        <v>42528</v>
      </c>
      <c r="D24" s="6" t="s">
        <v>25</v>
      </c>
      <c r="E24" s="38" t="s">
        <v>211</v>
      </c>
      <c r="F24" s="38">
        <v>1106</v>
      </c>
      <c r="G24" s="39"/>
      <c r="H24" s="6">
        <v>0</v>
      </c>
      <c r="I24" s="38">
        <v>5</v>
      </c>
      <c r="J24" s="50">
        <v>0</v>
      </c>
      <c r="K24" s="50">
        <v>1</v>
      </c>
      <c r="L24">
        <v>0</v>
      </c>
      <c r="M24">
        <v>0</v>
      </c>
      <c r="N24" s="56"/>
      <c r="O24" s="56"/>
      <c r="P24" s="8" t="s">
        <v>243</v>
      </c>
      <c r="Q24" s="10" t="s">
        <v>243</v>
      </c>
      <c r="R24" s="90">
        <v>0</v>
      </c>
      <c r="S24" s="10" t="s">
        <v>243</v>
      </c>
      <c r="T24">
        <v>0</v>
      </c>
    </row>
    <row r="25" spans="1:20">
      <c r="A25" s="5" t="s">
        <v>179</v>
      </c>
      <c r="B25" s="6" t="s">
        <v>112</v>
      </c>
      <c r="C25" s="7">
        <v>42528</v>
      </c>
      <c r="D25" s="6" t="s">
        <v>180</v>
      </c>
      <c r="E25" s="38" t="s">
        <v>237</v>
      </c>
      <c r="F25" s="38">
        <v>266</v>
      </c>
      <c r="G25" s="39"/>
      <c r="H25" s="6">
        <v>0</v>
      </c>
      <c r="I25" s="38">
        <v>3</v>
      </c>
      <c r="J25" s="50">
        <v>0</v>
      </c>
      <c r="K25" s="50">
        <v>0</v>
      </c>
      <c r="L25">
        <v>0</v>
      </c>
      <c r="M25">
        <v>0</v>
      </c>
      <c r="N25" s="56"/>
      <c r="O25" s="56"/>
      <c r="P25" s="8" t="s">
        <v>243</v>
      </c>
      <c r="Q25" s="10" t="s">
        <v>243</v>
      </c>
      <c r="R25" s="90">
        <v>0</v>
      </c>
      <c r="S25" t="s">
        <v>243</v>
      </c>
      <c r="T25">
        <v>0</v>
      </c>
    </row>
    <row r="26" spans="1:20">
      <c r="A26" s="5" t="s">
        <v>81</v>
      </c>
      <c r="B26" s="6" t="s">
        <v>22</v>
      </c>
      <c r="C26" s="7">
        <v>42530</v>
      </c>
      <c r="D26" s="6" t="s">
        <v>82</v>
      </c>
      <c r="E26" s="38" t="s">
        <v>223</v>
      </c>
      <c r="F26" s="38">
        <v>2579</v>
      </c>
      <c r="G26" s="39"/>
      <c r="H26" s="6">
        <v>0</v>
      </c>
      <c r="I26" s="38">
        <v>3</v>
      </c>
      <c r="J26" s="50">
        <v>0</v>
      </c>
      <c r="K26" s="50">
        <v>1</v>
      </c>
      <c r="L26">
        <v>0</v>
      </c>
      <c r="M26">
        <v>0</v>
      </c>
      <c r="N26" s="56"/>
      <c r="O26" s="56"/>
      <c r="P26" s="8" t="s">
        <v>243</v>
      </c>
      <c r="Q26" s="10" t="s">
        <v>243</v>
      </c>
      <c r="R26" s="90">
        <v>0</v>
      </c>
      <c r="S26" s="10" t="s">
        <v>243</v>
      </c>
      <c r="T26">
        <v>0</v>
      </c>
    </row>
    <row r="27" spans="1:20">
      <c r="A27" s="5" t="s">
        <v>83</v>
      </c>
      <c r="B27" s="6" t="s">
        <v>22</v>
      </c>
      <c r="C27" s="7">
        <v>42530</v>
      </c>
      <c r="D27" s="6" t="s">
        <v>84</v>
      </c>
      <c r="E27" s="38" t="s">
        <v>220</v>
      </c>
      <c r="F27" s="38">
        <v>770</v>
      </c>
      <c r="G27" s="39"/>
      <c r="H27" s="6">
        <v>0</v>
      </c>
      <c r="I27" s="38">
        <v>3</v>
      </c>
      <c r="J27" s="50">
        <v>0</v>
      </c>
      <c r="K27" s="50">
        <v>0</v>
      </c>
      <c r="L27">
        <v>0</v>
      </c>
      <c r="M27">
        <v>0</v>
      </c>
      <c r="N27" s="56"/>
      <c r="O27" s="56"/>
      <c r="P27" s="8" t="s">
        <v>243</v>
      </c>
      <c r="Q27" s="10" t="s">
        <v>243</v>
      </c>
      <c r="R27" s="90">
        <v>0</v>
      </c>
      <c r="S27" s="10" t="s">
        <v>243</v>
      </c>
      <c r="T27">
        <v>0</v>
      </c>
    </row>
    <row r="28" spans="1:20">
      <c r="A28" s="5" t="s">
        <v>85</v>
      </c>
      <c r="B28" s="6" t="s">
        <v>22</v>
      </c>
      <c r="C28" s="7">
        <v>42530</v>
      </c>
      <c r="D28" s="6" t="s">
        <v>31</v>
      </c>
      <c r="E28" s="38" t="s">
        <v>213</v>
      </c>
      <c r="F28" s="38">
        <v>1959</v>
      </c>
      <c r="G28" s="39"/>
      <c r="H28" s="6">
        <v>0</v>
      </c>
      <c r="I28" s="38">
        <v>6</v>
      </c>
      <c r="J28" s="50">
        <v>0</v>
      </c>
      <c r="K28" s="50">
        <v>2</v>
      </c>
      <c r="L28">
        <v>758</v>
      </c>
      <c r="M28">
        <v>31</v>
      </c>
      <c r="N28" s="56"/>
      <c r="O28" s="56"/>
      <c r="P28" s="8" t="s">
        <v>243</v>
      </c>
      <c r="Q28" s="10" t="s">
        <v>243</v>
      </c>
      <c r="R28" s="90">
        <v>0</v>
      </c>
      <c r="S28" s="10" t="s">
        <v>243</v>
      </c>
      <c r="T28">
        <v>0</v>
      </c>
    </row>
    <row r="29" spans="1:20" s="65" customFormat="1">
      <c r="A29" s="5" t="s">
        <v>79</v>
      </c>
      <c r="B29" s="6" t="s">
        <v>22</v>
      </c>
      <c r="C29" s="7">
        <v>42531</v>
      </c>
      <c r="D29" s="6" t="s">
        <v>80</v>
      </c>
      <c r="E29" s="38" t="s">
        <v>216</v>
      </c>
      <c r="F29" s="38">
        <v>305</v>
      </c>
      <c r="G29" s="39"/>
      <c r="H29" s="6">
        <v>0</v>
      </c>
      <c r="I29" s="38">
        <v>0</v>
      </c>
      <c r="J29" s="50">
        <v>0</v>
      </c>
      <c r="K29" s="50">
        <v>0</v>
      </c>
      <c r="L29">
        <v>0</v>
      </c>
      <c r="M29">
        <v>0</v>
      </c>
      <c r="N29" s="56"/>
      <c r="O29" s="56"/>
      <c r="P29" s="8" t="s">
        <v>243</v>
      </c>
      <c r="Q29" s="10" t="s">
        <v>243</v>
      </c>
      <c r="R29" s="90">
        <v>0</v>
      </c>
      <c r="S29" s="10" t="s">
        <v>243</v>
      </c>
      <c r="T29">
        <v>0</v>
      </c>
    </row>
    <row r="30" spans="1:20">
      <c r="A30" s="5" t="s">
        <v>78</v>
      </c>
      <c r="B30" s="6" t="s">
        <v>22</v>
      </c>
      <c r="C30" s="7">
        <v>42534</v>
      </c>
      <c r="D30" s="6" t="s">
        <v>31</v>
      </c>
      <c r="E30" s="38" t="s">
        <v>213</v>
      </c>
      <c r="F30" s="38">
        <v>1019</v>
      </c>
      <c r="G30" s="39"/>
      <c r="H30" s="6">
        <v>0</v>
      </c>
      <c r="I30" s="38">
        <v>5</v>
      </c>
      <c r="J30" s="50">
        <v>0</v>
      </c>
      <c r="K30" s="50">
        <v>1</v>
      </c>
      <c r="L30">
        <v>937</v>
      </c>
      <c r="M30">
        <v>77</v>
      </c>
      <c r="N30" s="56"/>
      <c r="O30" s="56"/>
      <c r="P30" s="8" t="s">
        <v>244</v>
      </c>
      <c r="Q30" s="10" t="s">
        <v>243</v>
      </c>
      <c r="R30" s="90">
        <v>0</v>
      </c>
      <c r="S30" s="10" t="s">
        <v>243</v>
      </c>
      <c r="T30">
        <v>0</v>
      </c>
    </row>
    <row r="31" spans="1:20">
      <c r="A31" s="5" t="s">
        <v>177</v>
      </c>
      <c r="B31" s="6" t="s">
        <v>112</v>
      </c>
      <c r="C31" s="7">
        <v>42535</v>
      </c>
      <c r="D31" s="6" t="s">
        <v>178</v>
      </c>
      <c r="E31" s="38" t="s">
        <v>226</v>
      </c>
      <c r="F31" s="38">
        <v>252</v>
      </c>
      <c r="G31" s="39"/>
      <c r="H31" s="6">
        <v>0</v>
      </c>
      <c r="I31" s="38">
        <v>0</v>
      </c>
      <c r="J31" s="50">
        <v>0</v>
      </c>
      <c r="K31" s="50">
        <v>0</v>
      </c>
      <c r="L31">
        <v>0</v>
      </c>
      <c r="M31">
        <v>0</v>
      </c>
      <c r="N31" s="56"/>
      <c r="O31" s="56"/>
      <c r="P31" s="8" t="s">
        <v>243</v>
      </c>
      <c r="Q31" s="10" t="s">
        <v>243</v>
      </c>
      <c r="R31" s="90">
        <v>0</v>
      </c>
      <c r="S31" t="s">
        <v>243</v>
      </c>
      <c r="T31">
        <v>0</v>
      </c>
    </row>
    <row r="32" spans="1:20">
      <c r="A32" s="5" t="s">
        <v>174</v>
      </c>
      <c r="B32" s="6" t="s">
        <v>112</v>
      </c>
      <c r="C32" s="7">
        <v>42536</v>
      </c>
      <c r="D32" s="6" t="s">
        <v>175</v>
      </c>
      <c r="E32" s="38" t="s">
        <v>236</v>
      </c>
      <c r="F32" s="38">
        <v>669</v>
      </c>
      <c r="G32" s="39"/>
      <c r="H32" s="6">
        <v>0</v>
      </c>
      <c r="I32" s="38">
        <v>0</v>
      </c>
      <c r="J32" s="50">
        <v>0</v>
      </c>
      <c r="K32" s="50">
        <v>0</v>
      </c>
      <c r="L32">
        <v>0</v>
      </c>
      <c r="M32">
        <v>0</v>
      </c>
      <c r="N32" s="56"/>
      <c r="O32" s="56"/>
      <c r="P32" s="8" t="s">
        <v>243</v>
      </c>
      <c r="Q32" s="10" t="s">
        <v>243</v>
      </c>
      <c r="R32" s="90">
        <v>0</v>
      </c>
      <c r="S32" t="s">
        <v>243</v>
      </c>
      <c r="T32">
        <v>0</v>
      </c>
    </row>
    <row r="33" spans="1:20">
      <c r="A33" s="5" t="s">
        <v>176</v>
      </c>
      <c r="B33" s="6" t="s">
        <v>112</v>
      </c>
      <c r="C33" s="7">
        <v>42536</v>
      </c>
      <c r="D33" s="6" t="s">
        <v>31</v>
      </c>
      <c r="E33" s="6" t="s">
        <v>213</v>
      </c>
      <c r="F33" s="38">
        <v>2177</v>
      </c>
      <c r="G33" s="39"/>
      <c r="H33" s="6">
        <v>0</v>
      </c>
      <c r="I33" s="38">
        <v>0</v>
      </c>
      <c r="J33" s="50">
        <v>0</v>
      </c>
      <c r="K33" s="50">
        <v>2</v>
      </c>
      <c r="L33">
        <v>903</v>
      </c>
      <c r="M33">
        <v>1315</v>
      </c>
      <c r="N33" s="56"/>
      <c r="O33" s="56"/>
      <c r="P33" s="8" t="s">
        <v>243</v>
      </c>
      <c r="Q33" s="10" t="s">
        <v>243</v>
      </c>
      <c r="R33" s="90">
        <v>0</v>
      </c>
      <c r="S33" t="s">
        <v>243</v>
      </c>
      <c r="T33">
        <v>0</v>
      </c>
    </row>
    <row r="34" spans="1:20">
      <c r="A34" s="5" t="s">
        <v>76</v>
      </c>
      <c r="B34" s="6" t="s">
        <v>22</v>
      </c>
      <c r="C34" s="7">
        <v>42541</v>
      </c>
      <c r="D34" s="6" t="s">
        <v>77</v>
      </c>
      <c r="E34" s="38" t="s">
        <v>227</v>
      </c>
      <c r="F34" s="38">
        <v>145</v>
      </c>
      <c r="G34" s="39"/>
      <c r="H34" s="6">
        <v>0</v>
      </c>
      <c r="I34" s="38">
        <v>0</v>
      </c>
      <c r="J34" s="50">
        <v>0</v>
      </c>
      <c r="K34" s="50">
        <v>1</v>
      </c>
      <c r="L34">
        <v>0</v>
      </c>
      <c r="M34">
        <v>0</v>
      </c>
      <c r="N34" s="56"/>
      <c r="O34" s="56"/>
      <c r="P34" s="8" t="s">
        <v>243</v>
      </c>
      <c r="Q34" s="10" t="s">
        <v>243</v>
      </c>
      <c r="R34" s="90">
        <v>0</v>
      </c>
      <c r="S34" s="10" t="s">
        <v>243</v>
      </c>
      <c r="T34">
        <v>0</v>
      </c>
    </row>
    <row r="35" spans="1:20" s="65" customFormat="1">
      <c r="A35" s="5" t="s">
        <v>173</v>
      </c>
      <c r="B35" s="6" t="s">
        <v>112</v>
      </c>
      <c r="C35" s="7">
        <v>42542</v>
      </c>
      <c r="D35" s="6" t="s">
        <v>109</v>
      </c>
      <c r="E35" s="38" t="s">
        <v>211</v>
      </c>
      <c r="F35" s="38">
        <v>332</v>
      </c>
      <c r="G35" s="39"/>
      <c r="H35" s="6">
        <v>1312</v>
      </c>
      <c r="I35" s="38">
        <v>0</v>
      </c>
      <c r="J35" s="50">
        <v>0</v>
      </c>
      <c r="K35" s="50">
        <v>0</v>
      </c>
      <c r="L35">
        <v>0</v>
      </c>
      <c r="M35">
        <v>0</v>
      </c>
      <c r="N35" s="56"/>
      <c r="O35" s="56"/>
      <c r="P35" s="8" t="s">
        <v>243</v>
      </c>
      <c r="Q35" s="10" t="s">
        <v>243</v>
      </c>
      <c r="R35" s="90">
        <v>0</v>
      </c>
      <c r="S35" t="s">
        <v>243</v>
      </c>
      <c r="T35">
        <v>0</v>
      </c>
    </row>
    <row r="36" spans="1:20" s="65" customFormat="1">
      <c r="A36" s="5" t="s">
        <v>75</v>
      </c>
      <c r="B36" s="6" t="s">
        <v>22</v>
      </c>
      <c r="C36" s="7">
        <v>42543</v>
      </c>
      <c r="D36" s="6" t="s">
        <v>64</v>
      </c>
      <c r="E36" s="38" t="s">
        <v>211</v>
      </c>
      <c r="F36" s="38">
        <v>487</v>
      </c>
      <c r="G36" s="39"/>
      <c r="H36" s="6">
        <v>0</v>
      </c>
      <c r="I36" s="38">
        <v>0</v>
      </c>
      <c r="J36" s="50">
        <v>0</v>
      </c>
      <c r="K36" s="50">
        <v>2</v>
      </c>
      <c r="L36">
        <v>2342</v>
      </c>
      <c r="M36">
        <v>131</v>
      </c>
      <c r="N36" s="56"/>
      <c r="O36" s="56"/>
      <c r="P36" s="8" t="s">
        <v>244</v>
      </c>
      <c r="Q36" s="10" t="s">
        <v>243</v>
      </c>
      <c r="R36" s="90">
        <v>0</v>
      </c>
      <c r="S36" s="10" t="s">
        <v>243</v>
      </c>
      <c r="T36">
        <v>0</v>
      </c>
    </row>
    <row r="37" spans="1:20">
      <c r="A37" s="5" t="s">
        <v>73</v>
      </c>
      <c r="B37" s="6" t="s">
        <v>22</v>
      </c>
      <c r="C37" s="7">
        <v>42544</v>
      </c>
      <c r="D37" s="6" t="s">
        <v>46</v>
      </c>
      <c r="E37" s="38" t="s">
        <v>216</v>
      </c>
      <c r="F37" s="38">
        <v>350</v>
      </c>
      <c r="G37" s="39"/>
      <c r="H37" s="6">
        <v>0</v>
      </c>
      <c r="I37" s="38">
        <v>0</v>
      </c>
      <c r="J37" s="50">
        <v>0</v>
      </c>
      <c r="K37" s="50">
        <v>0</v>
      </c>
      <c r="L37">
        <v>0</v>
      </c>
      <c r="M37">
        <v>0</v>
      </c>
      <c r="N37" s="56"/>
      <c r="O37" s="56"/>
      <c r="P37" s="8" t="s">
        <v>243</v>
      </c>
      <c r="Q37" s="10" t="s">
        <v>243</v>
      </c>
      <c r="R37" s="90">
        <v>0</v>
      </c>
      <c r="S37" s="10" t="s">
        <v>243</v>
      </c>
      <c r="T37">
        <v>0</v>
      </c>
    </row>
    <row r="38" spans="1:20" s="65" customFormat="1">
      <c r="A38" s="5" t="s">
        <v>74</v>
      </c>
      <c r="B38" s="6" t="s">
        <v>22</v>
      </c>
      <c r="C38" s="7">
        <v>42544</v>
      </c>
      <c r="D38" s="6" t="s">
        <v>31</v>
      </c>
      <c r="E38" s="38" t="s">
        <v>213</v>
      </c>
      <c r="F38" s="38">
        <v>1378</v>
      </c>
      <c r="G38" s="39"/>
      <c r="H38" s="6">
        <v>0</v>
      </c>
      <c r="I38" s="38">
        <v>1</v>
      </c>
      <c r="J38" s="50">
        <v>0</v>
      </c>
      <c r="K38" s="50">
        <v>1</v>
      </c>
      <c r="L38">
        <v>1225</v>
      </c>
      <c r="M38">
        <v>55</v>
      </c>
      <c r="N38" s="56"/>
      <c r="O38" s="56"/>
      <c r="P38" s="8" t="s">
        <v>243</v>
      </c>
      <c r="Q38" s="10" t="s">
        <v>243</v>
      </c>
      <c r="R38" s="90">
        <v>0</v>
      </c>
      <c r="S38" s="10" t="s">
        <v>243</v>
      </c>
      <c r="T38">
        <v>0</v>
      </c>
    </row>
    <row r="39" spans="1:20">
      <c r="A39" s="5" t="s">
        <v>71</v>
      </c>
      <c r="B39" s="6" t="s">
        <v>22</v>
      </c>
      <c r="C39" s="7">
        <v>42545</v>
      </c>
      <c r="D39" s="6" t="s">
        <v>72</v>
      </c>
      <c r="E39" s="38" t="s">
        <v>226</v>
      </c>
      <c r="F39" s="38">
        <v>326</v>
      </c>
      <c r="G39" s="39"/>
      <c r="H39" s="6">
        <v>0</v>
      </c>
      <c r="I39" s="38">
        <v>0</v>
      </c>
      <c r="J39" s="50">
        <v>0</v>
      </c>
      <c r="K39" s="50">
        <v>0</v>
      </c>
      <c r="L39">
        <v>162</v>
      </c>
      <c r="M39">
        <v>2</v>
      </c>
      <c r="N39" s="56"/>
      <c r="O39" s="56"/>
      <c r="P39" s="8" t="s">
        <v>244</v>
      </c>
      <c r="Q39" s="10" t="s">
        <v>243</v>
      </c>
      <c r="R39" s="90">
        <v>0</v>
      </c>
      <c r="S39" s="10" t="s">
        <v>243</v>
      </c>
      <c r="T39">
        <v>0</v>
      </c>
    </row>
    <row r="40" spans="1:20">
      <c r="A40" s="5" t="s">
        <v>69</v>
      </c>
      <c r="B40" s="6" t="s">
        <v>22</v>
      </c>
      <c r="C40" s="7">
        <v>42548</v>
      </c>
      <c r="D40" s="6" t="s">
        <v>70</v>
      </c>
      <c r="E40" s="38" t="s">
        <v>225</v>
      </c>
      <c r="F40" s="38">
        <v>488</v>
      </c>
      <c r="G40" s="39"/>
      <c r="H40" s="6">
        <v>0</v>
      </c>
      <c r="I40" s="38">
        <v>0</v>
      </c>
      <c r="J40" s="50">
        <v>0</v>
      </c>
      <c r="K40" s="50">
        <v>0</v>
      </c>
      <c r="L40">
        <v>0</v>
      </c>
      <c r="M40">
        <v>0</v>
      </c>
      <c r="N40" s="56"/>
      <c r="O40" s="56"/>
      <c r="P40" s="8" t="s">
        <v>243</v>
      </c>
      <c r="Q40" s="10" t="s">
        <v>243</v>
      </c>
      <c r="R40" s="90">
        <v>0</v>
      </c>
      <c r="S40" s="10" t="s">
        <v>243</v>
      </c>
      <c r="T40">
        <v>0</v>
      </c>
    </row>
    <row r="41" spans="1:20" s="81" customFormat="1">
      <c r="A41" s="5" t="s">
        <v>108</v>
      </c>
      <c r="B41" s="6" t="s">
        <v>99</v>
      </c>
      <c r="C41" s="7">
        <v>42548</v>
      </c>
      <c r="D41" s="6" t="s">
        <v>109</v>
      </c>
      <c r="E41" s="38" t="s">
        <v>211</v>
      </c>
      <c r="F41" s="38">
        <v>648</v>
      </c>
      <c r="G41" s="39"/>
      <c r="H41" s="6">
        <v>0</v>
      </c>
      <c r="I41" s="38">
        <v>0</v>
      </c>
      <c r="J41" s="50">
        <v>0</v>
      </c>
      <c r="K41" s="50">
        <v>0</v>
      </c>
      <c r="L41">
        <v>2344</v>
      </c>
      <c r="M41">
        <v>202</v>
      </c>
      <c r="N41" s="56"/>
      <c r="O41" s="56"/>
      <c r="P41" s="8" t="s">
        <v>244</v>
      </c>
      <c r="Q41" s="10" t="s">
        <v>243</v>
      </c>
      <c r="R41" s="90">
        <v>0</v>
      </c>
      <c r="S41" t="s">
        <v>243</v>
      </c>
      <c r="T41">
        <v>0</v>
      </c>
    </row>
    <row r="42" spans="1:20" s="81" customFormat="1">
      <c r="A42" s="5" t="s">
        <v>63</v>
      </c>
      <c r="B42" s="6" t="s">
        <v>22</v>
      </c>
      <c r="C42" s="7">
        <v>42550</v>
      </c>
      <c r="D42" s="6" t="s">
        <v>64</v>
      </c>
      <c r="E42" s="38" t="s">
        <v>211</v>
      </c>
      <c r="F42" s="38">
        <v>955</v>
      </c>
      <c r="G42" s="39"/>
      <c r="H42" s="6">
        <v>0</v>
      </c>
      <c r="I42" s="38">
        <v>1</v>
      </c>
      <c r="J42" s="50">
        <v>1</v>
      </c>
      <c r="K42" s="50">
        <v>0</v>
      </c>
      <c r="L42">
        <v>255</v>
      </c>
      <c r="M42">
        <v>11</v>
      </c>
      <c r="N42" s="56"/>
      <c r="O42" s="56"/>
      <c r="P42" s="8" t="s">
        <v>244</v>
      </c>
      <c r="Q42" s="10" t="s">
        <v>243</v>
      </c>
      <c r="R42" s="90">
        <v>0</v>
      </c>
      <c r="S42" s="10" t="s">
        <v>243</v>
      </c>
      <c r="T42">
        <v>0</v>
      </c>
    </row>
    <row r="43" spans="1:20">
      <c r="A43" s="5" t="s">
        <v>65</v>
      </c>
      <c r="B43" s="6" t="s">
        <v>22</v>
      </c>
      <c r="C43" s="7">
        <v>42550</v>
      </c>
      <c r="D43" s="6" t="s">
        <v>66</v>
      </c>
      <c r="E43" s="38" t="s">
        <v>215</v>
      </c>
      <c r="F43" s="38">
        <v>637</v>
      </c>
      <c r="G43" s="39"/>
      <c r="H43" s="6">
        <v>0</v>
      </c>
      <c r="I43" s="38">
        <v>0</v>
      </c>
      <c r="J43" s="50">
        <v>0</v>
      </c>
      <c r="K43" s="50">
        <v>0</v>
      </c>
      <c r="L43">
        <v>0</v>
      </c>
      <c r="M43">
        <v>0</v>
      </c>
      <c r="N43" s="56"/>
      <c r="O43" s="56"/>
      <c r="P43" s="8" t="s">
        <v>244</v>
      </c>
      <c r="Q43" s="10" t="s">
        <v>243</v>
      </c>
      <c r="R43" s="90">
        <v>0</v>
      </c>
      <c r="S43" s="10" t="s">
        <v>243</v>
      </c>
      <c r="T43">
        <v>0</v>
      </c>
    </row>
    <row r="44" spans="1:20">
      <c r="A44" s="5" t="s">
        <v>67</v>
      </c>
      <c r="B44" s="6" t="s">
        <v>22</v>
      </c>
      <c r="C44" s="7">
        <v>42550</v>
      </c>
      <c r="D44" s="6" t="s">
        <v>68</v>
      </c>
      <c r="E44" s="38" t="s">
        <v>212</v>
      </c>
      <c r="F44" s="38">
        <v>108</v>
      </c>
      <c r="G44" s="39"/>
      <c r="H44" s="6">
        <v>0</v>
      </c>
      <c r="I44" s="38">
        <v>0</v>
      </c>
      <c r="J44" s="50">
        <v>0</v>
      </c>
      <c r="K44" s="50">
        <v>1</v>
      </c>
      <c r="L44">
        <v>0</v>
      </c>
      <c r="M44">
        <v>0</v>
      </c>
      <c r="N44" s="56"/>
      <c r="O44" s="56"/>
      <c r="P44" s="8" t="s">
        <v>243</v>
      </c>
      <c r="Q44" s="10" t="s">
        <v>243</v>
      </c>
      <c r="R44" s="90">
        <v>0</v>
      </c>
      <c r="S44" s="10" t="s">
        <v>243</v>
      </c>
      <c r="T44">
        <v>0</v>
      </c>
    </row>
    <row r="45" spans="1:20" s="81" customFormat="1">
      <c r="A45" s="5" t="s">
        <v>106</v>
      </c>
      <c r="B45" s="6" t="s">
        <v>99</v>
      </c>
      <c r="C45" s="7">
        <v>42550</v>
      </c>
      <c r="D45" s="6" t="s">
        <v>107</v>
      </c>
      <c r="E45" s="38" t="s">
        <v>226</v>
      </c>
      <c r="F45" s="38">
        <v>688</v>
      </c>
      <c r="G45" s="39"/>
      <c r="H45" s="6">
        <v>0</v>
      </c>
      <c r="I45" s="38">
        <v>2</v>
      </c>
      <c r="J45" s="50">
        <v>1</v>
      </c>
      <c r="K45" s="50">
        <v>1</v>
      </c>
      <c r="L45">
        <v>238</v>
      </c>
      <c r="M45">
        <v>2</v>
      </c>
      <c r="N45" s="56"/>
      <c r="O45" s="56"/>
      <c r="P45" s="8" t="s">
        <v>244</v>
      </c>
      <c r="Q45" s="10" t="s">
        <v>243</v>
      </c>
      <c r="R45" s="90">
        <v>0</v>
      </c>
      <c r="S45" t="s">
        <v>243</v>
      </c>
      <c r="T45">
        <v>0</v>
      </c>
    </row>
    <row r="46" spans="1:20">
      <c r="A46" s="5" t="s">
        <v>169</v>
      </c>
      <c r="B46" s="6" t="s">
        <v>112</v>
      </c>
      <c r="C46" s="7">
        <v>42550</v>
      </c>
      <c r="D46" s="6" t="s">
        <v>170</v>
      </c>
      <c r="E46" s="6" t="s">
        <v>220</v>
      </c>
      <c r="F46" s="38">
        <v>957</v>
      </c>
      <c r="G46" s="39"/>
      <c r="H46" s="6">
        <v>2975</v>
      </c>
      <c r="I46" s="38">
        <v>0</v>
      </c>
      <c r="J46" s="50">
        <v>0</v>
      </c>
      <c r="K46" s="50">
        <v>1</v>
      </c>
      <c r="L46">
        <v>0</v>
      </c>
      <c r="M46">
        <v>0</v>
      </c>
      <c r="N46" s="56"/>
      <c r="O46" s="56"/>
      <c r="P46" s="8" t="s">
        <v>244</v>
      </c>
      <c r="Q46" s="10" t="s">
        <v>243</v>
      </c>
      <c r="R46" s="90">
        <v>0</v>
      </c>
      <c r="S46" t="s">
        <v>243</v>
      </c>
      <c r="T46">
        <v>0</v>
      </c>
    </row>
    <row r="47" spans="1:20">
      <c r="A47" s="5" t="s">
        <v>171</v>
      </c>
      <c r="B47" s="6" t="s">
        <v>112</v>
      </c>
      <c r="C47" s="7">
        <v>42550</v>
      </c>
      <c r="D47" s="6" t="s">
        <v>172</v>
      </c>
      <c r="E47" s="6" t="s">
        <v>220</v>
      </c>
      <c r="F47" s="38">
        <v>1618</v>
      </c>
      <c r="G47" s="39"/>
      <c r="H47" s="16">
        <v>1866</v>
      </c>
      <c r="I47" s="38">
        <v>0</v>
      </c>
      <c r="J47" s="50">
        <v>0</v>
      </c>
      <c r="K47" s="50">
        <v>1</v>
      </c>
      <c r="L47">
        <v>4263</v>
      </c>
      <c r="M47">
        <v>106</v>
      </c>
      <c r="N47" s="56"/>
      <c r="O47" s="56"/>
      <c r="P47" s="8" t="s">
        <v>243</v>
      </c>
      <c r="Q47" s="10" t="s">
        <v>243</v>
      </c>
      <c r="R47" s="90">
        <v>0</v>
      </c>
      <c r="S47" t="s">
        <v>243</v>
      </c>
      <c r="T47">
        <v>0</v>
      </c>
    </row>
    <row r="48" spans="1:20">
      <c r="A48" s="5" t="s">
        <v>165</v>
      </c>
      <c r="B48" s="6" t="s">
        <v>112</v>
      </c>
      <c r="C48" s="7">
        <v>42551</v>
      </c>
      <c r="D48" s="6" t="s">
        <v>166</v>
      </c>
      <c r="E48" s="38" t="s">
        <v>218</v>
      </c>
      <c r="F48" s="38">
        <v>321</v>
      </c>
      <c r="G48" s="39"/>
      <c r="H48" s="6">
        <v>0</v>
      </c>
      <c r="I48" s="38">
        <v>0</v>
      </c>
      <c r="J48" s="50">
        <v>0</v>
      </c>
      <c r="K48" s="50">
        <v>0</v>
      </c>
      <c r="L48">
        <v>1038</v>
      </c>
      <c r="M48">
        <v>235</v>
      </c>
      <c r="N48" s="56"/>
      <c r="O48" s="56"/>
      <c r="P48" s="8" t="s">
        <v>243</v>
      </c>
      <c r="Q48" s="10" t="s">
        <v>243</v>
      </c>
      <c r="R48" s="90">
        <v>0</v>
      </c>
      <c r="S48" t="s">
        <v>243</v>
      </c>
      <c r="T48">
        <v>0</v>
      </c>
    </row>
    <row r="49" spans="1:20">
      <c r="A49" s="5" t="s">
        <v>167</v>
      </c>
      <c r="B49" s="6" t="s">
        <v>112</v>
      </c>
      <c r="C49" s="7">
        <v>42551</v>
      </c>
      <c r="D49" s="6" t="s">
        <v>166</v>
      </c>
      <c r="E49" s="38" t="s">
        <v>218</v>
      </c>
      <c r="F49" s="38">
        <v>261</v>
      </c>
      <c r="G49" s="39"/>
      <c r="H49" s="6">
        <v>0</v>
      </c>
      <c r="I49" s="38">
        <v>0</v>
      </c>
      <c r="J49" s="50">
        <v>0</v>
      </c>
      <c r="K49" s="50">
        <v>0</v>
      </c>
      <c r="L49">
        <v>0</v>
      </c>
      <c r="M49">
        <v>0</v>
      </c>
      <c r="N49" s="56"/>
      <c r="O49" s="56"/>
      <c r="P49" s="8" t="s">
        <v>243</v>
      </c>
      <c r="Q49" s="10" t="s">
        <v>243</v>
      </c>
      <c r="R49" s="90">
        <v>0</v>
      </c>
      <c r="S49" t="s">
        <v>243</v>
      </c>
      <c r="T49">
        <v>0</v>
      </c>
    </row>
    <row r="50" spans="1:20" s="65" customFormat="1">
      <c r="A50" s="5" t="s">
        <v>168</v>
      </c>
      <c r="B50" s="6" t="s">
        <v>112</v>
      </c>
      <c r="C50" s="7">
        <v>42551</v>
      </c>
      <c r="D50" s="6" t="s">
        <v>166</v>
      </c>
      <c r="E50" s="38" t="s">
        <v>218</v>
      </c>
      <c r="F50" s="38">
        <v>276</v>
      </c>
      <c r="G50" s="39"/>
      <c r="H50" s="6">
        <v>0</v>
      </c>
      <c r="I50" s="38">
        <v>0</v>
      </c>
      <c r="J50" s="50">
        <v>0</v>
      </c>
      <c r="K50" s="50">
        <v>0</v>
      </c>
      <c r="L50">
        <v>0</v>
      </c>
      <c r="M50">
        <v>0</v>
      </c>
      <c r="N50" s="56"/>
      <c r="O50" s="56"/>
      <c r="P50" s="8" t="s">
        <v>243</v>
      </c>
      <c r="Q50" s="10" t="s">
        <v>243</v>
      </c>
      <c r="R50" s="90">
        <v>0</v>
      </c>
      <c r="S50" t="s">
        <v>243</v>
      </c>
      <c r="T50">
        <v>0</v>
      </c>
    </row>
    <row r="51" spans="1:20" s="65" customFormat="1">
      <c r="A51" s="5" t="s">
        <v>61</v>
      </c>
      <c r="B51" s="6" t="s">
        <v>22</v>
      </c>
      <c r="C51" s="7">
        <v>42552</v>
      </c>
      <c r="D51" s="6" t="s">
        <v>62</v>
      </c>
      <c r="E51" s="38" t="s">
        <v>224</v>
      </c>
      <c r="F51" s="38">
        <v>470</v>
      </c>
      <c r="G51" s="39"/>
      <c r="H51" s="6">
        <v>0</v>
      </c>
      <c r="I51" s="38">
        <v>0</v>
      </c>
      <c r="J51" s="50">
        <v>0</v>
      </c>
      <c r="K51" s="50">
        <v>0</v>
      </c>
      <c r="L51">
        <v>414</v>
      </c>
      <c r="M51">
        <v>3</v>
      </c>
      <c r="N51" s="56"/>
      <c r="O51" s="56"/>
      <c r="P51" s="8" t="s">
        <v>244</v>
      </c>
      <c r="Q51" s="10" t="s">
        <v>243</v>
      </c>
      <c r="R51" s="90">
        <v>0</v>
      </c>
      <c r="S51" s="10" t="s">
        <v>243</v>
      </c>
      <c r="T51">
        <v>0</v>
      </c>
    </row>
    <row r="52" spans="1:20">
      <c r="A52" s="5" t="s">
        <v>161</v>
      </c>
      <c r="B52" s="6" t="s">
        <v>112</v>
      </c>
      <c r="C52" s="7">
        <v>42552</v>
      </c>
      <c r="D52" s="6" t="s">
        <v>153</v>
      </c>
      <c r="E52" s="38" t="s">
        <v>220</v>
      </c>
      <c r="F52" s="38">
        <v>105</v>
      </c>
      <c r="G52" s="39"/>
      <c r="H52" s="6">
        <v>0</v>
      </c>
      <c r="I52" s="38">
        <v>0</v>
      </c>
      <c r="J52" s="50">
        <v>0</v>
      </c>
      <c r="K52" s="50">
        <v>0</v>
      </c>
      <c r="L52">
        <v>0</v>
      </c>
      <c r="M52">
        <v>0</v>
      </c>
      <c r="N52" s="56"/>
      <c r="O52" s="56"/>
      <c r="P52" s="8" t="s">
        <v>243</v>
      </c>
      <c r="Q52" s="10" t="s">
        <v>243</v>
      </c>
      <c r="R52" s="90">
        <v>0</v>
      </c>
      <c r="S52" t="s">
        <v>243</v>
      </c>
      <c r="T52">
        <v>0</v>
      </c>
    </row>
    <row r="53" spans="1:20">
      <c r="A53" s="5" t="s">
        <v>162</v>
      </c>
      <c r="B53" s="6" t="s">
        <v>112</v>
      </c>
      <c r="C53" s="7">
        <v>42552</v>
      </c>
      <c r="D53" s="6" t="s">
        <v>153</v>
      </c>
      <c r="E53" s="38" t="s">
        <v>220</v>
      </c>
      <c r="F53" s="38">
        <v>122</v>
      </c>
      <c r="G53" s="39"/>
      <c r="H53" s="6">
        <v>0</v>
      </c>
      <c r="I53" s="38">
        <v>0</v>
      </c>
      <c r="J53" s="50">
        <v>0</v>
      </c>
      <c r="K53" s="50">
        <v>0</v>
      </c>
      <c r="L53">
        <v>0</v>
      </c>
      <c r="M53">
        <v>0</v>
      </c>
      <c r="N53" s="56"/>
      <c r="O53" s="56"/>
      <c r="P53" s="8" t="s">
        <v>243</v>
      </c>
      <c r="Q53" s="10" t="s">
        <v>243</v>
      </c>
      <c r="R53" s="90">
        <v>0</v>
      </c>
      <c r="S53" t="s">
        <v>243</v>
      </c>
      <c r="T53">
        <v>0</v>
      </c>
    </row>
    <row r="54" spans="1:20">
      <c r="A54" s="5" t="s">
        <v>163</v>
      </c>
      <c r="B54" s="6" t="s">
        <v>112</v>
      </c>
      <c r="C54" s="7">
        <v>42552</v>
      </c>
      <c r="D54" s="6" t="s">
        <v>153</v>
      </c>
      <c r="E54" s="38" t="s">
        <v>220</v>
      </c>
      <c r="F54" s="38">
        <v>87</v>
      </c>
      <c r="G54" s="39"/>
      <c r="H54" s="6">
        <v>0</v>
      </c>
      <c r="I54" s="38">
        <v>0</v>
      </c>
      <c r="J54" s="50">
        <v>0</v>
      </c>
      <c r="K54" s="50">
        <v>0</v>
      </c>
      <c r="L54">
        <v>0</v>
      </c>
      <c r="M54">
        <v>0</v>
      </c>
      <c r="N54" s="56"/>
      <c r="O54" s="56"/>
      <c r="P54" s="8" t="s">
        <v>243</v>
      </c>
      <c r="Q54" s="10" t="s">
        <v>243</v>
      </c>
      <c r="R54" s="90">
        <v>0</v>
      </c>
      <c r="S54" t="s">
        <v>243</v>
      </c>
      <c r="T54">
        <v>0</v>
      </c>
    </row>
    <row r="55" spans="1:20">
      <c r="A55" s="5" t="s">
        <v>164</v>
      </c>
      <c r="B55" s="6" t="s">
        <v>112</v>
      </c>
      <c r="C55" s="7">
        <v>42552</v>
      </c>
      <c r="D55" s="6" t="s">
        <v>77</v>
      </c>
      <c r="E55" s="38" t="s">
        <v>227</v>
      </c>
      <c r="F55" s="38">
        <v>406</v>
      </c>
      <c r="G55" s="39"/>
      <c r="H55" s="6">
        <v>0</v>
      </c>
      <c r="I55" s="38">
        <v>0</v>
      </c>
      <c r="J55" s="50">
        <v>0</v>
      </c>
      <c r="K55" s="50">
        <v>0</v>
      </c>
      <c r="L55">
        <v>0</v>
      </c>
      <c r="M55">
        <v>0</v>
      </c>
      <c r="N55" s="56"/>
      <c r="O55" s="56"/>
      <c r="P55" s="8" t="s">
        <v>243</v>
      </c>
      <c r="Q55" s="10" t="s">
        <v>243</v>
      </c>
      <c r="R55" s="90">
        <v>0</v>
      </c>
      <c r="S55" t="s">
        <v>243</v>
      </c>
      <c r="T55">
        <v>0</v>
      </c>
    </row>
    <row r="56" spans="1:20">
      <c r="A56" s="5" t="s">
        <v>58</v>
      </c>
      <c r="B56" s="6" t="s">
        <v>22</v>
      </c>
      <c r="C56" s="7">
        <v>42556</v>
      </c>
      <c r="D56" s="6" t="s">
        <v>42</v>
      </c>
      <c r="E56" s="38" t="s">
        <v>211</v>
      </c>
      <c r="F56" s="6">
        <v>536</v>
      </c>
      <c r="G56" s="39"/>
      <c r="H56" s="6">
        <v>0</v>
      </c>
      <c r="I56" s="38">
        <v>3</v>
      </c>
      <c r="J56" s="50">
        <v>0</v>
      </c>
      <c r="K56" s="50">
        <v>0</v>
      </c>
      <c r="L56">
        <v>2005</v>
      </c>
      <c r="M56">
        <v>130</v>
      </c>
      <c r="N56" s="56"/>
      <c r="O56" s="56"/>
      <c r="P56" s="8" t="s">
        <v>243</v>
      </c>
      <c r="Q56" s="10" t="s">
        <v>243</v>
      </c>
      <c r="R56" s="90">
        <v>0</v>
      </c>
      <c r="S56" s="10" t="s">
        <v>243</v>
      </c>
      <c r="T56">
        <v>0</v>
      </c>
    </row>
    <row r="57" spans="1:20">
      <c r="A57" s="5" t="s">
        <v>59</v>
      </c>
      <c r="B57" s="6" t="s">
        <v>22</v>
      </c>
      <c r="C57" s="7">
        <v>42556</v>
      </c>
      <c r="D57" s="6" t="s">
        <v>29</v>
      </c>
      <c r="E57" s="38" t="s">
        <v>214</v>
      </c>
      <c r="F57" s="6">
        <v>354</v>
      </c>
      <c r="G57" s="39"/>
      <c r="H57" s="6">
        <v>0</v>
      </c>
      <c r="I57" s="38">
        <v>2</v>
      </c>
      <c r="J57" s="50">
        <v>0</v>
      </c>
      <c r="K57" s="50">
        <v>0</v>
      </c>
      <c r="L57">
        <v>247</v>
      </c>
      <c r="M57">
        <v>3</v>
      </c>
      <c r="N57" s="56"/>
      <c r="O57" s="56"/>
      <c r="P57" s="8" t="s">
        <v>243</v>
      </c>
      <c r="Q57" s="10" t="s">
        <v>243</v>
      </c>
      <c r="R57" s="90">
        <v>0</v>
      </c>
      <c r="S57" s="10" t="s">
        <v>243</v>
      </c>
      <c r="T57">
        <v>0</v>
      </c>
    </row>
    <row r="58" spans="1:20">
      <c r="A58" s="5" t="s">
        <v>60</v>
      </c>
      <c r="B58" s="6" t="s">
        <v>22</v>
      </c>
      <c r="C58" s="7">
        <v>42556</v>
      </c>
      <c r="D58" s="6" t="s">
        <v>31</v>
      </c>
      <c r="E58" s="38" t="s">
        <v>213</v>
      </c>
      <c r="F58" s="6">
        <v>538</v>
      </c>
      <c r="G58" s="39"/>
      <c r="H58" s="6">
        <v>0</v>
      </c>
      <c r="I58" s="38">
        <v>2</v>
      </c>
      <c r="J58" s="50">
        <v>0</v>
      </c>
      <c r="K58" s="50">
        <v>0</v>
      </c>
      <c r="L58">
        <v>907</v>
      </c>
      <c r="M58">
        <v>49</v>
      </c>
      <c r="N58" s="56"/>
      <c r="O58" s="56"/>
      <c r="P58" s="8" t="s">
        <v>244</v>
      </c>
      <c r="Q58" s="10" t="s">
        <v>243</v>
      </c>
      <c r="R58" s="90">
        <v>0</v>
      </c>
      <c r="S58" s="10" t="s">
        <v>243</v>
      </c>
      <c r="T58">
        <v>0</v>
      </c>
    </row>
    <row r="59" spans="1:20">
      <c r="A59" s="5" t="s">
        <v>56</v>
      </c>
      <c r="B59" s="6" t="s">
        <v>22</v>
      </c>
      <c r="C59" s="7">
        <v>42557</v>
      </c>
      <c r="D59" s="6" t="s">
        <v>57</v>
      </c>
      <c r="E59" s="38" t="s">
        <v>223</v>
      </c>
      <c r="F59" s="6">
        <v>759</v>
      </c>
      <c r="G59" s="39"/>
      <c r="H59" s="6">
        <v>0</v>
      </c>
      <c r="I59" s="38">
        <v>1</v>
      </c>
      <c r="J59" s="50">
        <v>1</v>
      </c>
      <c r="K59" s="50">
        <v>0</v>
      </c>
      <c r="L59">
        <v>0</v>
      </c>
      <c r="M59">
        <v>0</v>
      </c>
      <c r="N59" s="56"/>
      <c r="O59" s="56"/>
      <c r="P59" s="8" t="s">
        <v>243</v>
      </c>
      <c r="Q59" s="10" t="s">
        <v>243</v>
      </c>
      <c r="R59" s="90">
        <v>0</v>
      </c>
      <c r="S59" s="10" t="s">
        <v>243</v>
      </c>
      <c r="T59">
        <v>0</v>
      </c>
    </row>
    <row r="60" spans="1:20">
      <c r="A60" s="5" t="s">
        <v>160</v>
      </c>
      <c r="B60" s="6" t="s">
        <v>112</v>
      </c>
      <c r="C60" s="7">
        <v>42557</v>
      </c>
      <c r="D60" s="6" t="s">
        <v>84</v>
      </c>
      <c r="E60" s="38" t="s">
        <v>220</v>
      </c>
      <c r="F60" s="6">
        <v>562</v>
      </c>
      <c r="G60" s="39"/>
      <c r="H60" s="6">
        <v>0</v>
      </c>
      <c r="I60" s="38">
        <v>0</v>
      </c>
      <c r="J60" s="50">
        <v>0</v>
      </c>
      <c r="K60" s="50">
        <v>0</v>
      </c>
      <c r="L60">
        <v>0</v>
      </c>
      <c r="M60">
        <v>0</v>
      </c>
      <c r="N60" s="56"/>
      <c r="O60" s="56"/>
      <c r="P60" s="8" t="s">
        <v>243</v>
      </c>
      <c r="Q60" s="10" t="s">
        <v>243</v>
      </c>
      <c r="R60" s="90">
        <v>0</v>
      </c>
      <c r="S60" t="s">
        <v>243</v>
      </c>
      <c r="T60">
        <v>0</v>
      </c>
    </row>
    <row r="61" spans="1:20">
      <c r="A61" s="5" t="s">
        <v>55</v>
      </c>
      <c r="B61" s="6" t="s">
        <v>22</v>
      </c>
      <c r="C61" s="7">
        <v>42558</v>
      </c>
      <c r="D61" s="6" t="s">
        <v>46</v>
      </c>
      <c r="E61" s="38" t="s">
        <v>216</v>
      </c>
      <c r="F61" s="6">
        <v>651</v>
      </c>
      <c r="G61" s="39"/>
      <c r="H61" s="6">
        <v>0</v>
      </c>
      <c r="I61" s="38">
        <v>2</v>
      </c>
      <c r="J61" s="50">
        <v>1</v>
      </c>
      <c r="K61" s="50">
        <v>0</v>
      </c>
      <c r="L61">
        <v>0</v>
      </c>
      <c r="M61">
        <v>0</v>
      </c>
      <c r="N61" s="56"/>
      <c r="O61" s="56"/>
      <c r="P61" s="8" t="s">
        <v>243</v>
      </c>
      <c r="Q61" s="10" t="s">
        <v>243</v>
      </c>
      <c r="R61" s="90">
        <v>0</v>
      </c>
      <c r="S61" s="10" t="s">
        <v>243</v>
      </c>
      <c r="T61">
        <v>0</v>
      </c>
    </row>
    <row r="62" spans="1:20">
      <c r="A62" s="5" t="s">
        <v>158</v>
      </c>
      <c r="B62" s="6" t="s">
        <v>112</v>
      </c>
      <c r="C62" s="7">
        <v>42558</v>
      </c>
      <c r="D62" s="6" t="s">
        <v>31</v>
      </c>
      <c r="E62" s="38" t="s">
        <v>213</v>
      </c>
      <c r="F62" s="6">
        <v>1019</v>
      </c>
      <c r="G62" s="39"/>
      <c r="H62" s="6">
        <v>0</v>
      </c>
      <c r="I62" s="38">
        <v>0</v>
      </c>
      <c r="J62" s="50">
        <v>0</v>
      </c>
      <c r="K62" s="50">
        <v>0</v>
      </c>
      <c r="L62">
        <v>863</v>
      </c>
      <c r="M62">
        <v>35</v>
      </c>
      <c r="N62" s="56"/>
      <c r="O62" s="56"/>
      <c r="P62" s="8" t="s">
        <v>243</v>
      </c>
      <c r="Q62" s="10" t="s">
        <v>243</v>
      </c>
      <c r="R62" s="90">
        <v>0</v>
      </c>
      <c r="S62" t="s">
        <v>243</v>
      </c>
      <c r="T62">
        <v>0</v>
      </c>
    </row>
    <row r="63" spans="1:20">
      <c r="A63" s="5" t="s">
        <v>152</v>
      </c>
      <c r="B63" s="6" t="s">
        <v>112</v>
      </c>
      <c r="C63" s="7">
        <v>42560</v>
      </c>
      <c r="D63" s="6" t="s">
        <v>153</v>
      </c>
      <c r="E63" s="38" t="s">
        <v>220</v>
      </c>
      <c r="F63" s="6">
        <v>54</v>
      </c>
      <c r="G63" s="39"/>
      <c r="H63" s="6">
        <v>0</v>
      </c>
      <c r="I63" s="38">
        <v>0</v>
      </c>
      <c r="J63" s="50">
        <v>0</v>
      </c>
      <c r="K63" s="50">
        <v>0</v>
      </c>
      <c r="L63">
        <v>0</v>
      </c>
      <c r="M63">
        <v>0</v>
      </c>
      <c r="N63" s="56"/>
      <c r="O63" s="56"/>
      <c r="P63" s="8" t="s">
        <v>243</v>
      </c>
      <c r="Q63" s="10" t="s">
        <v>243</v>
      </c>
      <c r="R63" s="90">
        <v>0</v>
      </c>
      <c r="S63" t="s">
        <v>243</v>
      </c>
      <c r="T63">
        <v>0</v>
      </c>
    </row>
    <row r="64" spans="1:20">
      <c r="A64" s="5" t="s">
        <v>154</v>
      </c>
      <c r="B64" s="6" t="s">
        <v>112</v>
      </c>
      <c r="C64" s="7">
        <v>42560</v>
      </c>
      <c r="D64" s="6" t="s">
        <v>155</v>
      </c>
      <c r="E64" s="38" t="s">
        <v>231</v>
      </c>
      <c r="F64" s="6">
        <v>179</v>
      </c>
      <c r="G64" s="39"/>
      <c r="H64" s="6">
        <v>0</v>
      </c>
      <c r="I64" s="38">
        <v>0</v>
      </c>
      <c r="J64" s="50">
        <v>0</v>
      </c>
      <c r="K64" s="50">
        <v>0</v>
      </c>
      <c r="L64">
        <v>0</v>
      </c>
      <c r="M64">
        <v>0</v>
      </c>
      <c r="N64" s="56"/>
      <c r="O64" s="56"/>
      <c r="P64" s="8" t="s">
        <v>243</v>
      </c>
      <c r="Q64" s="10" t="s">
        <v>243</v>
      </c>
      <c r="R64" s="90">
        <v>0</v>
      </c>
      <c r="S64" t="s">
        <v>243</v>
      </c>
      <c r="T64">
        <v>0</v>
      </c>
    </row>
    <row r="65" spans="1:20">
      <c r="A65" s="5" t="s">
        <v>156</v>
      </c>
      <c r="B65" s="6" t="s">
        <v>112</v>
      </c>
      <c r="C65" s="7">
        <v>42560</v>
      </c>
      <c r="D65" s="6" t="s">
        <v>155</v>
      </c>
      <c r="E65" s="38" t="s">
        <v>231</v>
      </c>
      <c r="F65" s="6">
        <v>64</v>
      </c>
      <c r="G65" s="39"/>
      <c r="H65" s="6">
        <v>0</v>
      </c>
      <c r="I65" s="38">
        <v>0</v>
      </c>
      <c r="J65" s="50">
        <v>0</v>
      </c>
      <c r="K65" s="50">
        <v>0</v>
      </c>
      <c r="L65">
        <v>0</v>
      </c>
      <c r="M65">
        <v>0</v>
      </c>
      <c r="N65" s="56"/>
      <c r="O65" s="56"/>
      <c r="P65" s="8" t="s">
        <v>243</v>
      </c>
      <c r="Q65" s="10" t="s">
        <v>243</v>
      </c>
      <c r="R65" s="90">
        <v>0</v>
      </c>
      <c r="S65" t="s">
        <v>243</v>
      </c>
      <c r="T65">
        <v>0</v>
      </c>
    </row>
    <row r="66" spans="1:20">
      <c r="A66" s="5" t="s">
        <v>157</v>
      </c>
      <c r="B66" s="6" t="s">
        <v>112</v>
      </c>
      <c r="C66" s="7">
        <v>42560</v>
      </c>
      <c r="D66" s="6" t="s">
        <v>153</v>
      </c>
      <c r="E66" s="38" t="s">
        <v>220</v>
      </c>
      <c r="F66" s="6">
        <v>99</v>
      </c>
      <c r="G66" s="39"/>
      <c r="H66" s="6">
        <v>0</v>
      </c>
      <c r="I66" s="38">
        <v>0</v>
      </c>
      <c r="J66" s="50">
        <v>0</v>
      </c>
      <c r="K66" s="50">
        <v>0</v>
      </c>
      <c r="L66">
        <v>0</v>
      </c>
      <c r="M66">
        <v>0</v>
      </c>
      <c r="N66" s="56"/>
      <c r="O66" s="56"/>
      <c r="P66" s="8" t="s">
        <v>243</v>
      </c>
      <c r="Q66" s="10" t="s">
        <v>243</v>
      </c>
      <c r="R66" s="90">
        <v>0</v>
      </c>
      <c r="S66" t="s">
        <v>243</v>
      </c>
      <c r="T66">
        <v>0</v>
      </c>
    </row>
    <row r="67" spans="1:20">
      <c r="A67" s="5" t="s">
        <v>105</v>
      </c>
      <c r="B67" s="6" t="s">
        <v>99</v>
      </c>
      <c r="C67" s="7">
        <v>42562</v>
      </c>
      <c r="D67" s="6" t="s">
        <v>100</v>
      </c>
      <c r="E67" s="38" t="s">
        <v>228</v>
      </c>
      <c r="F67" s="6">
        <v>460</v>
      </c>
      <c r="G67" s="39"/>
      <c r="H67" s="6">
        <v>0</v>
      </c>
      <c r="I67" s="38">
        <v>2</v>
      </c>
      <c r="J67" s="50">
        <v>1</v>
      </c>
      <c r="K67" s="50">
        <v>0</v>
      </c>
      <c r="L67">
        <v>0</v>
      </c>
      <c r="M67">
        <v>0</v>
      </c>
      <c r="N67" s="56"/>
      <c r="O67" s="56"/>
      <c r="P67" s="8" t="s">
        <v>243</v>
      </c>
      <c r="Q67" s="10" t="s">
        <v>243</v>
      </c>
      <c r="R67" s="90">
        <v>0</v>
      </c>
      <c r="S67" t="s">
        <v>243</v>
      </c>
      <c r="T67">
        <v>0</v>
      </c>
    </row>
    <row r="68" spans="1:20">
      <c r="A68" s="5" t="s">
        <v>151</v>
      </c>
      <c r="B68" s="6" t="s">
        <v>112</v>
      </c>
      <c r="C68" s="7">
        <v>42562</v>
      </c>
      <c r="D68" s="6" t="s">
        <v>31</v>
      </c>
      <c r="E68" s="6" t="s">
        <v>213</v>
      </c>
      <c r="F68" s="6">
        <v>1009</v>
      </c>
      <c r="G68" s="39"/>
      <c r="H68" s="6">
        <v>0</v>
      </c>
      <c r="I68" s="38">
        <v>0</v>
      </c>
      <c r="J68" s="50">
        <v>0</v>
      </c>
      <c r="K68" s="50">
        <v>0</v>
      </c>
      <c r="L68">
        <v>996</v>
      </c>
      <c r="M68">
        <v>80</v>
      </c>
      <c r="N68" s="56"/>
      <c r="O68" s="56"/>
      <c r="P68" s="8" t="s">
        <v>243</v>
      </c>
      <c r="Q68" s="10" t="s">
        <v>243</v>
      </c>
      <c r="R68" s="90">
        <v>0</v>
      </c>
      <c r="S68" t="s">
        <v>243</v>
      </c>
      <c r="T68">
        <v>0</v>
      </c>
    </row>
    <row r="69" spans="1:20">
      <c r="A69" s="5" t="s">
        <v>149</v>
      </c>
      <c r="B69" s="6" t="s">
        <v>112</v>
      </c>
      <c r="C69" s="7">
        <v>42563</v>
      </c>
      <c r="D69" s="6" t="s">
        <v>150</v>
      </c>
      <c r="E69" s="38" t="s">
        <v>217</v>
      </c>
      <c r="F69" s="6">
        <v>450</v>
      </c>
      <c r="G69" s="39"/>
      <c r="H69" s="6">
        <v>633</v>
      </c>
      <c r="I69" s="38">
        <v>0</v>
      </c>
      <c r="J69" s="50">
        <v>0</v>
      </c>
      <c r="K69" s="50">
        <v>2</v>
      </c>
      <c r="L69">
        <v>2930</v>
      </c>
      <c r="M69">
        <v>191</v>
      </c>
      <c r="N69" s="56"/>
      <c r="O69" s="56"/>
      <c r="P69" s="8" t="s">
        <v>243</v>
      </c>
      <c r="Q69" s="10" t="s">
        <v>243</v>
      </c>
      <c r="R69" s="90">
        <v>0</v>
      </c>
      <c r="S69" t="s">
        <v>243</v>
      </c>
      <c r="T69">
        <v>0</v>
      </c>
    </row>
    <row r="70" spans="1:20">
      <c r="A70" s="5" t="s">
        <v>148</v>
      </c>
      <c r="B70" s="6" t="s">
        <v>112</v>
      </c>
      <c r="C70" s="7">
        <v>42565</v>
      </c>
      <c r="D70" s="6" t="s">
        <v>135</v>
      </c>
      <c r="E70" s="38" t="s">
        <v>230</v>
      </c>
      <c r="F70" s="6">
        <v>1354</v>
      </c>
      <c r="G70" s="39"/>
      <c r="H70" s="6">
        <v>0</v>
      </c>
      <c r="I70" s="38">
        <v>5</v>
      </c>
      <c r="J70" s="50">
        <v>1</v>
      </c>
      <c r="K70" s="50">
        <v>1</v>
      </c>
      <c r="L70">
        <v>203</v>
      </c>
      <c r="M70">
        <v>7</v>
      </c>
      <c r="N70" s="56"/>
      <c r="O70" s="56"/>
      <c r="P70" s="8" t="s">
        <v>243</v>
      </c>
      <c r="Q70" s="10" t="s">
        <v>243</v>
      </c>
      <c r="R70" s="90">
        <v>0</v>
      </c>
      <c r="S70" t="s">
        <v>243</v>
      </c>
      <c r="T70">
        <v>0</v>
      </c>
    </row>
    <row r="71" spans="1:20">
      <c r="A71" s="59" t="s">
        <v>49</v>
      </c>
      <c r="B71" s="60" t="s">
        <v>22</v>
      </c>
      <c r="C71" s="61">
        <v>42566</v>
      </c>
      <c r="D71" s="60" t="s">
        <v>50</v>
      </c>
      <c r="E71" s="60" t="s">
        <v>220</v>
      </c>
      <c r="F71" s="60">
        <v>2674</v>
      </c>
      <c r="G71" s="39"/>
      <c r="H71" s="60">
        <v>0</v>
      </c>
      <c r="I71" s="60">
        <v>6</v>
      </c>
      <c r="J71" s="62">
        <v>1</v>
      </c>
      <c r="K71" s="62">
        <v>2</v>
      </c>
      <c r="L71">
        <v>471</v>
      </c>
      <c r="M71">
        <v>5</v>
      </c>
      <c r="N71" s="63"/>
      <c r="O71" s="63"/>
      <c r="P71" s="64" t="s">
        <v>244</v>
      </c>
      <c r="Q71" s="10" t="s">
        <v>243</v>
      </c>
      <c r="R71" s="90">
        <v>0</v>
      </c>
      <c r="S71" s="10" t="s">
        <v>244</v>
      </c>
      <c r="T71" s="65">
        <f>66</f>
        <v>66</v>
      </c>
    </row>
    <row r="72" spans="1:20">
      <c r="A72" s="5" t="s">
        <v>51</v>
      </c>
      <c r="B72" s="6" t="s">
        <v>22</v>
      </c>
      <c r="C72" s="7">
        <v>42566</v>
      </c>
      <c r="D72" s="6" t="s">
        <v>52</v>
      </c>
      <c r="E72" s="38" t="s">
        <v>212</v>
      </c>
      <c r="F72" s="6">
        <v>624</v>
      </c>
      <c r="G72" s="39"/>
      <c r="H72" s="6">
        <v>0</v>
      </c>
      <c r="I72" s="38">
        <v>0</v>
      </c>
      <c r="J72" s="50">
        <v>0</v>
      </c>
      <c r="K72" s="50">
        <v>0</v>
      </c>
      <c r="L72">
        <v>5174</v>
      </c>
      <c r="M72">
        <v>375</v>
      </c>
      <c r="N72" s="56"/>
      <c r="O72" s="56"/>
      <c r="P72" s="8" t="s">
        <v>243</v>
      </c>
      <c r="Q72" s="10" t="s">
        <v>243</v>
      </c>
      <c r="R72" s="90">
        <v>0</v>
      </c>
      <c r="S72" s="10" t="s">
        <v>243</v>
      </c>
      <c r="T72">
        <v>0</v>
      </c>
    </row>
    <row r="73" spans="1:20">
      <c r="A73" s="5" t="s">
        <v>53</v>
      </c>
      <c r="B73" s="6" t="s">
        <v>22</v>
      </c>
      <c r="C73" s="7">
        <v>42566</v>
      </c>
      <c r="D73" s="6" t="s">
        <v>54</v>
      </c>
      <c r="E73" s="38" t="s">
        <v>222</v>
      </c>
      <c r="F73" s="6">
        <v>1825</v>
      </c>
      <c r="G73" s="39"/>
      <c r="H73" s="6">
        <v>0</v>
      </c>
      <c r="I73" s="38">
        <v>6</v>
      </c>
      <c r="J73" s="50">
        <v>1</v>
      </c>
      <c r="K73" s="50">
        <v>0</v>
      </c>
      <c r="L73">
        <v>125</v>
      </c>
      <c r="M73">
        <v>17</v>
      </c>
      <c r="N73" s="56"/>
      <c r="O73" s="56"/>
      <c r="P73" s="8" t="s">
        <v>243</v>
      </c>
      <c r="Q73" s="10" t="s">
        <v>243</v>
      </c>
      <c r="R73" s="90">
        <v>0</v>
      </c>
      <c r="S73" s="10" t="s">
        <v>243</v>
      </c>
      <c r="T73">
        <v>0</v>
      </c>
    </row>
    <row r="74" spans="1:20">
      <c r="A74" s="5" t="s">
        <v>147</v>
      </c>
      <c r="B74" s="6" t="s">
        <v>112</v>
      </c>
      <c r="C74" s="7">
        <v>42566</v>
      </c>
      <c r="D74" s="6" t="s">
        <v>84</v>
      </c>
      <c r="E74" s="38" t="s">
        <v>220</v>
      </c>
      <c r="F74" s="6">
        <v>770</v>
      </c>
      <c r="G74" s="39"/>
      <c r="H74" s="6">
        <v>0</v>
      </c>
      <c r="I74" s="38">
        <v>0</v>
      </c>
      <c r="J74" s="50">
        <v>0</v>
      </c>
      <c r="K74" s="50">
        <v>0</v>
      </c>
      <c r="L74">
        <v>0</v>
      </c>
      <c r="M74">
        <v>0</v>
      </c>
      <c r="N74" s="56"/>
      <c r="O74" s="56"/>
      <c r="P74" s="8" t="s">
        <v>243</v>
      </c>
      <c r="Q74" s="10" t="s">
        <v>243</v>
      </c>
      <c r="R74" s="90">
        <v>0</v>
      </c>
      <c r="S74" t="s">
        <v>243</v>
      </c>
      <c r="T74">
        <v>0</v>
      </c>
    </row>
    <row r="75" spans="1:20">
      <c r="A75" s="5" t="s">
        <v>145</v>
      </c>
      <c r="B75" s="6" t="s">
        <v>112</v>
      </c>
      <c r="C75" s="7">
        <v>42569</v>
      </c>
      <c r="D75" s="6" t="s">
        <v>146</v>
      </c>
      <c r="E75" s="38" t="s">
        <v>213</v>
      </c>
      <c r="F75" s="6">
        <v>917</v>
      </c>
      <c r="G75" s="39"/>
      <c r="H75" s="6">
        <v>0</v>
      </c>
      <c r="I75" s="38">
        <v>3</v>
      </c>
      <c r="J75" s="50">
        <v>1</v>
      </c>
      <c r="K75" s="50">
        <v>1</v>
      </c>
      <c r="L75">
        <v>1029</v>
      </c>
      <c r="M75">
        <v>51</v>
      </c>
      <c r="N75" s="56"/>
      <c r="O75" s="56"/>
      <c r="P75" s="8" t="s">
        <v>243</v>
      </c>
      <c r="Q75" s="10" t="s">
        <v>243</v>
      </c>
      <c r="R75" s="90">
        <v>0</v>
      </c>
      <c r="S75" t="s">
        <v>243</v>
      </c>
      <c r="T75">
        <v>0</v>
      </c>
    </row>
    <row r="76" spans="1:20">
      <c r="A76" s="5" t="s">
        <v>143</v>
      </c>
      <c r="B76" s="6" t="s">
        <v>112</v>
      </c>
      <c r="C76" s="7">
        <v>42570</v>
      </c>
      <c r="D76" s="6" t="s">
        <v>144</v>
      </c>
      <c r="E76" s="38" t="s">
        <v>212</v>
      </c>
      <c r="F76" s="6">
        <v>75</v>
      </c>
      <c r="G76" s="39"/>
      <c r="H76" s="6">
        <v>0</v>
      </c>
      <c r="I76" s="38">
        <v>1</v>
      </c>
      <c r="J76" s="50">
        <v>0</v>
      </c>
      <c r="K76" s="50">
        <v>0</v>
      </c>
      <c r="L76">
        <v>0</v>
      </c>
      <c r="M76">
        <v>0</v>
      </c>
      <c r="N76" s="56"/>
      <c r="O76" s="56"/>
      <c r="P76" s="8" t="s">
        <v>243</v>
      </c>
      <c r="Q76" s="10" t="s">
        <v>243</v>
      </c>
      <c r="R76" s="90">
        <v>0</v>
      </c>
      <c r="S76" t="s">
        <v>243</v>
      </c>
      <c r="T76">
        <v>0</v>
      </c>
    </row>
    <row r="77" spans="1:20">
      <c r="A77" s="5" t="s">
        <v>142</v>
      </c>
      <c r="B77" s="6" t="s">
        <v>112</v>
      </c>
      <c r="C77" s="7">
        <v>42571</v>
      </c>
      <c r="D77" s="6" t="s">
        <v>31</v>
      </c>
      <c r="E77" s="38" t="s">
        <v>213</v>
      </c>
      <c r="F77" s="6">
        <v>2501</v>
      </c>
      <c r="G77" s="39"/>
      <c r="H77" s="6">
        <v>0</v>
      </c>
      <c r="I77" s="38">
        <v>6</v>
      </c>
      <c r="J77" s="50">
        <v>1</v>
      </c>
      <c r="K77" s="50">
        <v>0</v>
      </c>
      <c r="L77">
        <v>0</v>
      </c>
      <c r="M77">
        <v>0</v>
      </c>
      <c r="N77" s="56"/>
      <c r="O77" s="56"/>
      <c r="P77" s="8" t="s">
        <v>243</v>
      </c>
      <c r="Q77" s="10" t="s">
        <v>243</v>
      </c>
      <c r="R77" s="90">
        <v>0</v>
      </c>
      <c r="S77" t="s">
        <v>243</v>
      </c>
      <c r="T77">
        <v>0</v>
      </c>
    </row>
    <row r="78" spans="1:20">
      <c r="A78" s="5" t="s">
        <v>45</v>
      </c>
      <c r="B78" s="6" t="s">
        <v>22</v>
      </c>
      <c r="C78" s="7">
        <v>42572</v>
      </c>
      <c r="D78" s="6" t="s">
        <v>46</v>
      </c>
      <c r="E78" s="38" t="s">
        <v>216</v>
      </c>
      <c r="F78" s="6">
        <v>559</v>
      </c>
      <c r="G78" s="39"/>
      <c r="H78" s="6">
        <v>0</v>
      </c>
      <c r="I78" s="38">
        <v>2</v>
      </c>
      <c r="J78" s="50">
        <v>1</v>
      </c>
      <c r="K78" s="50">
        <v>0</v>
      </c>
      <c r="L78">
        <v>0</v>
      </c>
      <c r="M78">
        <v>0</v>
      </c>
      <c r="N78" s="56"/>
      <c r="O78" s="56"/>
      <c r="P78" s="8" t="s">
        <v>243</v>
      </c>
      <c r="Q78" s="10" t="s">
        <v>243</v>
      </c>
      <c r="R78" s="90">
        <v>0</v>
      </c>
      <c r="S78" s="10" t="s">
        <v>243</v>
      </c>
      <c r="T78">
        <v>0</v>
      </c>
    </row>
    <row r="79" spans="1:20">
      <c r="A79" s="5" t="s">
        <v>47</v>
      </c>
      <c r="B79" s="6" t="s">
        <v>22</v>
      </c>
      <c r="C79" s="7">
        <v>42572</v>
      </c>
      <c r="D79" s="6" t="s">
        <v>48</v>
      </c>
      <c r="E79" s="38" t="s">
        <v>219</v>
      </c>
      <c r="F79" s="6">
        <v>1548</v>
      </c>
      <c r="G79" s="39"/>
      <c r="H79" s="6">
        <v>0</v>
      </c>
      <c r="I79" s="38">
        <v>2</v>
      </c>
      <c r="J79" s="50">
        <v>1</v>
      </c>
      <c r="K79" s="50">
        <v>1</v>
      </c>
      <c r="L79">
        <v>3348</v>
      </c>
      <c r="M79">
        <v>177</v>
      </c>
      <c r="N79" s="56"/>
      <c r="O79" s="56"/>
      <c r="P79" s="8" t="s">
        <v>243</v>
      </c>
      <c r="Q79" s="10" t="s">
        <v>243</v>
      </c>
      <c r="R79" s="90">
        <v>0</v>
      </c>
      <c r="S79" s="10" t="s">
        <v>243</v>
      </c>
      <c r="T79">
        <v>0</v>
      </c>
    </row>
    <row r="80" spans="1:20">
      <c r="A80" s="59" t="s">
        <v>140</v>
      </c>
      <c r="B80" s="60" t="s">
        <v>112</v>
      </c>
      <c r="C80" s="61">
        <v>42572</v>
      </c>
      <c r="D80" s="60" t="s">
        <v>141</v>
      </c>
      <c r="E80" s="60" t="s">
        <v>220</v>
      </c>
      <c r="F80" s="60">
        <v>5050</v>
      </c>
      <c r="G80" s="39"/>
      <c r="H80" s="60">
        <v>2262</v>
      </c>
      <c r="I80" s="60">
        <v>16</v>
      </c>
      <c r="J80" s="66">
        <v>2</v>
      </c>
      <c r="K80" s="62">
        <v>4</v>
      </c>
      <c r="L80">
        <v>4109</v>
      </c>
      <c r="M80">
        <v>388</v>
      </c>
      <c r="N80" s="63"/>
      <c r="O80" s="63"/>
      <c r="P80" s="64" t="s">
        <v>243</v>
      </c>
      <c r="Q80" s="10" t="s">
        <v>244</v>
      </c>
      <c r="R80" s="90">
        <f>74</f>
        <v>74</v>
      </c>
      <c r="S80" s="65" t="s">
        <v>243</v>
      </c>
      <c r="T80" s="65">
        <v>0</v>
      </c>
    </row>
    <row r="81" spans="1:20">
      <c r="A81" s="5" t="s">
        <v>43</v>
      </c>
      <c r="B81" s="6" t="s">
        <v>22</v>
      </c>
      <c r="C81" s="7">
        <v>42573</v>
      </c>
      <c r="D81" s="6" t="s">
        <v>44</v>
      </c>
      <c r="E81" s="38" t="s">
        <v>217</v>
      </c>
      <c r="F81" s="6">
        <v>555</v>
      </c>
      <c r="G81" s="39"/>
      <c r="H81" s="6">
        <v>0</v>
      </c>
      <c r="I81" s="38">
        <v>5</v>
      </c>
      <c r="J81" s="50">
        <v>1</v>
      </c>
      <c r="K81" s="50">
        <v>2</v>
      </c>
      <c r="L81">
        <v>1865</v>
      </c>
      <c r="M81">
        <v>38</v>
      </c>
      <c r="N81" s="56"/>
      <c r="O81" s="56"/>
      <c r="P81" s="8" t="s">
        <v>243</v>
      </c>
      <c r="Q81" s="10" t="s">
        <v>243</v>
      </c>
      <c r="R81" s="90">
        <v>0</v>
      </c>
      <c r="S81" s="10" t="s">
        <v>243</v>
      </c>
      <c r="T81">
        <v>0</v>
      </c>
    </row>
    <row r="82" spans="1:20">
      <c r="A82" s="59" t="s">
        <v>41</v>
      </c>
      <c r="B82" s="60" t="s">
        <v>22</v>
      </c>
      <c r="C82" s="61">
        <v>42576</v>
      </c>
      <c r="D82" s="60" t="s">
        <v>42</v>
      </c>
      <c r="E82" s="60" t="s">
        <v>218</v>
      </c>
      <c r="F82" s="60">
        <v>2099</v>
      </c>
      <c r="G82" s="39"/>
      <c r="H82" s="60">
        <v>0</v>
      </c>
      <c r="I82" s="60">
        <v>4</v>
      </c>
      <c r="J82" s="62">
        <v>1</v>
      </c>
      <c r="K82" s="62">
        <v>1</v>
      </c>
      <c r="L82">
        <v>168</v>
      </c>
      <c r="M82">
        <v>32</v>
      </c>
      <c r="N82" s="63"/>
      <c r="O82" s="63"/>
      <c r="P82" s="64" t="s">
        <v>243</v>
      </c>
      <c r="Q82" s="10" t="s">
        <v>243</v>
      </c>
      <c r="R82" s="90">
        <v>0</v>
      </c>
      <c r="S82" s="10" t="s">
        <v>244</v>
      </c>
      <c r="T82" s="65">
        <v>96</v>
      </c>
    </row>
    <row r="83" spans="1:20">
      <c r="A83" s="5" t="s">
        <v>139</v>
      </c>
      <c r="B83" s="6" t="s">
        <v>112</v>
      </c>
      <c r="C83" s="7">
        <v>42576</v>
      </c>
      <c r="D83" s="6" t="s">
        <v>31</v>
      </c>
      <c r="E83" s="38" t="s">
        <v>213</v>
      </c>
      <c r="F83" s="6">
        <v>1046</v>
      </c>
      <c r="G83" s="39"/>
      <c r="H83" s="6">
        <v>0</v>
      </c>
      <c r="I83" s="38">
        <v>2</v>
      </c>
      <c r="J83" s="50">
        <v>1</v>
      </c>
      <c r="K83" s="50">
        <v>1</v>
      </c>
      <c r="L83">
        <v>0</v>
      </c>
      <c r="M83">
        <v>0</v>
      </c>
      <c r="N83" s="56"/>
      <c r="O83" s="56"/>
      <c r="P83" s="8" t="s">
        <v>244</v>
      </c>
      <c r="Q83" s="10" t="s">
        <v>243</v>
      </c>
      <c r="R83" s="90">
        <v>0</v>
      </c>
      <c r="S83" t="s">
        <v>243</v>
      </c>
      <c r="T83">
        <v>0</v>
      </c>
    </row>
    <row r="84" spans="1:20">
      <c r="A84" s="5" t="s">
        <v>137</v>
      </c>
      <c r="B84" s="6" t="s">
        <v>112</v>
      </c>
      <c r="C84" s="7">
        <v>42577</v>
      </c>
      <c r="D84" s="6" t="s">
        <v>138</v>
      </c>
      <c r="E84" s="38" t="s">
        <v>212</v>
      </c>
      <c r="F84" s="6">
        <v>123</v>
      </c>
      <c r="G84" s="39"/>
      <c r="H84" s="6">
        <v>0</v>
      </c>
      <c r="I84" s="38">
        <v>0</v>
      </c>
      <c r="J84" s="50">
        <v>0</v>
      </c>
      <c r="K84" s="50">
        <v>1</v>
      </c>
      <c r="L84">
        <v>0</v>
      </c>
      <c r="M84">
        <v>0</v>
      </c>
      <c r="N84" s="56"/>
      <c r="O84" s="56"/>
      <c r="P84" s="8" t="s">
        <v>243</v>
      </c>
      <c r="Q84" s="10" t="s">
        <v>243</v>
      </c>
      <c r="R84" s="90">
        <v>0</v>
      </c>
      <c r="S84" t="s">
        <v>243</v>
      </c>
      <c r="T84">
        <v>0</v>
      </c>
    </row>
    <row r="85" spans="1:20">
      <c r="A85" s="59" t="s">
        <v>40</v>
      </c>
      <c r="B85" s="60" t="s">
        <v>22</v>
      </c>
      <c r="C85" s="61">
        <v>42578</v>
      </c>
      <c r="D85" s="60" t="s">
        <v>31</v>
      </c>
      <c r="E85" s="60" t="s">
        <v>213</v>
      </c>
      <c r="F85" s="60">
        <v>2372</v>
      </c>
      <c r="G85" s="39"/>
      <c r="H85" s="60">
        <v>0</v>
      </c>
      <c r="I85" s="60">
        <v>5</v>
      </c>
      <c r="J85" s="62">
        <v>1</v>
      </c>
      <c r="K85" s="62">
        <v>1</v>
      </c>
      <c r="L85">
        <v>1077</v>
      </c>
      <c r="M85">
        <v>99</v>
      </c>
      <c r="N85" s="63"/>
      <c r="O85" s="63"/>
      <c r="P85" s="64" t="s">
        <v>244</v>
      </c>
      <c r="Q85" s="10" t="s">
        <v>243</v>
      </c>
      <c r="R85" s="90">
        <v>0</v>
      </c>
      <c r="S85" s="10" t="s">
        <v>244</v>
      </c>
      <c r="T85" s="65">
        <f>30</f>
        <v>30</v>
      </c>
    </row>
    <row r="86" spans="1:20">
      <c r="A86" s="5" t="s">
        <v>136</v>
      </c>
      <c r="B86" s="6" t="s">
        <v>112</v>
      </c>
      <c r="C86" s="7">
        <v>42578</v>
      </c>
      <c r="D86" s="6" t="s">
        <v>31</v>
      </c>
      <c r="E86" s="38" t="s">
        <v>213</v>
      </c>
      <c r="F86" s="6">
        <v>2411</v>
      </c>
      <c r="G86" s="39"/>
      <c r="H86" s="6">
        <v>0</v>
      </c>
      <c r="I86" s="38">
        <v>6</v>
      </c>
      <c r="J86" s="52">
        <v>2</v>
      </c>
      <c r="K86" s="50">
        <v>1</v>
      </c>
      <c r="L86">
        <v>612</v>
      </c>
      <c r="M86">
        <v>55</v>
      </c>
      <c r="N86" s="56"/>
      <c r="O86" s="56"/>
      <c r="P86" s="8" t="s">
        <v>243</v>
      </c>
      <c r="Q86" s="13" t="s">
        <v>243</v>
      </c>
      <c r="R86" s="90">
        <v>0</v>
      </c>
      <c r="S86" t="s">
        <v>243</v>
      </c>
      <c r="T86">
        <v>0</v>
      </c>
    </row>
    <row r="87" spans="1:20">
      <c r="A87" s="75" t="s">
        <v>134</v>
      </c>
      <c r="B87" s="76" t="s">
        <v>112</v>
      </c>
      <c r="C87" s="77">
        <v>42579</v>
      </c>
      <c r="D87" s="76" t="s">
        <v>135</v>
      </c>
      <c r="E87" s="76" t="s">
        <v>230</v>
      </c>
      <c r="F87" s="76">
        <v>1122</v>
      </c>
      <c r="G87" s="76"/>
      <c r="H87" s="76">
        <v>1184</v>
      </c>
      <c r="I87" s="76">
        <v>1</v>
      </c>
      <c r="J87" s="78">
        <v>0</v>
      </c>
      <c r="K87" s="78">
        <v>2</v>
      </c>
      <c r="L87">
        <v>4040</v>
      </c>
      <c r="M87">
        <v>359</v>
      </c>
      <c r="N87" s="79"/>
      <c r="O87" s="79"/>
      <c r="P87" s="80" t="s">
        <v>243</v>
      </c>
      <c r="Q87" s="94" t="s">
        <v>244</v>
      </c>
      <c r="R87" s="81">
        <v>307</v>
      </c>
      <c r="S87" s="81" t="s">
        <v>244</v>
      </c>
      <c r="T87" s="81">
        <f>166</f>
        <v>166</v>
      </c>
    </row>
    <row r="88" spans="1:20">
      <c r="A88" s="5" t="s">
        <v>38</v>
      </c>
      <c r="B88" s="6" t="s">
        <v>22</v>
      </c>
      <c r="C88" s="7">
        <v>42580</v>
      </c>
      <c r="D88" s="6" t="s">
        <v>39</v>
      </c>
      <c r="E88" s="38" t="s">
        <v>218</v>
      </c>
      <c r="F88" s="6">
        <v>2081</v>
      </c>
      <c r="G88" s="39"/>
      <c r="H88" s="6">
        <v>0</v>
      </c>
      <c r="I88" s="38">
        <v>3</v>
      </c>
      <c r="J88" s="50">
        <v>1</v>
      </c>
      <c r="K88" s="50">
        <v>0</v>
      </c>
      <c r="L88">
        <v>807</v>
      </c>
      <c r="M88">
        <v>22</v>
      </c>
      <c r="N88" s="56"/>
      <c r="O88" s="56"/>
      <c r="P88" s="8" t="s">
        <v>244</v>
      </c>
      <c r="Q88" s="10" t="s">
        <v>243</v>
      </c>
      <c r="R88" s="90">
        <v>0</v>
      </c>
      <c r="S88" s="10" t="s">
        <v>243</v>
      </c>
      <c r="T88">
        <v>0</v>
      </c>
    </row>
    <row r="89" spans="1:20">
      <c r="A89" s="59" t="s">
        <v>103</v>
      </c>
      <c r="B89" s="60" t="s">
        <v>99</v>
      </c>
      <c r="C89" s="61">
        <v>42583</v>
      </c>
      <c r="D89" s="60" t="s">
        <v>104</v>
      </c>
      <c r="E89" s="60" t="s">
        <v>220</v>
      </c>
      <c r="F89" s="60">
        <v>1678</v>
      </c>
      <c r="G89" s="39"/>
      <c r="H89" s="60">
        <v>0</v>
      </c>
      <c r="I89" s="60">
        <v>3</v>
      </c>
      <c r="J89" s="62">
        <v>1</v>
      </c>
      <c r="K89" s="62">
        <v>1</v>
      </c>
      <c r="L89">
        <v>160</v>
      </c>
      <c r="M89">
        <v>5</v>
      </c>
      <c r="N89" s="63"/>
      <c r="O89" s="63"/>
      <c r="P89" s="64" t="s">
        <v>243</v>
      </c>
      <c r="Q89" s="10" t="s">
        <v>243</v>
      </c>
      <c r="R89" s="90">
        <v>0</v>
      </c>
      <c r="S89" s="65" t="s">
        <v>244</v>
      </c>
      <c r="T89" s="65">
        <f>34</f>
        <v>34</v>
      </c>
    </row>
    <row r="90" spans="1:20">
      <c r="A90" s="75" t="s">
        <v>130</v>
      </c>
      <c r="B90" s="76" t="s">
        <v>112</v>
      </c>
      <c r="C90" s="77">
        <v>42583</v>
      </c>
      <c r="D90" s="76" t="s">
        <v>31</v>
      </c>
      <c r="E90" s="76" t="s">
        <v>213</v>
      </c>
      <c r="F90" s="76">
        <v>3055</v>
      </c>
      <c r="G90" s="76"/>
      <c r="H90" s="76">
        <v>0</v>
      </c>
      <c r="I90" s="76">
        <v>5</v>
      </c>
      <c r="J90" s="78">
        <v>1</v>
      </c>
      <c r="K90" s="78">
        <v>1</v>
      </c>
      <c r="L90">
        <v>812</v>
      </c>
      <c r="M90">
        <v>224</v>
      </c>
      <c r="N90" s="79"/>
      <c r="O90" s="79"/>
      <c r="P90" s="80" t="s">
        <v>243</v>
      </c>
      <c r="Q90" s="94" t="s">
        <v>244</v>
      </c>
      <c r="R90" s="81">
        <v>290</v>
      </c>
      <c r="S90" s="81" t="s">
        <v>244</v>
      </c>
      <c r="T90" s="81">
        <f>152</f>
        <v>152</v>
      </c>
    </row>
    <row r="91" spans="1:20">
      <c r="A91" s="5" t="s">
        <v>131</v>
      </c>
      <c r="B91" s="6" t="s">
        <v>112</v>
      </c>
      <c r="C91" s="7">
        <v>42583</v>
      </c>
      <c r="D91" s="6" t="s">
        <v>132</v>
      </c>
      <c r="E91" s="38" t="s">
        <v>235</v>
      </c>
      <c r="F91" s="6">
        <v>781</v>
      </c>
      <c r="G91" s="39"/>
      <c r="H91" s="6">
        <v>0</v>
      </c>
      <c r="I91" s="38">
        <v>1</v>
      </c>
      <c r="J91" s="50">
        <v>0</v>
      </c>
      <c r="K91" s="50">
        <v>0</v>
      </c>
      <c r="L91">
        <v>0</v>
      </c>
      <c r="M91">
        <v>0</v>
      </c>
      <c r="N91" s="56"/>
      <c r="O91" s="56"/>
      <c r="P91" s="8" t="s">
        <v>243</v>
      </c>
      <c r="Q91" s="13" t="s">
        <v>243</v>
      </c>
      <c r="R91" s="90">
        <v>0</v>
      </c>
      <c r="S91" t="s">
        <v>243</v>
      </c>
      <c r="T91">
        <v>0</v>
      </c>
    </row>
    <row r="92" spans="1:20">
      <c r="A92" s="5" t="s">
        <v>133</v>
      </c>
      <c r="B92" s="6" t="s">
        <v>112</v>
      </c>
      <c r="C92" s="7">
        <v>42583</v>
      </c>
      <c r="D92" s="6" t="s">
        <v>31</v>
      </c>
      <c r="E92" s="38" t="s">
        <v>213</v>
      </c>
      <c r="F92" s="6">
        <v>442</v>
      </c>
      <c r="G92" s="39"/>
      <c r="H92" s="6">
        <v>0</v>
      </c>
      <c r="I92" s="38">
        <v>3</v>
      </c>
      <c r="J92" s="50">
        <v>0</v>
      </c>
      <c r="K92" s="50">
        <v>0</v>
      </c>
      <c r="L92">
        <v>558</v>
      </c>
      <c r="M92">
        <v>41</v>
      </c>
      <c r="N92" s="56"/>
      <c r="O92" s="56"/>
      <c r="P92" s="8" t="s">
        <v>243</v>
      </c>
      <c r="Q92" s="13" t="s">
        <v>243</v>
      </c>
      <c r="R92" s="90">
        <v>0</v>
      </c>
      <c r="S92" t="s">
        <v>243</v>
      </c>
      <c r="T92">
        <v>0</v>
      </c>
    </row>
    <row r="93" spans="1:20">
      <c r="A93" s="59" t="s">
        <v>36</v>
      </c>
      <c r="B93" s="60" t="s">
        <v>22</v>
      </c>
      <c r="C93" s="61">
        <v>42584</v>
      </c>
      <c r="D93" s="60" t="s">
        <v>37</v>
      </c>
      <c r="E93" s="60" t="s">
        <v>217</v>
      </c>
      <c r="F93" s="60">
        <v>1561</v>
      </c>
      <c r="G93" s="39"/>
      <c r="H93" s="60">
        <v>0</v>
      </c>
      <c r="I93" s="60">
        <v>2</v>
      </c>
      <c r="J93" s="62">
        <v>1</v>
      </c>
      <c r="K93" s="62">
        <v>1</v>
      </c>
      <c r="L93">
        <v>4459</v>
      </c>
      <c r="M93">
        <v>148</v>
      </c>
      <c r="N93" s="63"/>
      <c r="O93" s="63"/>
      <c r="P93" s="64" t="s">
        <v>243</v>
      </c>
      <c r="Q93" s="10" t="s">
        <v>243</v>
      </c>
      <c r="R93" s="90">
        <v>0</v>
      </c>
      <c r="S93" s="10" t="s">
        <v>244</v>
      </c>
      <c r="T93" s="65">
        <v>114</v>
      </c>
    </row>
    <row r="94" spans="1:20">
      <c r="A94" s="95" t="s">
        <v>127</v>
      </c>
      <c r="B94" s="96" t="s">
        <v>112</v>
      </c>
      <c r="C94" s="97">
        <v>42584</v>
      </c>
      <c r="D94" s="96" t="s">
        <v>128</v>
      </c>
      <c r="E94" s="96" t="s">
        <v>234</v>
      </c>
      <c r="F94" s="96">
        <v>2146</v>
      </c>
      <c r="G94" s="96"/>
      <c r="H94" s="96">
        <v>0</v>
      </c>
      <c r="I94" s="96">
        <v>3</v>
      </c>
      <c r="J94" s="98">
        <v>1</v>
      </c>
      <c r="K94" s="98">
        <v>1</v>
      </c>
      <c r="L94">
        <v>7959</v>
      </c>
      <c r="M94">
        <v>775</v>
      </c>
      <c r="N94" s="99"/>
      <c r="O94" s="99"/>
      <c r="P94" s="100" t="s">
        <v>243</v>
      </c>
      <c r="Q94" s="101" t="s">
        <v>244</v>
      </c>
      <c r="R94" s="102">
        <v>303</v>
      </c>
      <c r="S94" s="102" t="s">
        <v>244</v>
      </c>
      <c r="T94" s="102">
        <v>88</v>
      </c>
    </row>
    <row r="95" spans="1:20" s="65" customFormat="1">
      <c r="A95" s="5" t="s">
        <v>129</v>
      </c>
      <c r="B95" s="6" t="s">
        <v>112</v>
      </c>
      <c r="C95" s="7">
        <v>42584</v>
      </c>
      <c r="D95" s="6" t="s">
        <v>31</v>
      </c>
      <c r="E95" s="38" t="s">
        <v>213</v>
      </c>
      <c r="F95" s="6">
        <v>661</v>
      </c>
      <c r="G95" s="39"/>
      <c r="H95" s="6">
        <v>0</v>
      </c>
      <c r="I95" s="38">
        <v>0</v>
      </c>
      <c r="J95" s="50">
        <v>0</v>
      </c>
      <c r="K95" s="50">
        <v>0</v>
      </c>
      <c r="L95">
        <v>0</v>
      </c>
      <c r="M95">
        <v>0</v>
      </c>
      <c r="N95" s="56"/>
      <c r="O95" s="56"/>
      <c r="P95" s="8" t="s">
        <v>243</v>
      </c>
      <c r="Q95" s="13" t="s">
        <v>243</v>
      </c>
      <c r="R95" s="90">
        <v>0</v>
      </c>
      <c r="S95" s="65" t="s">
        <v>243</v>
      </c>
      <c r="T95">
        <v>0</v>
      </c>
    </row>
    <row r="96" spans="1:20">
      <c r="A96" s="5" t="s">
        <v>34</v>
      </c>
      <c r="B96" s="6" t="s">
        <v>22</v>
      </c>
      <c r="C96" s="7">
        <v>42586</v>
      </c>
      <c r="D96" s="6" t="s">
        <v>35</v>
      </c>
      <c r="E96" s="38" t="s">
        <v>216</v>
      </c>
      <c r="F96" s="6">
        <v>555</v>
      </c>
      <c r="G96" s="39"/>
      <c r="H96" s="6">
        <v>0</v>
      </c>
      <c r="I96" s="38">
        <v>3</v>
      </c>
      <c r="J96" s="50">
        <v>1</v>
      </c>
      <c r="K96" s="50">
        <v>0</v>
      </c>
      <c r="L96">
        <v>0</v>
      </c>
      <c r="M96">
        <v>0</v>
      </c>
      <c r="N96" s="56"/>
      <c r="O96" s="56"/>
      <c r="P96" s="8" t="s">
        <v>244</v>
      </c>
      <c r="Q96" s="10" t="s">
        <v>243</v>
      </c>
      <c r="R96" s="90">
        <v>0</v>
      </c>
      <c r="S96" s="10" t="s">
        <v>243</v>
      </c>
      <c r="T96">
        <v>0</v>
      </c>
    </row>
    <row r="97" spans="1:20">
      <c r="A97" s="59" t="s">
        <v>101</v>
      </c>
      <c r="B97" s="60" t="s">
        <v>99</v>
      </c>
      <c r="C97" s="61">
        <v>42586</v>
      </c>
      <c r="D97" s="60" t="s">
        <v>102</v>
      </c>
      <c r="E97" s="60" t="s">
        <v>229</v>
      </c>
      <c r="F97" s="60">
        <v>508</v>
      </c>
      <c r="G97" s="39"/>
      <c r="H97" s="60">
        <v>0</v>
      </c>
      <c r="I97" s="60">
        <v>3</v>
      </c>
      <c r="J97" s="66">
        <v>2</v>
      </c>
      <c r="K97" s="62">
        <v>1</v>
      </c>
      <c r="L97">
        <v>84</v>
      </c>
      <c r="M97">
        <v>1</v>
      </c>
      <c r="N97" s="63"/>
      <c r="O97" s="63"/>
      <c r="P97" s="64" t="s">
        <v>243</v>
      </c>
      <c r="Q97" s="10" t="s">
        <v>243</v>
      </c>
      <c r="R97" s="90">
        <v>0</v>
      </c>
      <c r="S97" s="65" t="s">
        <v>244</v>
      </c>
      <c r="T97" s="65">
        <f>26</f>
        <v>26</v>
      </c>
    </row>
    <row r="98" spans="1:20">
      <c r="A98" s="95" t="s">
        <v>125</v>
      </c>
      <c r="B98" s="96" t="s">
        <v>112</v>
      </c>
      <c r="C98" s="97">
        <v>42586</v>
      </c>
      <c r="D98" s="96" t="s">
        <v>31</v>
      </c>
      <c r="E98" s="96" t="s">
        <v>213</v>
      </c>
      <c r="F98" s="96">
        <v>2200</v>
      </c>
      <c r="G98" s="96"/>
      <c r="H98" s="96">
        <v>0</v>
      </c>
      <c r="I98" s="96">
        <v>4</v>
      </c>
      <c r="J98" s="98">
        <v>1</v>
      </c>
      <c r="K98" s="98">
        <v>1</v>
      </c>
      <c r="L98">
        <v>322</v>
      </c>
      <c r="M98">
        <v>10</v>
      </c>
      <c r="N98" s="99"/>
      <c r="O98" s="99"/>
      <c r="P98" s="100" t="s">
        <v>243</v>
      </c>
      <c r="Q98" s="101" t="s">
        <v>244</v>
      </c>
      <c r="R98" s="102">
        <v>375</v>
      </c>
      <c r="S98" s="102" t="s">
        <v>244</v>
      </c>
      <c r="T98" s="102">
        <f>114+87</f>
        <v>201</v>
      </c>
    </row>
    <row r="99" spans="1:20" s="81" customFormat="1">
      <c r="A99" s="5" t="s">
        <v>126</v>
      </c>
      <c r="B99" s="6" t="s">
        <v>112</v>
      </c>
      <c r="C99" s="7">
        <v>42586</v>
      </c>
      <c r="D99" s="6" t="s">
        <v>31</v>
      </c>
      <c r="E99" s="38" t="s">
        <v>213</v>
      </c>
      <c r="F99" s="6">
        <v>1552</v>
      </c>
      <c r="G99" s="39"/>
      <c r="H99" s="6">
        <v>0</v>
      </c>
      <c r="I99" s="38">
        <v>3</v>
      </c>
      <c r="J99" s="50">
        <v>1</v>
      </c>
      <c r="K99" s="50">
        <v>1</v>
      </c>
      <c r="L99">
        <v>888</v>
      </c>
      <c r="M99">
        <v>54</v>
      </c>
      <c r="N99" s="56"/>
      <c r="O99" s="56"/>
      <c r="P99" s="8" t="s">
        <v>243</v>
      </c>
      <c r="Q99" s="13" t="s">
        <v>243</v>
      </c>
      <c r="R99" s="90">
        <v>0</v>
      </c>
      <c r="S99" t="s">
        <v>243</v>
      </c>
      <c r="T99">
        <v>0</v>
      </c>
    </row>
    <row r="100" spans="1:20" s="81" customFormat="1">
      <c r="A100" s="5" t="s">
        <v>98</v>
      </c>
      <c r="B100" s="6" t="s">
        <v>99</v>
      </c>
      <c r="C100" s="7">
        <v>42590</v>
      </c>
      <c r="D100" s="6" t="s">
        <v>100</v>
      </c>
      <c r="E100" s="38" t="s">
        <v>228</v>
      </c>
      <c r="F100" s="6">
        <v>599</v>
      </c>
      <c r="G100" s="39"/>
      <c r="H100" s="6">
        <v>0</v>
      </c>
      <c r="I100" s="38">
        <v>5</v>
      </c>
      <c r="J100" s="50">
        <v>1</v>
      </c>
      <c r="K100" s="50">
        <v>1</v>
      </c>
      <c r="L100">
        <v>77</v>
      </c>
      <c r="M100">
        <v>1</v>
      </c>
      <c r="N100" s="56"/>
      <c r="O100" s="56"/>
      <c r="P100" s="8" t="s">
        <v>244</v>
      </c>
      <c r="Q100" s="10" t="s">
        <v>243</v>
      </c>
      <c r="R100" s="90">
        <v>0</v>
      </c>
      <c r="S100" t="s">
        <v>243</v>
      </c>
      <c r="T100">
        <v>0</v>
      </c>
    </row>
    <row r="101" spans="1:20">
      <c r="A101" s="59" t="s">
        <v>122</v>
      </c>
      <c r="B101" s="60" t="s">
        <v>112</v>
      </c>
      <c r="C101" s="61">
        <v>42590</v>
      </c>
      <c r="D101" s="60" t="s">
        <v>31</v>
      </c>
      <c r="E101" s="60" t="s">
        <v>213</v>
      </c>
      <c r="F101" s="60">
        <v>1714</v>
      </c>
      <c r="G101" s="39"/>
      <c r="H101" s="60">
        <v>0</v>
      </c>
      <c r="I101" s="60">
        <v>1</v>
      </c>
      <c r="J101" s="62">
        <v>1</v>
      </c>
      <c r="K101" s="62">
        <v>1</v>
      </c>
      <c r="L101">
        <v>674</v>
      </c>
      <c r="M101">
        <v>49</v>
      </c>
      <c r="N101" s="63"/>
      <c r="O101" s="63"/>
      <c r="P101" s="64" t="s">
        <v>243</v>
      </c>
      <c r="Q101" s="13" t="s">
        <v>243</v>
      </c>
      <c r="R101" s="90">
        <v>0</v>
      </c>
      <c r="S101" s="65" t="s">
        <v>244</v>
      </c>
      <c r="T101" s="65">
        <v>274</v>
      </c>
    </row>
    <row r="102" spans="1:20">
      <c r="A102" s="5" t="s">
        <v>121</v>
      </c>
      <c r="B102" s="6" t="s">
        <v>112</v>
      </c>
      <c r="C102" s="7">
        <v>42591</v>
      </c>
      <c r="D102" s="6" t="s">
        <v>31</v>
      </c>
      <c r="E102" s="6" t="s">
        <v>213</v>
      </c>
      <c r="F102" s="6">
        <v>812</v>
      </c>
      <c r="G102" s="39"/>
      <c r="H102" s="6">
        <v>0</v>
      </c>
      <c r="I102" s="38">
        <v>2</v>
      </c>
      <c r="J102" s="50">
        <v>0</v>
      </c>
      <c r="K102" s="50">
        <v>0</v>
      </c>
      <c r="L102">
        <v>825</v>
      </c>
      <c r="M102">
        <v>33</v>
      </c>
      <c r="N102" s="56"/>
      <c r="O102" s="56"/>
      <c r="P102" s="8" t="s">
        <v>243</v>
      </c>
      <c r="Q102" s="13" t="s">
        <v>243</v>
      </c>
      <c r="R102" s="90">
        <v>0</v>
      </c>
      <c r="S102" s="65" t="s">
        <v>243</v>
      </c>
      <c r="T102">
        <v>0</v>
      </c>
    </row>
    <row r="103" spans="1:20" s="102" customFormat="1">
      <c r="A103" s="5" t="s">
        <v>32</v>
      </c>
      <c r="B103" s="6" t="s">
        <v>22</v>
      </c>
      <c r="C103" s="7">
        <v>42593</v>
      </c>
      <c r="D103" s="6" t="s">
        <v>33</v>
      </c>
      <c r="E103" s="38" t="s">
        <v>215</v>
      </c>
      <c r="F103" s="6">
        <v>1287</v>
      </c>
      <c r="G103" s="39"/>
      <c r="H103" s="6">
        <v>0</v>
      </c>
      <c r="I103" s="38">
        <v>4</v>
      </c>
      <c r="J103" s="50">
        <v>1</v>
      </c>
      <c r="K103" s="50">
        <v>0</v>
      </c>
      <c r="L103">
        <v>213</v>
      </c>
      <c r="M103">
        <v>4</v>
      </c>
      <c r="N103" s="56"/>
      <c r="O103" s="56"/>
      <c r="P103" s="8" t="s">
        <v>243</v>
      </c>
      <c r="Q103" s="10" t="s">
        <v>243</v>
      </c>
      <c r="R103" s="90">
        <v>0</v>
      </c>
      <c r="S103" s="10" t="s">
        <v>243</v>
      </c>
      <c r="T103">
        <v>0</v>
      </c>
    </row>
    <row r="104" spans="1:20">
      <c r="A104" s="59" t="s">
        <v>239</v>
      </c>
      <c r="B104" s="60" t="s">
        <v>112</v>
      </c>
      <c r="C104" s="61">
        <v>42593</v>
      </c>
      <c r="D104" s="60" t="s">
        <v>117</v>
      </c>
      <c r="E104" s="60" t="s">
        <v>233</v>
      </c>
      <c r="F104" s="60">
        <v>855</v>
      </c>
      <c r="G104" s="39"/>
      <c r="H104" s="60">
        <v>0</v>
      </c>
      <c r="I104" s="60">
        <v>3</v>
      </c>
      <c r="J104" s="62">
        <v>1</v>
      </c>
      <c r="K104" s="62">
        <v>0</v>
      </c>
      <c r="L104">
        <v>0</v>
      </c>
      <c r="M104">
        <v>0</v>
      </c>
      <c r="N104" s="63"/>
      <c r="O104" s="63"/>
      <c r="P104" s="64" t="s">
        <v>243</v>
      </c>
      <c r="Q104" s="13" t="s">
        <v>243</v>
      </c>
      <c r="R104" s="90">
        <v>0</v>
      </c>
      <c r="S104" s="65" t="s">
        <v>244</v>
      </c>
      <c r="T104" s="65">
        <f>38+15</f>
        <v>53</v>
      </c>
    </row>
    <row r="105" spans="1:20" s="102" customFormat="1">
      <c r="A105" s="5" t="s">
        <v>118</v>
      </c>
      <c r="B105" s="6" t="s">
        <v>112</v>
      </c>
      <c r="C105" s="7">
        <v>42593</v>
      </c>
      <c r="D105" s="6" t="s">
        <v>119</v>
      </c>
      <c r="E105" s="38" t="s">
        <v>212</v>
      </c>
      <c r="F105" s="6">
        <v>277</v>
      </c>
      <c r="G105" s="39"/>
      <c r="H105" s="6">
        <v>0</v>
      </c>
      <c r="I105" s="38">
        <v>0</v>
      </c>
      <c r="J105" s="50">
        <v>1</v>
      </c>
      <c r="K105" s="50">
        <v>0</v>
      </c>
      <c r="L105">
        <v>5811</v>
      </c>
      <c r="M105">
        <v>291</v>
      </c>
      <c r="N105" s="56"/>
      <c r="O105" s="56"/>
      <c r="P105" s="8" t="s">
        <v>243</v>
      </c>
      <c r="Q105" s="13" t="s">
        <v>243</v>
      </c>
      <c r="R105" s="90">
        <v>0</v>
      </c>
      <c r="S105" t="s">
        <v>243</v>
      </c>
      <c r="T105">
        <v>0</v>
      </c>
    </row>
    <row r="106" spans="1:20">
      <c r="A106" s="75" t="s">
        <v>120</v>
      </c>
      <c r="B106" s="77" t="s">
        <v>112</v>
      </c>
      <c r="C106" s="77">
        <v>42593</v>
      </c>
      <c r="D106" s="76" t="s">
        <v>25</v>
      </c>
      <c r="E106" s="76" t="s">
        <v>211</v>
      </c>
      <c r="F106" s="76">
        <v>1420</v>
      </c>
      <c r="G106" s="76"/>
      <c r="H106" s="76">
        <v>0</v>
      </c>
      <c r="I106" s="76">
        <v>5</v>
      </c>
      <c r="J106" s="78">
        <v>1</v>
      </c>
      <c r="K106" s="78">
        <v>1</v>
      </c>
      <c r="L106">
        <v>2627</v>
      </c>
      <c r="M106">
        <v>178</v>
      </c>
      <c r="N106" s="79"/>
      <c r="O106" s="79"/>
      <c r="P106" s="80" t="s">
        <v>243</v>
      </c>
      <c r="Q106" s="94" t="s">
        <v>243</v>
      </c>
      <c r="R106" s="81">
        <v>0</v>
      </c>
      <c r="S106" s="81" t="s">
        <v>244</v>
      </c>
      <c r="T106" s="81">
        <f>287+124</f>
        <v>411</v>
      </c>
    </row>
    <row r="107" spans="1:20" s="65" customFormat="1">
      <c r="A107" s="75" t="s">
        <v>28</v>
      </c>
      <c r="B107" s="76" t="s">
        <v>22</v>
      </c>
      <c r="C107" s="77">
        <v>42597</v>
      </c>
      <c r="D107" s="76" t="s">
        <v>29</v>
      </c>
      <c r="E107" s="76" t="s">
        <v>214</v>
      </c>
      <c r="F107" s="76">
        <v>1011</v>
      </c>
      <c r="G107" s="76"/>
      <c r="H107" s="76">
        <v>0</v>
      </c>
      <c r="I107" s="76">
        <v>7</v>
      </c>
      <c r="J107" s="78">
        <v>1</v>
      </c>
      <c r="K107" s="78">
        <v>1</v>
      </c>
      <c r="L107">
        <v>245</v>
      </c>
      <c r="M107">
        <v>4</v>
      </c>
      <c r="N107" s="79"/>
      <c r="O107" s="79"/>
      <c r="P107" s="80" t="s">
        <v>244</v>
      </c>
      <c r="Q107" s="94" t="s">
        <v>243</v>
      </c>
      <c r="R107" s="81">
        <v>0</v>
      </c>
      <c r="S107" s="81" t="s">
        <v>244</v>
      </c>
      <c r="T107" s="81">
        <v>200</v>
      </c>
    </row>
    <row r="108" spans="1:20">
      <c r="A108" s="75" t="s">
        <v>30</v>
      </c>
      <c r="B108" s="76" t="s">
        <v>22</v>
      </c>
      <c r="C108" s="77">
        <v>42597</v>
      </c>
      <c r="D108" s="76" t="s">
        <v>31</v>
      </c>
      <c r="E108" s="76" t="s">
        <v>213</v>
      </c>
      <c r="F108" s="76">
        <v>4121</v>
      </c>
      <c r="G108" s="76"/>
      <c r="H108" s="76">
        <v>0</v>
      </c>
      <c r="I108" s="76">
        <v>8</v>
      </c>
      <c r="J108" s="78">
        <v>1</v>
      </c>
      <c r="K108" s="78">
        <v>5</v>
      </c>
      <c r="L108">
        <v>1071</v>
      </c>
      <c r="M108">
        <v>87</v>
      </c>
      <c r="N108" s="79"/>
      <c r="O108" s="79"/>
      <c r="P108" s="80" t="s">
        <v>243</v>
      </c>
      <c r="Q108" s="94" t="s">
        <v>244</v>
      </c>
      <c r="R108" s="81">
        <v>179</v>
      </c>
      <c r="S108" s="81" t="s">
        <v>244</v>
      </c>
      <c r="T108" s="81">
        <v>885</v>
      </c>
    </row>
    <row r="109" spans="1:20" s="65" customFormat="1">
      <c r="A109" s="5" t="s">
        <v>114</v>
      </c>
      <c r="B109" s="6" t="s">
        <v>112</v>
      </c>
      <c r="C109" s="7">
        <v>42598</v>
      </c>
      <c r="D109" s="6" t="s">
        <v>115</v>
      </c>
      <c r="E109" s="38" t="s">
        <v>232</v>
      </c>
      <c r="F109" s="6">
        <v>269</v>
      </c>
      <c r="G109" s="39"/>
      <c r="H109" s="6">
        <v>0</v>
      </c>
      <c r="I109" s="38">
        <v>0</v>
      </c>
      <c r="J109" s="50">
        <v>0</v>
      </c>
      <c r="K109" s="50">
        <v>0</v>
      </c>
      <c r="L109">
        <v>0</v>
      </c>
      <c r="M109">
        <v>0</v>
      </c>
      <c r="N109" s="56"/>
      <c r="O109" s="56"/>
      <c r="P109" s="8" t="s">
        <v>243</v>
      </c>
      <c r="Q109" s="13" t="s">
        <v>243</v>
      </c>
      <c r="R109" s="90">
        <v>0</v>
      </c>
      <c r="S109" t="s">
        <v>243</v>
      </c>
      <c r="T109">
        <v>0</v>
      </c>
    </row>
    <row r="110" spans="1:20">
      <c r="A110" s="5" t="s">
        <v>26</v>
      </c>
      <c r="B110" s="6" t="s">
        <v>22</v>
      </c>
      <c r="C110" s="7">
        <v>42599</v>
      </c>
      <c r="D110" s="6" t="s">
        <v>27</v>
      </c>
      <c r="E110" s="6" t="s">
        <v>212</v>
      </c>
      <c r="F110" s="6">
        <v>647</v>
      </c>
      <c r="G110" s="39"/>
      <c r="H110" s="6">
        <v>0</v>
      </c>
      <c r="I110" s="38">
        <v>5</v>
      </c>
      <c r="J110" s="50">
        <v>1</v>
      </c>
      <c r="K110" s="50">
        <v>1</v>
      </c>
      <c r="L110">
        <v>146</v>
      </c>
      <c r="M110">
        <v>4</v>
      </c>
      <c r="N110" s="56"/>
      <c r="O110" s="56"/>
      <c r="P110" s="8" t="s">
        <v>244</v>
      </c>
      <c r="Q110" s="10" t="s">
        <v>243</v>
      </c>
      <c r="R110" s="90">
        <v>0</v>
      </c>
      <c r="S110" s="11" t="s">
        <v>243</v>
      </c>
      <c r="T110">
        <v>0</v>
      </c>
    </row>
    <row r="111" spans="1:20" s="81" customFormat="1">
      <c r="A111" s="5" t="s">
        <v>21</v>
      </c>
      <c r="B111" s="6" t="s">
        <v>22</v>
      </c>
      <c r="C111" s="7">
        <v>42600</v>
      </c>
      <c r="D111" s="6" t="s">
        <v>23</v>
      </c>
      <c r="E111" s="6" t="s">
        <v>210</v>
      </c>
      <c r="F111" s="6">
        <v>974</v>
      </c>
      <c r="G111" s="39"/>
      <c r="H111" s="6">
        <v>0</v>
      </c>
      <c r="I111" s="38">
        <v>4</v>
      </c>
      <c r="J111" s="50">
        <v>1</v>
      </c>
      <c r="K111" s="50">
        <v>2</v>
      </c>
      <c r="L111">
        <v>179</v>
      </c>
      <c r="M111">
        <v>1</v>
      </c>
      <c r="N111" s="56"/>
      <c r="O111" s="56"/>
      <c r="P111" s="8" t="s">
        <v>243</v>
      </c>
      <c r="Q111" s="10" t="s">
        <v>243</v>
      </c>
      <c r="R111" s="90">
        <v>0</v>
      </c>
      <c r="S111" s="11" t="s">
        <v>243</v>
      </c>
      <c r="T111">
        <v>0</v>
      </c>
    </row>
    <row r="112" spans="1:20">
      <c r="A112" s="75" t="s">
        <v>24</v>
      </c>
      <c r="B112" s="76" t="s">
        <v>22</v>
      </c>
      <c r="C112" s="77">
        <v>42600</v>
      </c>
      <c r="D112" s="76" t="s">
        <v>25</v>
      </c>
      <c r="E112" s="76" t="s">
        <v>211</v>
      </c>
      <c r="F112" s="76">
        <v>845</v>
      </c>
      <c r="G112" s="76"/>
      <c r="H112" s="76">
        <v>0</v>
      </c>
      <c r="I112" s="76">
        <v>5</v>
      </c>
      <c r="J112" s="78">
        <v>1</v>
      </c>
      <c r="K112" s="78">
        <v>0</v>
      </c>
      <c r="L112">
        <v>2414</v>
      </c>
      <c r="M112">
        <v>141</v>
      </c>
      <c r="N112" s="79"/>
      <c r="O112" s="79"/>
      <c r="P112" s="80" t="s">
        <v>244</v>
      </c>
      <c r="Q112" s="94" t="s">
        <v>243</v>
      </c>
      <c r="R112" s="81">
        <v>0</v>
      </c>
      <c r="S112" s="81" t="s">
        <v>244</v>
      </c>
      <c r="T112" s="81">
        <v>213</v>
      </c>
    </row>
    <row r="113" spans="1:20" s="88" customFormat="1">
      <c r="A113" s="82" t="s">
        <v>113</v>
      </c>
      <c r="B113" s="83" t="s">
        <v>112</v>
      </c>
      <c r="C113" s="84">
        <v>42601</v>
      </c>
      <c r="D113" s="83" t="s">
        <v>31</v>
      </c>
      <c r="E113" s="83" t="s">
        <v>213</v>
      </c>
      <c r="F113" s="83">
        <v>899</v>
      </c>
      <c r="G113" s="83"/>
      <c r="H113" s="83">
        <v>0</v>
      </c>
      <c r="I113" s="83">
        <v>1</v>
      </c>
      <c r="J113" s="85">
        <v>0</v>
      </c>
      <c r="K113" s="85">
        <v>0</v>
      </c>
      <c r="L113">
        <v>0</v>
      </c>
      <c r="M113">
        <v>0</v>
      </c>
      <c r="N113" s="86"/>
      <c r="O113" s="86"/>
      <c r="P113" s="87" t="s">
        <v>243</v>
      </c>
      <c r="Q113" s="89" t="s">
        <v>243</v>
      </c>
      <c r="R113" s="88">
        <v>0</v>
      </c>
      <c r="S113" s="88" t="s">
        <v>244</v>
      </c>
      <c r="T113" s="88">
        <v>326</v>
      </c>
    </row>
    <row r="114" spans="1:20" s="65" customFormat="1" ht="16.5" thickBot="1">
      <c r="A114" s="67" t="s">
        <v>111</v>
      </c>
      <c r="B114" s="68" t="s">
        <v>112</v>
      </c>
      <c r="C114" s="69">
        <v>42604</v>
      </c>
      <c r="D114" s="68" t="s">
        <v>31</v>
      </c>
      <c r="E114" s="68" t="s">
        <v>213</v>
      </c>
      <c r="F114" s="68">
        <v>1152</v>
      </c>
      <c r="G114" s="92"/>
      <c r="H114" s="68">
        <v>0</v>
      </c>
      <c r="I114" s="68">
        <v>4</v>
      </c>
      <c r="J114" s="70">
        <v>1</v>
      </c>
      <c r="K114" s="70">
        <v>1</v>
      </c>
      <c r="L114">
        <v>649</v>
      </c>
      <c r="M114">
        <v>30</v>
      </c>
      <c r="N114" s="71"/>
      <c r="O114" s="71"/>
      <c r="P114" s="72" t="s">
        <v>243</v>
      </c>
      <c r="Q114" s="13" t="s">
        <v>243</v>
      </c>
      <c r="R114" s="90">
        <v>0</v>
      </c>
      <c r="S114" s="65" t="s">
        <v>244</v>
      </c>
      <c r="T114" s="65">
        <f>58</f>
        <v>58</v>
      </c>
    </row>
    <row r="115" spans="1:20">
      <c r="G115" s="90"/>
      <c r="Q115" s="90"/>
    </row>
    <row r="116" spans="1:20">
      <c r="G116" s="90"/>
      <c r="Q116" s="90"/>
    </row>
    <row r="118" spans="1:20">
      <c r="K118" s="53">
        <v>42604</v>
      </c>
    </row>
  </sheetData>
  <sortState ref="A2:S115">
    <sortCondition ref="C2:C1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E1" workbookViewId="0">
      <pane ySplit="1" topLeftCell="A2" activePane="bottomLeft" state="frozen"/>
      <selection pane="bottomLeft" activeCell="K1" sqref="K1:K1048576"/>
    </sheetView>
  </sheetViews>
  <sheetFormatPr defaultRowHeight="15.75"/>
  <cols>
    <col min="1" max="1" width="65.125" customWidth="1"/>
    <col min="2" max="2" width="7.375" bestFit="1" customWidth="1"/>
    <col min="3" max="3" width="36.875" bestFit="1" customWidth="1"/>
    <col min="4" max="4" width="13.625" bestFit="1" customWidth="1"/>
    <col min="12" max="12" width="40" style="12" customWidth="1"/>
  </cols>
  <sheetData>
    <row r="1" spans="1:12" ht="16.5" thickBot="1">
      <c r="A1" s="26" t="s">
        <v>310</v>
      </c>
      <c r="B1" s="45" t="s">
        <v>2</v>
      </c>
      <c r="C1" s="45" t="s">
        <v>3</v>
      </c>
      <c r="D1" t="s">
        <v>309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s="103" t="s">
        <v>310</v>
      </c>
    </row>
    <row r="2" spans="1:12">
      <c r="A2" s="40" t="s">
        <v>242</v>
      </c>
      <c r="B2" s="41">
        <v>42506</v>
      </c>
      <c r="C2" s="32" t="s">
        <v>203</v>
      </c>
      <c r="J2">
        <v>0</v>
      </c>
      <c r="K2">
        <f>E2+G2+I2</f>
        <v>0</v>
      </c>
      <c r="L2" s="104" t="s">
        <v>242</v>
      </c>
    </row>
    <row r="3" spans="1:12">
      <c r="A3" s="5" t="s">
        <v>97</v>
      </c>
      <c r="B3" s="7">
        <v>42507</v>
      </c>
      <c r="C3" s="6" t="s">
        <v>27</v>
      </c>
      <c r="J3">
        <v>0</v>
      </c>
      <c r="K3">
        <f t="shared" ref="K3:K66" si="0">E3+G3+I3</f>
        <v>0</v>
      </c>
      <c r="L3" s="15" t="s">
        <v>97</v>
      </c>
    </row>
    <row r="4" spans="1:12">
      <c r="A4" s="5" t="s">
        <v>199</v>
      </c>
      <c r="B4" s="7">
        <v>42507</v>
      </c>
      <c r="C4" s="6" t="s">
        <v>200</v>
      </c>
      <c r="D4">
        <v>2667</v>
      </c>
      <c r="E4">
        <v>402</v>
      </c>
      <c r="J4">
        <v>2667</v>
      </c>
      <c r="K4">
        <f t="shared" si="0"/>
        <v>402</v>
      </c>
      <c r="L4" s="15" t="s">
        <v>199</v>
      </c>
    </row>
    <row r="5" spans="1:12">
      <c r="A5" s="5" t="s">
        <v>201</v>
      </c>
      <c r="B5" s="7">
        <v>42507</v>
      </c>
      <c r="C5" s="6" t="s">
        <v>153</v>
      </c>
      <c r="J5">
        <v>0</v>
      </c>
      <c r="K5">
        <f t="shared" si="0"/>
        <v>0</v>
      </c>
      <c r="L5" s="15" t="s">
        <v>201</v>
      </c>
    </row>
    <row r="6" spans="1:12">
      <c r="A6" s="5" t="s">
        <v>195</v>
      </c>
      <c r="B6" s="7">
        <v>42508</v>
      </c>
      <c r="C6" s="6" t="s">
        <v>196</v>
      </c>
      <c r="D6">
        <v>3896</v>
      </c>
      <c r="E6">
        <v>504</v>
      </c>
      <c r="H6">
        <v>353</v>
      </c>
      <c r="I6">
        <v>0</v>
      </c>
      <c r="J6">
        <f>D6+F6+H6</f>
        <v>4249</v>
      </c>
      <c r="K6">
        <f t="shared" si="0"/>
        <v>504</v>
      </c>
      <c r="L6" s="15" t="s">
        <v>195</v>
      </c>
    </row>
    <row r="7" spans="1:12">
      <c r="A7" s="5" t="s">
        <v>197</v>
      </c>
      <c r="B7" s="7">
        <v>42508</v>
      </c>
      <c r="C7" s="6" t="s">
        <v>198</v>
      </c>
      <c r="D7">
        <v>8261</v>
      </c>
      <c r="E7">
        <v>189</v>
      </c>
      <c r="J7">
        <f>D7+F7+H7</f>
        <v>8261</v>
      </c>
      <c r="K7">
        <f t="shared" si="0"/>
        <v>189</v>
      </c>
      <c r="L7" s="15" t="s">
        <v>197</v>
      </c>
    </row>
    <row r="8" spans="1:12">
      <c r="A8" s="5" t="s">
        <v>96</v>
      </c>
      <c r="B8" s="7">
        <v>42509</v>
      </c>
      <c r="C8" s="6" t="s">
        <v>23</v>
      </c>
      <c r="D8">
        <v>305</v>
      </c>
      <c r="E8">
        <v>29</v>
      </c>
      <c r="J8">
        <f t="shared" ref="J8:J71" si="1">D8+F8+H8</f>
        <v>305</v>
      </c>
      <c r="K8">
        <f t="shared" si="0"/>
        <v>29</v>
      </c>
      <c r="L8" s="15" t="s">
        <v>96</v>
      </c>
    </row>
    <row r="9" spans="1:12">
      <c r="A9" s="5" t="s">
        <v>194</v>
      </c>
      <c r="B9" s="7">
        <v>42509</v>
      </c>
      <c r="C9" s="6" t="s">
        <v>31</v>
      </c>
      <c r="H9">
        <v>860</v>
      </c>
      <c r="I9">
        <v>2</v>
      </c>
      <c r="J9">
        <f t="shared" si="1"/>
        <v>860</v>
      </c>
      <c r="K9">
        <f t="shared" si="0"/>
        <v>2</v>
      </c>
      <c r="L9" s="15" t="s">
        <v>194</v>
      </c>
    </row>
    <row r="10" spans="1:12">
      <c r="A10" s="5" t="s">
        <v>94</v>
      </c>
      <c r="B10" s="7">
        <v>42510</v>
      </c>
      <c r="C10" s="6" t="s">
        <v>95</v>
      </c>
      <c r="D10">
        <v>6405</v>
      </c>
      <c r="E10">
        <v>193</v>
      </c>
      <c r="J10">
        <f t="shared" si="1"/>
        <v>6405</v>
      </c>
      <c r="K10">
        <f t="shared" si="0"/>
        <v>193</v>
      </c>
      <c r="L10" s="15" t="s">
        <v>94</v>
      </c>
    </row>
    <row r="11" spans="1:12">
      <c r="A11" s="5" t="s">
        <v>192</v>
      </c>
      <c r="B11" s="7">
        <v>42510</v>
      </c>
      <c r="C11" s="6" t="s">
        <v>193</v>
      </c>
      <c r="J11">
        <f t="shared" si="1"/>
        <v>0</v>
      </c>
      <c r="K11">
        <f t="shared" si="0"/>
        <v>0</v>
      </c>
      <c r="L11" s="15" t="s">
        <v>192</v>
      </c>
    </row>
    <row r="12" spans="1:12">
      <c r="A12" s="5" t="s">
        <v>93</v>
      </c>
      <c r="B12" s="7">
        <v>42513</v>
      </c>
      <c r="C12" s="6" t="s">
        <v>31</v>
      </c>
      <c r="J12">
        <f t="shared" si="1"/>
        <v>0</v>
      </c>
      <c r="K12">
        <f t="shared" si="0"/>
        <v>0</v>
      </c>
      <c r="L12" s="15" t="s">
        <v>93</v>
      </c>
    </row>
    <row r="13" spans="1:12">
      <c r="A13" s="5" t="s">
        <v>190</v>
      </c>
      <c r="B13" s="7">
        <v>42513</v>
      </c>
      <c r="C13" s="6" t="s">
        <v>191</v>
      </c>
      <c r="D13">
        <v>2214</v>
      </c>
      <c r="E13">
        <v>35</v>
      </c>
      <c r="H13">
        <v>361</v>
      </c>
      <c r="I13">
        <v>1</v>
      </c>
      <c r="J13">
        <f t="shared" si="1"/>
        <v>2575</v>
      </c>
      <c r="K13">
        <f t="shared" si="0"/>
        <v>36</v>
      </c>
      <c r="L13" s="15" t="s">
        <v>190</v>
      </c>
    </row>
    <row r="14" spans="1:12">
      <c r="A14" s="5" t="s">
        <v>188</v>
      </c>
      <c r="B14" s="7">
        <v>42514</v>
      </c>
      <c r="C14" s="6" t="s">
        <v>189</v>
      </c>
      <c r="J14">
        <f t="shared" si="1"/>
        <v>0</v>
      </c>
      <c r="K14">
        <f t="shared" si="0"/>
        <v>0</v>
      </c>
      <c r="L14" s="15" t="s">
        <v>188</v>
      </c>
    </row>
    <row r="15" spans="1:12">
      <c r="A15" s="5" t="s">
        <v>91</v>
      </c>
      <c r="B15" s="7">
        <v>42515</v>
      </c>
      <c r="C15" s="6" t="s">
        <v>92</v>
      </c>
      <c r="J15">
        <f t="shared" si="1"/>
        <v>0</v>
      </c>
      <c r="K15">
        <f t="shared" si="0"/>
        <v>0</v>
      </c>
      <c r="L15" s="15" t="s">
        <v>91</v>
      </c>
    </row>
    <row r="16" spans="1:12">
      <c r="A16" s="5" t="s">
        <v>187</v>
      </c>
      <c r="B16" s="7">
        <v>42515</v>
      </c>
      <c r="C16" s="6" t="s">
        <v>84</v>
      </c>
      <c r="J16">
        <f t="shared" si="1"/>
        <v>0</v>
      </c>
      <c r="K16">
        <f t="shared" si="0"/>
        <v>0</v>
      </c>
      <c r="L16" s="15" t="s">
        <v>187</v>
      </c>
    </row>
    <row r="17" spans="1:12">
      <c r="A17" s="5" t="s">
        <v>87</v>
      </c>
      <c r="B17" s="7">
        <v>42516</v>
      </c>
      <c r="C17" s="6" t="s">
        <v>88</v>
      </c>
      <c r="J17">
        <f t="shared" si="1"/>
        <v>0</v>
      </c>
      <c r="K17">
        <f t="shared" si="0"/>
        <v>0</v>
      </c>
      <c r="L17" s="15" t="s">
        <v>87</v>
      </c>
    </row>
    <row r="18" spans="1:12">
      <c r="A18" s="5" t="s">
        <v>89</v>
      </c>
      <c r="B18" s="7">
        <v>42516</v>
      </c>
      <c r="C18" s="6" t="s">
        <v>90</v>
      </c>
      <c r="J18">
        <f t="shared" si="1"/>
        <v>0</v>
      </c>
      <c r="K18">
        <f t="shared" si="0"/>
        <v>0</v>
      </c>
      <c r="L18" s="15" t="s">
        <v>89</v>
      </c>
    </row>
    <row r="19" spans="1:12">
      <c r="A19" s="5" t="s">
        <v>186</v>
      </c>
      <c r="B19" s="7">
        <v>42516</v>
      </c>
      <c r="C19" s="6" t="s">
        <v>31</v>
      </c>
      <c r="J19">
        <f t="shared" si="1"/>
        <v>0</v>
      </c>
      <c r="K19">
        <f t="shared" si="0"/>
        <v>0</v>
      </c>
      <c r="L19" s="15" t="s">
        <v>186</v>
      </c>
    </row>
    <row r="20" spans="1:12">
      <c r="A20" s="5" t="s">
        <v>240</v>
      </c>
      <c r="B20" s="7">
        <v>42523</v>
      </c>
      <c r="C20" s="6" t="s">
        <v>57</v>
      </c>
      <c r="J20">
        <f t="shared" si="1"/>
        <v>0</v>
      </c>
      <c r="K20">
        <f t="shared" si="0"/>
        <v>0</v>
      </c>
      <c r="L20" s="15" t="s">
        <v>240</v>
      </c>
    </row>
    <row r="21" spans="1:12">
      <c r="A21" s="5" t="s">
        <v>184</v>
      </c>
      <c r="B21" s="7">
        <v>42523</v>
      </c>
      <c r="C21" s="6" t="s">
        <v>185</v>
      </c>
      <c r="J21">
        <f t="shared" si="1"/>
        <v>0</v>
      </c>
      <c r="K21">
        <f t="shared" si="0"/>
        <v>0</v>
      </c>
      <c r="L21" s="15" t="s">
        <v>184</v>
      </c>
    </row>
    <row r="22" spans="1:12">
      <c r="A22" s="5" t="s">
        <v>181</v>
      </c>
      <c r="B22" s="7">
        <v>42524</v>
      </c>
      <c r="C22" s="6" t="s">
        <v>182</v>
      </c>
      <c r="J22">
        <f t="shared" si="1"/>
        <v>0</v>
      </c>
      <c r="K22">
        <f t="shared" si="0"/>
        <v>0</v>
      </c>
      <c r="L22" s="15" t="s">
        <v>181</v>
      </c>
    </row>
    <row r="23" spans="1:12">
      <c r="A23" s="5" t="s">
        <v>110</v>
      </c>
      <c r="B23" s="7">
        <v>42527</v>
      </c>
      <c r="C23" s="6" t="s">
        <v>102</v>
      </c>
      <c r="H23">
        <v>172</v>
      </c>
      <c r="I23">
        <v>0</v>
      </c>
      <c r="J23">
        <f t="shared" si="1"/>
        <v>172</v>
      </c>
      <c r="K23">
        <f t="shared" si="0"/>
        <v>0</v>
      </c>
      <c r="L23" s="15" t="s">
        <v>110</v>
      </c>
    </row>
    <row r="24" spans="1:12">
      <c r="A24" s="5" t="s">
        <v>86</v>
      </c>
      <c r="B24" s="7">
        <v>42528</v>
      </c>
      <c r="C24" s="6" t="s">
        <v>25</v>
      </c>
      <c r="J24">
        <f t="shared" si="1"/>
        <v>0</v>
      </c>
      <c r="K24">
        <f t="shared" si="0"/>
        <v>0</v>
      </c>
      <c r="L24" s="15" t="s">
        <v>86</v>
      </c>
    </row>
    <row r="25" spans="1:12">
      <c r="A25" s="5" t="s">
        <v>179</v>
      </c>
      <c r="B25" s="7">
        <v>42528</v>
      </c>
      <c r="C25" s="6" t="s">
        <v>180</v>
      </c>
      <c r="J25">
        <f t="shared" si="1"/>
        <v>0</v>
      </c>
      <c r="K25">
        <f t="shared" si="0"/>
        <v>0</v>
      </c>
      <c r="L25" s="15" t="s">
        <v>179</v>
      </c>
    </row>
    <row r="26" spans="1:12">
      <c r="A26" s="5" t="s">
        <v>81</v>
      </c>
      <c r="B26" s="7">
        <v>42530</v>
      </c>
      <c r="C26" s="6" t="s">
        <v>82</v>
      </c>
      <c r="J26">
        <f t="shared" si="1"/>
        <v>0</v>
      </c>
      <c r="K26">
        <f t="shared" si="0"/>
        <v>0</v>
      </c>
      <c r="L26" s="15" t="s">
        <v>81</v>
      </c>
    </row>
    <row r="27" spans="1:12">
      <c r="A27" s="5" t="s">
        <v>83</v>
      </c>
      <c r="B27" s="7">
        <v>42530</v>
      </c>
      <c r="C27" s="6" t="s">
        <v>84</v>
      </c>
      <c r="J27">
        <f t="shared" si="1"/>
        <v>0</v>
      </c>
      <c r="K27">
        <f t="shared" si="0"/>
        <v>0</v>
      </c>
      <c r="L27" s="15" t="s">
        <v>83</v>
      </c>
    </row>
    <row r="28" spans="1:12">
      <c r="A28" s="5" t="s">
        <v>85</v>
      </c>
      <c r="B28" s="7">
        <v>42530</v>
      </c>
      <c r="C28" s="6" t="s">
        <v>31</v>
      </c>
      <c r="F28">
        <v>758</v>
      </c>
      <c r="G28">
        <v>31</v>
      </c>
      <c r="J28">
        <f t="shared" si="1"/>
        <v>758</v>
      </c>
      <c r="K28">
        <f t="shared" si="0"/>
        <v>31</v>
      </c>
      <c r="L28" s="15" t="s">
        <v>85</v>
      </c>
    </row>
    <row r="29" spans="1:12">
      <c r="A29" s="5" t="s">
        <v>79</v>
      </c>
      <c r="B29" s="7">
        <v>42531</v>
      </c>
      <c r="C29" s="6" t="s">
        <v>80</v>
      </c>
      <c r="J29">
        <f t="shared" si="1"/>
        <v>0</v>
      </c>
      <c r="K29">
        <f t="shared" si="0"/>
        <v>0</v>
      </c>
      <c r="L29" s="15" t="s">
        <v>79</v>
      </c>
    </row>
    <row r="30" spans="1:12">
      <c r="A30" s="5" t="s">
        <v>78</v>
      </c>
      <c r="B30" s="7">
        <v>42534</v>
      </c>
      <c r="C30" s="6" t="s">
        <v>31</v>
      </c>
      <c r="F30">
        <v>937</v>
      </c>
      <c r="G30">
        <v>77</v>
      </c>
      <c r="J30">
        <f t="shared" si="1"/>
        <v>937</v>
      </c>
      <c r="K30">
        <f t="shared" si="0"/>
        <v>77</v>
      </c>
      <c r="L30" s="15" t="s">
        <v>78</v>
      </c>
    </row>
    <row r="31" spans="1:12">
      <c r="A31" s="5" t="s">
        <v>177</v>
      </c>
      <c r="B31" s="7">
        <v>42535</v>
      </c>
      <c r="C31" s="6" t="s">
        <v>178</v>
      </c>
      <c r="J31">
        <f t="shared" si="1"/>
        <v>0</v>
      </c>
      <c r="K31">
        <f t="shared" si="0"/>
        <v>0</v>
      </c>
      <c r="L31" s="15" t="s">
        <v>177</v>
      </c>
    </row>
    <row r="32" spans="1:12">
      <c r="A32" s="5" t="s">
        <v>174</v>
      </c>
      <c r="B32" s="7">
        <v>42536</v>
      </c>
      <c r="C32" s="6" t="s">
        <v>175</v>
      </c>
      <c r="J32">
        <f t="shared" si="1"/>
        <v>0</v>
      </c>
      <c r="K32">
        <f t="shared" si="0"/>
        <v>0</v>
      </c>
      <c r="L32" s="15" t="s">
        <v>174</v>
      </c>
    </row>
    <row r="33" spans="1:12">
      <c r="A33" s="5" t="s">
        <v>176</v>
      </c>
      <c r="B33" s="7">
        <v>42536</v>
      </c>
      <c r="C33" s="6" t="s">
        <v>31</v>
      </c>
      <c r="F33">
        <v>903</v>
      </c>
      <c r="G33">
        <v>1315</v>
      </c>
      <c r="J33">
        <f t="shared" si="1"/>
        <v>903</v>
      </c>
      <c r="K33">
        <f t="shared" si="0"/>
        <v>1315</v>
      </c>
      <c r="L33" s="15" t="s">
        <v>176</v>
      </c>
    </row>
    <row r="34" spans="1:12">
      <c r="A34" s="5" t="s">
        <v>76</v>
      </c>
      <c r="B34" s="7">
        <v>42541</v>
      </c>
      <c r="C34" s="6" t="s">
        <v>77</v>
      </c>
      <c r="J34">
        <f t="shared" si="1"/>
        <v>0</v>
      </c>
      <c r="K34">
        <f t="shared" si="0"/>
        <v>0</v>
      </c>
      <c r="L34" s="15" t="s">
        <v>76</v>
      </c>
    </row>
    <row r="35" spans="1:12">
      <c r="A35" s="5" t="s">
        <v>173</v>
      </c>
      <c r="B35" s="7">
        <v>42542</v>
      </c>
      <c r="C35" s="6" t="s">
        <v>109</v>
      </c>
      <c r="J35">
        <f t="shared" si="1"/>
        <v>0</v>
      </c>
      <c r="K35">
        <f t="shared" si="0"/>
        <v>0</v>
      </c>
      <c r="L35" s="15" t="s">
        <v>173</v>
      </c>
    </row>
    <row r="36" spans="1:12">
      <c r="A36" s="5" t="s">
        <v>75</v>
      </c>
      <c r="B36" s="7">
        <v>42543</v>
      </c>
      <c r="C36" s="6" t="s">
        <v>64</v>
      </c>
      <c r="D36">
        <v>2056</v>
      </c>
      <c r="E36">
        <v>130</v>
      </c>
      <c r="H36">
        <v>286</v>
      </c>
      <c r="I36">
        <v>1</v>
      </c>
      <c r="J36">
        <f t="shared" si="1"/>
        <v>2342</v>
      </c>
      <c r="K36">
        <f t="shared" si="0"/>
        <v>131</v>
      </c>
      <c r="L36" s="15" t="s">
        <v>75</v>
      </c>
    </row>
    <row r="37" spans="1:12">
      <c r="A37" s="5" t="s">
        <v>73</v>
      </c>
      <c r="B37" s="7">
        <v>42544</v>
      </c>
      <c r="C37" s="6" t="s">
        <v>46</v>
      </c>
      <c r="J37">
        <f t="shared" si="1"/>
        <v>0</v>
      </c>
      <c r="K37">
        <f t="shared" si="0"/>
        <v>0</v>
      </c>
      <c r="L37" s="15" t="s">
        <v>73</v>
      </c>
    </row>
    <row r="38" spans="1:12">
      <c r="A38" s="5" t="s">
        <v>74</v>
      </c>
      <c r="B38" s="7">
        <v>42544</v>
      </c>
      <c r="C38" s="6" t="s">
        <v>31</v>
      </c>
      <c r="F38">
        <v>1009</v>
      </c>
      <c r="G38">
        <v>50</v>
      </c>
      <c r="H38">
        <v>216</v>
      </c>
      <c r="I38">
        <v>5</v>
      </c>
      <c r="J38">
        <f t="shared" si="1"/>
        <v>1225</v>
      </c>
      <c r="K38">
        <f t="shared" si="0"/>
        <v>55</v>
      </c>
      <c r="L38" s="15" t="s">
        <v>74</v>
      </c>
    </row>
    <row r="39" spans="1:12">
      <c r="A39" s="5" t="s">
        <v>71</v>
      </c>
      <c r="B39" s="7">
        <v>42545</v>
      </c>
      <c r="C39" s="6" t="s">
        <v>72</v>
      </c>
      <c r="H39">
        <v>162</v>
      </c>
      <c r="I39">
        <v>2</v>
      </c>
      <c r="J39">
        <f t="shared" si="1"/>
        <v>162</v>
      </c>
      <c r="K39">
        <f t="shared" si="0"/>
        <v>2</v>
      </c>
      <c r="L39" s="15" t="s">
        <v>71</v>
      </c>
    </row>
    <row r="40" spans="1:12">
      <c r="A40" s="5" t="s">
        <v>69</v>
      </c>
      <c r="B40" s="7">
        <v>42548</v>
      </c>
      <c r="C40" s="6" t="s">
        <v>70</v>
      </c>
      <c r="J40">
        <f t="shared" si="1"/>
        <v>0</v>
      </c>
      <c r="K40">
        <f t="shared" si="0"/>
        <v>0</v>
      </c>
      <c r="L40" s="15" t="s">
        <v>69</v>
      </c>
    </row>
    <row r="41" spans="1:12">
      <c r="A41" s="5" t="s">
        <v>108</v>
      </c>
      <c r="B41" s="7">
        <v>42548</v>
      </c>
      <c r="C41" s="6" t="s">
        <v>109</v>
      </c>
      <c r="D41">
        <v>2344</v>
      </c>
      <c r="E41">
        <v>202</v>
      </c>
      <c r="J41">
        <f t="shared" si="1"/>
        <v>2344</v>
      </c>
      <c r="K41">
        <f t="shared" si="0"/>
        <v>202</v>
      </c>
      <c r="L41" s="15" t="s">
        <v>108</v>
      </c>
    </row>
    <row r="42" spans="1:12">
      <c r="A42" s="5" t="s">
        <v>63</v>
      </c>
      <c r="B42" s="7">
        <v>42550</v>
      </c>
      <c r="C42" s="6" t="s">
        <v>64</v>
      </c>
      <c r="H42">
        <v>255</v>
      </c>
      <c r="I42">
        <v>11</v>
      </c>
      <c r="J42">
        <f t="shared" si="1"/>
        <v>255</v>
      </c>
      <c r="K42">
        <f t="shared" si="0"/>
        <v>11</v>
      </c>
      <c r="L42" s="15" t="s">
        <v>63</v>
      </c>
    </row>
    <row r="43" spans="1:12">
      <c r="A43" s="5" t="s">
        <v>65</v>
      </c>
      <c r="B43" s="7">
        <v>42550</v>
      </c>
      <c r="C43" s="6" t="s">
        <v>66</v>
      </c>
      <c r="J43">
        <f t="shared" si="1"/>
        <v>0</v>
      </c>
      <c r="K43">
        <f t="shared" si="0"/>
        <v>0</v>
      </c>
      <c r="L43" s="15" t="s">
        <v>65</v>
      </c>
    </row>
    <row r="44" spans="1:12">
      <c r="A44" s="5" t="s">
        <v>67</v>
      </c>
      <c r="B44" s="7">
        <v>42550</v>
      </c>
      <c r="C44" s="6" t="s">
        <v>68</v>
      </c>
      <c r="J44">
        <f t="shared" si="1"/>
        <v>0</v>
      </c>
      <c r="K44">
        <f t="shared" si="0"/>
        <v>0</v>
      </c>
      <c r="L44" s="15" t="s">
        <v>67</v>
      </c>
    </row>
    <row r="45" spans="1:12">
      <c r="A45" s="5" t="s">
        <v>106</v>
      </c>
      <c r="B45" s="7">
        <v>42550</v>
      </c>
      <c r="C45" s="6" t="s">
        <v>107</v>
      </c>
      <c r="H45">
        <v>238</v>
      </c>
      <c r="I45">
        <v>2</v>
      </c>
      <c r="J45">
        <f t="shared" si="1"/>
        <v>238</v>
      </c>
      <c r="K45">
        <f t="shared" si="0"/>
        <v>2</v>
      </c>
      <c r="L45" s="15" t="s">
        <v>106</v>
      </c>
    </row>
    <row r="46" spans="1:12">
      <c r="A46" s="5" t="s">
        <v>169</v>
      </c>
      <c r="B46" s="7">
        <v>42550</v>
      </c>
      <c r="C46" s="6" t="s">
        <v>170</v>
      </c>
      <c r="J46">
        <f t="shared" si="1"/>
        <v>0</v>
      </c>
      <c r="K46">
        <f t="shared" si="0"/>
        <v>0</v>
      </c>
      <c r="L46" s="15" t="s">
        <v>169</v>
      </c>
    </row>
    <row r="47" spans="1:12">
      <c r="A47" s="5" t="s">
        <v>171</v>
      </c>
      <c r="B47" s="7">
        <v>42550</v>
      </c>
      <c r="C47" s="6" t="s">
        <v>172</v>
      </c>
      <c r="D47">
        <v>4263</v>
      </c>
      <c r="E47">
        <v>106</v>
      </c>
      <c r="J47">
        <f t="shared" si="1"/>
        <v>4263</v>
      </c>
      <c r="K47">
        <f t="shared" si="0"/>
        <v>106</v>
      </c>
      <c r="L47" s="15" t="s">
        <v>171</v>
      </c>
    </row>
    <row r="48" spans="1:12">
      <c r="A48" s="5" t="s">
        <v>165</v>
      </c>
      <c r="B48" s="7">
        <v>42551</v>
      </c>
      <c r="C48" s="6" t="s">
        <v>166</v>
      </c>
      <c r="F48">
        <v>1038</v>
      </c>
      <c r="G48">
        <v>235</v>
      </c>
      <c r="J48">
        <f t="shared" si="1"/>
        <v>1038</v>
      </c>
      <c r="K48">
        <f t="shared" si="0"/>
        <v>235</v>
      </c>
      <c r="L48" s="15" t="s">
        <v>165</v>
      </c>
    </row>
    <row r="49" spans="1:12">
      <c r="A49" s="5" t="s">
        <v>167</v>
      </c>
      <c r="B49" s="7">
        <v>42551</v>
      </c>
      <c r="C49" s="6" t="s">
        <v>166</v>
      </c>
      <c r="J49">
        <f t="shared" si="1"/>
        <v>0</v>
      </c>
      <c r="K49">
        <f t="shared" si="0"/>
        <v>0</v>
      </c>
      <c r="L49" s="15" t="s">
        <v>167</v>
      </c>
    </row>
    <row r="50" spans="1:12">
      <c r="A50" s="5" t="s">
        <v>168</v>
      </c>
      <c r="B50" s="7">
        <v>42551</v>
      </c>
      <c r="C50" s="6" t="s">
        <v>166</v>
      </c>
      <c r="J50">
        <f t="shared" si="1"/>
        <v>0</v>
      </c>
      <c r="K50">
        <f t="shared" si="0"/>
        <v>0</v>
      </c>
      <c r="L50" s="15" t="s">
        <v>168</v>
      </c>
    </row>
    <row r="51" spans="1:12">
      <c r="A51" s="5" t="s">
        <v>61</v>
      </c>
      <c r="B51" s="7">
        <v>42552</v>
      </c>
      <c r="C51" s="6" t="s">
        <v>62</v>
      </c>
      <c r="H51">
        <v>414</v>
      </c>
      <c r="I51">
        <v>3</v>
      </c>
      <c r="J51">
        <f t="shared" si="1"/>
        <v>414</v>
      </c>
      <c r="K51">
        <f t="shared" si="0"/>
        <v>3</v>
      </c>
      <c r="L51" s="15" t="s">
        <v>61</v>
      </c>
    </row>
    <row r="52" spans="1:12">
      <c r="A52" s="5" t="s">
        <v>161</v>
      </c>
      <c r="B52" s="7">
        <v>42552</v>
      </c>
      <c r="C52" s="6" t="s">
        <v>153</v>
      </c>
      <c r="J52">
        <f t="shared" si="1"/>
        <v>0</v>
      </c>
      <c r="K52">
        <f t="shared" si="0"/>
        <v>0</v>
      </c>
      <c r="L52" s="15" t="s">
        <v>161</v>
      </c>
    </row>
    <row r="53" spans="1:12">
      <c r="A53" s="5" t="s">
        <v>162</v>
      </c>
      <c r="B53" s="7">
        <v>42552</v>
      </c>
      <c r="C53" s="6" t="s">
        <v>153</v>
      </c>
      <c r="J53">
        <f t="shared" si="1"/>
        <v>0</v>
      </c>
      <c r="K53">
        <f t="shared" si="0"/>
        <v>0</v>
      </c>
      <c r="L53" s="15" t="s">
        <v>162</v>
      </c>
    </row>
    <row r="54" spans="1:12">
      <c r="A54" s="5" t="s">
        <v>163</v>
      </c>
      <c r="B54" s="7">
        <v>42552</v>
      </c>
      <c r="C54" s="6" t="s">
        <v>153</v>
      </c>
      <c r="J54">
        <f t="shared" si="1"/>
        <v>0</v>
      </c>
      <c r="K54">
        <f t="shared" si="0"/>
        <v>0</v>
      </c>
      <c r="L54" s="15" t="s">
        <v>163</v>
      </c>
    </row>
    <row r="55" spans="1:12">
      <c r="A55" s="5" t="s">
        <v>164</v>
      </c>
      <c r="B55" s="7">
        <v>42552</v>
      </c>
      <c r="C55" s="6" t="s">
        <v>77</v>
      </c>
      <c r="J55">
        <f t="shared" si="1"/>
        <v>0</v>
      </c>
      <c r="K55">
        <f t="shared" si="0"/>
        <v>0</v>
      </c>
      <c r="L55" s="15" t="s">
        <v>164</v>
      </c>
    </row>
    <row r="56" spans="1:12">
      <c r="A56" s="5" t="s">
        <v>58</v>
      </c>
      <c r="B56" s="7">
        <v>42556</v>
      </c>
      <c r="C56" s="6" t="s">
        <v>42</v>
      </c>
      <c r="D56">
        <v>2005</v>
      </c>
      <c r="E56">
        <v>130</v>
      </c>
      <c r="J56">
        <f t="shared" si="1"/>
        <v>2005</v>
      </c>
      <c r="K56">
        <f t="shared" si="0"/>
        <v>130</v>
      </c>
      <c r="L56" s="15" t="s">
        <v>58</v>
      </c>
    </row>
    <row r="57" spans="1:12">
      <c r="A57" s="5" t="s">
        <v>59</v>
      </c>
      <c r="B57" s="7">
        <v>42556</v>
      </c>
      <c r="C57" s="6" t="s">
        <v>29</v>
      </c>
      <c r="H57">
        <v>247</v>
      </c>
      <c r="I57">
        <v>3</v>
      </c>
      <c r="J57">
        <f t="shared" si="1"/>
        <v>247</v>
      </c>
      <c r="K57">
        <f t="shared" si="0"/>
        <v>3</v>
      </c>
      <c r="L57" s="15" t="s">
        <v>59</v>
      </c>
    </row>
    <row r="58" spans="1:12">
      <c r="A58" s="5" t="s">
        <v>60</v>
      </c>
      <c r="B58" s="7">
        <v>42556</v>
      </c>
      <c r="C58" s="6" t="s">
        <v>31</v>
      </c>
      <c r="F58">
        <v>646</v>
      </c>
      <c r="G58">
        <v>38</v>
      </c>
      <c r="H58">
        <v>261</v>
      </c>
      <c r="I58">
        <v>11</v>
      </c>
      <c r="J58">
        <f t="shared" si="1"/>
        <v>907</v>
      </c>
      <c r="K58">
        <f t="shared" si="0"/>
        <v>49</v>
      </c>
      <c r="L58" s="15" t="s">
        <v>60</v>
      </c>
    </row>
    <row r="59" spans="1:12">
      <c r="A59" s="5" t="s">
        <v>56</v>
      </c>
      <c r="B59" s="7">
        <v>42557</v>
      </c>
      <c r="C59" s="6" t="s">
        <v>57</v>
      </c>
      <c r="J59">
        <f t="shared" si="1"/>
        <v>0</v>
      </c>
      <c r="K59">
        <f t="shared" si="0"/>
        <v>0</v>
      </c>
      <c r="L59" s="15" t="s">
        <v>56</v>
      </c>
    </row>
    <row r="60" spans="1:12">
      <c r="A60" s="5" t="s">
        <v>160</v>
      </c>
      <c r="B60" s="7">
        <v>42557</v>
      </c>
      <c r="C60" s="6" t="s">
        <v>84</v>
      </c>
      <c r="J60">
        <f t="shared" si="1"/>
        <v>0</v>
      </c>
      <c r="K60">
        <f t="shared" si="0"/>
        <v>0</v>
      </c>
      <c r="L60" s="15" t="s">
        <v>160</v>
      </c>
    </row>
    <row r="61" spans="1:12">
      <c r="A61" s="5" t="s">
        <v>55</v>
      </c>
      <c r="B61" s="7">
        <v>42558</v>
      </c>
      <c r="C61" s="6" t="s">
        <v>46</v>
      </c>
      <c r="J61">
        <f t="shared" si="1"/>
        <v>0</v>
      </c>
      <c r="K61">
        <f t="shared" si="0"/>
        <v>0</v>
      </c>
      <c r="L61" s="15" t="s">
        <v>55</v>
      </c>
    </row>
    <row r="62" spans="1:12">
      <c r="A62" s="5" t="s">
        <v>158</v>
      </c>
      <c r="B62" s="7">
        <v>42558</v>
      </c>
      <c r="C62" s="6" t="s">
        <v>31</v>
      </c>
      <c r="F62">
        <v>646</v>
      </c>
      <c r="G62">
        <v>28</v>
      </c>
      <c r="H62">
        <v>217</v>
      </c>
      <c r="I62">
        <v>7</v>
      </c>
      <c r="J62">
        <f t="shared" si="1"/>
        <v>863</v>
      </c>
      <c r="K62">
        <f t="shared" si="0"/>
        <v>35</v>
      </c>
      <c r="L62" s="15" t="s">
        <v>158</v>
      </c>
    </row>
    <row r="63" spans="1:12">
      <c r="A63" s="5" t="s">
        <v>152</v>
      </c>
      <c r="B63" s="7">
        <v>42560</v>
      </c>
      <c r="C63" s="6" t="s">
        <v>153</v>
      </c>
      <c r="J63">
        <f t="shared" si="1"/>
        <v>0</v>
      </c>
      <c r="K63">
        <f t="shared" si="0"/>
        <v>0</v>
      </c>
      <c r="L63" s="15" t="s">
        <v>152</v>
      </c>
    </row>
    <row r="64" spans="1:12">
      <c r="A64" s="5" t="s">
        <v>154</v>
      </c>
      <c r="B64" s="7">
        <v>42560</v>
      </c>
      <c r="C64" s="6" t="s">
        <v>155</v>
      </c>
      <c r="J64">
        <f t="shared" si="1"/>
        <v>0</v>
      </c>
      <c r="K64">
        <f t="shared" si="0"/>
        <v>0</v>
      </c>
      <c r="L64" s="15" t="s">
        <v>154</v>
      </c>
    </row>
    <row r="65" spans="1:12">
      <c r="A65" s="5" t="s">
        <v>156</v>
      </c>
      <c r="B65" s="7">
        <v>42560</v>
      </c>
      <c r="C65" s="6" t="s">
        <v>155</v>
      </c>
      <c r="J65">
        <f t="shared" si="1"/>
        <v>0</v>
      </c>
      <c r="K65">
        <f t="shared" si="0"/>
        <v>0</v>
      </c>
      <c r="L65" s="15" t="s">
        <v>156</v>
      </c>
    </row>
    <row r="66" spans="1:12">
      <c r="A66" s="5" t="s">
        <v>157</v>
      </c>
      <c r="B66" s="7">
        <v>42560</v>
      </c>
      <c r="C66" s="6" t="s">
        <v>153</v>
      </c>
      <c r="J66">
        <f t="shared" si="1"/>
        <v>0</v>
      </c>
      <c r="K66">
        <f t="shared" si="0"/>
        <v>0</v>
      </c>
      <c r="L66" s="15" t="s">
        <v>157</v>
      </c>
    </row>
    <row r="67" spans="1:12">
      <c r="A67" s="5" t="s">
        <v>105</v>
      </c>
      <c r="B67" s="7">
        <v>42562</v>
      </c>
      <c r="C67" s="6" t="s">
        <v>100</v>
      </c>
      <c r="J67">
        <f t="shared" si="1"/>
        <v>0</v>
      </c>
      <c r="K67">
        <f t="shared" ref="K67:K114" si="2">E67+G67+I67</f>
        <v>0</v>
      </c>
      <c r="L67" s="15" t="s">
        <v>105</v>
      </c>
    </row>
    <row r="68" spans="1:12">
      <c r="A68" s="5" t="s">
        <v>151</v>
      </c>
      <c r="B68" s="7">
        <v>42562</v>
      </c>
      <c r="C68" s="6" t="s">
        <v>31</v>
      </c>
      <c r="F68">
        <v>765</v>
      </c>
      <c r="G68">
        <v>67</v>
      </c>
      <c r="H68">
        <v>231</v>
      </c>
      <c r="I68">
        <v>13</v>
      </c>
      <c r="J68">
        <f t="shared" si="1"/>
        <v>996</v>
      </c>
      <c r="K68">
        <f t="shared" si="2"/>
        <v>80</v>
      </c>
      <c r="L68" s="15" t="s">
        <v>151</v>
      </c>
    </row>
    <row r="69" spans="1:12">
      <c r="A69" s="5" t="s">
        <v>149</v>
      </c>
      <c r="B69" s="7">
        <v>42563</v>
      </c>
      <c r="C69" s="6" t="s">
        <v>150</v>
      </c>
      <c r="D69">
        <v>2883</v>
      </c>
      <c r="E69">
        <v>191</v>
      </c>
      <c r="H69">
        <v>47</v>
      </c>
      <c r="I69">
        <v>0</v>
      </c>
      <c r="J69">
        <f t="shared" si="1"/>
        <v>2930</v>
      </c>
      <c r="K69">
        <f t="shared" si="2"/>
        <v>191</v>
      </c>
      <c r="L69" s="15" t="s">
        <v>149</v>
      </c>
    </row>
    <row r="70" spans="1:12">
      <c r="A70" s="5" t="s">
        <v>148</v>
      </c>
      <c r="B70" s="7">
        <v>42565</v>
      </c>
      <c r="C70" s="6" t="s">
        <v>135</v>
      </c>
      <c r="H70">
        <v>203</v>
      </c>
      <c r="I70">
        <v>7</v>
      </c>
      <c r="J70">
        <f t="shared" si="1"/>
        <v>203</v>
      </c>
      <c r="K70">
        <f t="shared" si="2"/>
        <v>7</v>
      </c>
      <c r="L70" s="15" t="s">
        <v>148</v>
      </c>
    </row>
    <row r="71" spans="1:12">
      <c r="A71" s="59" t="s">
        <v>49</v>
      </c>
      <c r="B71" s="61">
        <v>42566</v>
      </c>
      <c r="C71" s="60" t="s">
        <v>50</v>
      </c>
      <c r="H71">
        <v>471</v>
      </c>
      <c r="I71">
        <v>5</v>
      </c>
      <c r="J71">
        <f t="shared" si="1"/>
        <v>471</v>
      </c>
      <c r="K71">
        <f t="shared" si="2"/>
        <v>5</v>
      </c>
      <c r="L71" s="15" t="s">
        <v>49</v>
      </c>
    </row>
    <row r="72" spans="1:12">
      <c r="A72" s="5" t="s">
        <v>51</v>
      </c>
      <c r="B72" s="7">
        <v>42566</v>
      </c>
      <c r="C72" s="6" t="s">
        <v>52</v>
      </c>
      <c r="D72">
        <v>5174</v>
      </c>
      <c r="E72">
        <v>375</v>
      </c>
      <c r="J72">
        <f t="shared" ref="J72:J114" si="3">D72+F72+H72</f>
        <v>5174</v>
      </c>
      <c r="K72">
        <f t="shared" si="2"/>
        <v>375</v>
      </c>
      <c r="L72" s="15" t="s">
        <v>51</v>
      </c>
    </row>
    <row r="73" spans="1:12">
      <c r="A73" s="5" t="s">
        <v>53</v>
      </c>
      <c r="B73" s="7">
        <v>42566</v>
      </c>
      <c r="C73" s="6" t="s">
        <v>54</v>
      </c>
      <c r="D73">
        <v>125</v>
      </c>
      <c r="E73">
        <v>17</v>
      </c>
      <c r="J73">
        <f t="shared" si="3"/>
        <v>125</v>
      </c>
      <c r="K73">
        <f t="shared" si="2"/>
        <v>17</v>
      </c>
      <c r="L73" s="15" t="s">
        <v>53</v>
      </c>
    </row>
    <row r="74" spans="1:12">
      <c r="A74" s="5" t="s">
        <v>147</v>
      </c>
      <c r="B74" s="7">
        <v>42566</v>
      </c>
      <c r="C74" s="6" t="s">
        <v>84</v>
      </c>
      <c r="J74">
        <f t="shared" si="3"/>
        <v>0</v>
      </c>
      <c r="K74">
        <f t="shared" si="2"/>
        <v>0</v>
      </c>
      <c r="L74" s="15" t="s">
        <v>147</v>
      </c>
    </row>
    <row r="75" spans="1:12">
      <c r="A75" s="5" t="s">
        <v>145</v>
      </c>
      <c r="B75" s="7">
        <v>42569</v>
      </c>
      <c r="C75" s="6" t="s">
        <v>146</v>
      </c>
      <c r="F75">
        <v>686</v>
      </c>
      <c r="G75">
        <v>46</v>
      </c>
      <c r="H75">
        <v>343</v>
      </c>
      <c r="I75">
        <v>5</v>
      </c>
      <c r="J75">
        <f t="shared" si="3"/>
        <v>1029</v>
      </c>
      <c r="K75">
        <f t="shared" si="2"/>
        <v>51</v>
      </c>
      <c r="L75" s="15" t="s">
        <v>145</v>
      </c>
    </row>
    <row r="76" spans="1:12">
      <c r="A76" s="5" t="s">
        <v>143</v>
      </c>
      <c r="B76" s="7">
        <v>42570</v>
      </c>
      <c r="C76" s="6" t="s">
        <v>144</v>
      </c>
      <c r="J76">
        <f t="shared" si="3"/>
        <v>0</v>
      </c>
      <c r="K76">
        <f t="shared" si="2"/>
        <v>0</v>
      </c>
      <c r="L76" s="15" t="s">
        <v>143</v>
      </c>
    </row>
    <row r="77" spans="1:12">
      <c r="A77" s="5" t="s">
        <v>142</v>
      </c>
      <c r="B77" s="7">
        <v>42571</v>
      </c>
      <c r="C77" s="6" t="s">
        <v>31</v>
      </c>
      <c r="J77">
        <f t="shared" si="3"/>
        <v>0</v>
      </c>
      <c r="K77">
        <f t="shared" si="2"/>
        <v>0</v>
      </c>
      <c r="L77" s="15" t="s">
        <v>142</v>
      </c>
    </row>
    <row r="78" spans="1:12">
      <c r="A78" s="5" t="s">
        <v>45</v>
      </c>
      <c r="B78" s="7">
        <v>42572</v>
      </c>
      <c r="C78" s="6" t="s">
        <v>46</v>
      </c>
      <c r="J78">
        <f t="shared" si="3"/>
        <v>0</v>
      </c>
      <c r="K78">
        <f t="shared" si="2"/>
        <v>0</v>
      </c>
      <c r="L78" s="15" t="s">
        <v>45</v>
      </c>
    </row>
    <row r="79" spans="1:12">
      <c r="A79" s="5" t="s">
        <v>47</v>
      </c>
      <c r="B79" s="7">
        <v>42572</v>
      </c>
      <c r="C79" s="6" t="s">
        <v>48</v>
      </c>
      <c r="D79">
        <v>3097</v>
      </c>
      <c r="E79">
        <v>174</v>
      </c>
      <c r="H79">
        <v>251</v>
      </c>
      <c r="I79">
        <v>3</v>
      </c>
      <c r="J79">
        <f t="shared" si="3"/>
        <v>3348</v>
      </c>
      <c r="K79">
        <f t="shared" si="2"/>
        <v>177</v>
      </c>
      <c r="L79" s="15" t="s">
        <v>47</v>
      </c>
    </row>
    <row r="80" spans="1:12">
      <c r="A80" s="59" t="s">
        <v>140</v>
      </c>
      <c r="B80" s="61">
        <v>42572</v>
      </c>
      <c r="C80" s="60" t="s">
        <v>141</v>
      </c>
      <c r="D80">
        <v>3842</v>
      </c>
      <c r="E80">
        <v>380</v>
      </c>
      <c r="H80">
        <v>267</v>
      </c>
      <c r="I80">
        <v>8</v>
      </c>
      <c r="J80">
        <f t="shared" si="3"/>
        <v>4109</v>
      </c>
      <c r="K80">
        <f t="shared" si="2"/>
        <v>388</v>
      </c>
      <c r="L80" s="15" t="s">
        <v>140</v>
      </c>
    </row>
    <row r="81" spans="1:12">
      <c r="A81" s="5" t="s">
        <v>43</v>
      </c>
      <c r="B81" s="7">
        <v>42573</v>
      </c>
      <c r="C81" s="6" t="s">
        <v>44</v>
      </c>
      <c r="D81">
        <v>1630</v>
      </c>
      <c r="E81">
        <v>37</v>
      </c>
      <c r="H81">
        <v>235</v>
      </c>
      <c r="I81">
        <v>1</v>
      </c>
      <c r="J81">
        <f t="shared" si="3"/>
        <v>1865</v>
      </c>
      <c r="K81">
        <f t="shared" si="2"/>
        <v>38</v>
      </c>
      <c r="L81" s="15" t="s">
        <v>43</v>
      </c>
    </row>
    <row r="82" spans="1:12">
      <c r="A82" s="59" t="s">
        <v>41</v>
      </c>
      <c r="B82" s="61">
        <v>42576</v>
      </c>
      <c r="C82" s="60" t="s">
        <v>42</v>
      </c>
      <c r="H82">
        <v>168</v>
      </c>
      <c r="I82">
        <v>32</v>
      </c>
      <c r="J82">
        <f t="shared" si="3"/>
        <v>168</v>
      </c>
      <c r="K82">
        <f t="shared" si="2"/>
        <v>32</v>
      </c>
      <c r="L82" s="15" t="s">
        <v>41</v>
      </c>
    </row>
    <row r="83" spans="1:12">
      <c r="A83" s="5" t="s">
        <v>139</v>
      </c>
      <c r="B83" s="7">
        <v>42576</v>
      </c>
      <c r="C83" s="6" t="s">
        <v>31</v>
      </c>
      <c r="J83">
        <f t="shared" si="3"/>
        <v>0</v>
      </c>
      <c r="K83">
        <f t="shared" si="2"/>
        <v>0</v>
      </c>
      <c r="L83" s="15" t="s">
        <v>139</v>
      </c>
    </row>
    <row r="84" spans="1:12">
      <c r="A84" s="5" t="s">
        <v>137</v>
      </c>
      <c r="B84" s="7">
        <v>42577</v>
      </c>
      <c r="C84" s="6" t="s">
        <v>138</v>
      </c>
      <c r="J84">
        <f t="shared" si="3"/>
        <v>0</v>
      </c>
      <c r="K84">
        <f t="shared" si="2"/>
        <v>0</v>
      </c>
      <c r="L84" s="15" t="s">
        <v>137</v>
      </c>
    </row>
    <row r="85" spans="1:12">
      <c r="A85" s="59" t="s">
        <v>40</v>
      </c>
      <c r="B85" s="61">
        <v>42578</v>
      </c>
      <c r="C85" s="60" t="s">
        <v>31</v>
      </c>
      <c r="F85">
        <v>843</v>
      </c>
      <c r="G85">
        <v>88</v>
      </c>
      <c r="H85">
        <v>234</v>
      </c>
      <c r="I85">
        <v>11</v>
      </c>
      <c r="J85">
        <f t="shared" si="3"/>
        <v>1077</v>
      </c>
      <c r="K85">
        <f t="shared" si="2"/>
        <v>99</v>
      </c>
      <c r="L85" s="15" t="s">
        <v>40</v>
      </c>
    </row>
    <row r="86" spans="1:12">
      <c r="A86" s="5" t="s">
        <v>136</v>
      </c>
      <c r="B86" s="7">
        <v>42578</v>
      </c>
      <c r="C86" s="6" t="s">
        <v>31</v>
      </c>
      <c r="F86">
        <v>612</v>
      </c>
      <c r="G86">
        <v>55</v>
      </c>
      <c r="J86">
        <f t="shared" si="3"/>
        <v>612</v>
      </c>
      <c r="K86">
        <f t="shared" si="2"/>
        <v>55</v>
      </c>
      <c r="L86" s="15" t="s">
        <v>136</v>
      </c>
    </row>
    <row r="87" spans="1:12">
      <c r="A87" s="75" t="s">
        <v>134</v>
      </c>
      <c r="B87" s="77">
        <v>42579</v>
      </c>
      <c r="C87" s="76" t="s">
        <v>135</v>
      </c>
      <c r="D87">
        <v>3789</v>
      </c>
      <c r="E87">
        <v>359</v>
      </c>
      <c r="H87">
        <v>251</v>
      </c>
      <c r="I87">
        <v>0</v>
      </c>
      <c r="J87">
        <f t="shared" si="3"/>
        <v>4040</v>
      </c>
      <c r="K87">
        <f t="shared" si="2"/>
        <v>359</v>
      </c>
      <c r="L87" s="15" t="s">
        <v>134</v>
      </c>
    </row>
    <row r="88" spans="1:12">
      <c r="A88" s="5" t="s">
        <v>38</v>
      </c>
      <c r="B88" s="7">
        <v>42580</v>
      </c>
      <c r="C88" s="6" t="s">
        <v>39</v>
      </c>
      <c r="D88">
        <v>513</v>
      </c>
      <c r="E88">
        <v>15</v>
      </c>
      <c r="H88">
        <v>294</v>
      </c>
      <c r="I88">
        <v>7</v>
      </c>
      <c r="J88">
        <f t="shared" si="3"/>
        <v>807</v>
      </c>
      <c r="K88">
        <f t="shared" si="2"/>
        <v>22</v>
      </c>
      <c r="L88" s="15" t="s">
        <v>38</v>
      </c>
    </row>
    <row r="89" spans="1:12">
      <c r="A89" s="59" t="s">
        <v>103</v>
      </c>
      <c r="B89" s="61">
        <v>42583</v>
      </c>
      <c r="C89" s="60" t="s">
        <v>104</v>
      </c>
      <c r="H89">
        <v>160</v>
      </c>
      <c r="I89">
        <v>5</v>
      </c>
      <c r="J89">
        <f t="shared" si="3"/>
        <v>160</v>
      </c>
      <c r="K89">
        <f t="shared" si="2"/>
        <v>5</v>
      </c>
      <c r="L89" s="15" t="s">
        <v>103</v>
      </c>
    </row>
    <row r="90" spans="1:12">
      <c r="A90" s="75" t="s">
        <v>130</v>
      </c>
      <c r="B90" s="77">
        <v>42583</v>
      </c>
      <c r="C90" s="76" t="s">
        <v>31</v>
      </c>
      <c r="F90">
        <v>812</v>
      </c>
      <c r="G90">
        <v>224</v>
      </c>
      <c r="J90">
        <f t="shared" si="3"/>
        <v>812</v>
      </c>
      <c r="K90">
        <f t="shared" si="2"/>
        <v>224</v>
      </c>
      <c r="L90" s="15" t="s">
        <v>130</v>
      </c>
    </row>
    <row r="91" spans="1:12">
      <c r="A91" s="5" t="s">
        <v>131</v>
      </c>
      <c r="B91" s="7">
        <v>42583</v>
      </c>
      <c r="C91" s="6" t="s">
        <v>132</v>
      </c>
      <c r="J91">
        <f t="shared" si="3"/>
        <v>0</v>
      </c>
      <c r="K91">
        <f t="shared" si="2"/>
        <v>0</v>
      </c>
      <c r="L91" s="15" t="s">
        <v>131</v>
      </c>
    </row>
    <row r="92" spans="1:12">
      <c r="A92" s="5" t="s">
        <v>133</v>
      </c>
      <c r="B92" s="7">
        <v>42583</v>
      </c>
      <c r="C92" s="6" t="s">
        <v>31</v>
      </c>
      <c r="F92">
        <v>558</v>
      </c>
      <c r="G92">
        <v>41</v>
      </c>
      <c r="J92">
        <f t="shared" si="3"/>
        <v>558</v>
      </c>
      <c r="K92">
        <f t="shared" si="2"/>
        <v>41</v>
      </c>
      <c r="L92" s="15" t="s">
        <v>133</v>
      </c>
    </row>
    <row r="93" spans="1:12">
      <c r="A93" s="59" t="s">
        <v>36</v>
      </c>
      <c r="B93" s="61">
        <v>42584</v>
      </c>
      <c r="C93" s="60" t="s">
        <v>37</v>
      </c>
      <c r="D93">
        <v>4383</v>
      </c>
      <c r="E93">
        <v>145</v>
      </c>
      <c r="H93">
        <v>76</v>
      </c>
      <c r="I93">
        <v>3</v>
      </c>
      <c r="J93">
        <f t="shared" si="3"/>
        <v>4459</v>
      </c>
      <c r="K93">
        <f t="shared" si="2"/>
        <v>148</v>
      </c>
      <c r="L93" s="15" t="s">
        <v>36</v>
      </c>
    </row>
    <row r="94" spans="1:12">
      <c r="A94" s="95" t="s">
        <v>127</v>
      </c>
      <c r="B94" s="97">
        <v>42584</v>
      </c>
      <c r="C94" s="96" t="s">
        <v>128</v>
      </c>
      <c r="D94">
        <v>7626</v>
      </c>
      <c r="E94">
        <v>760</v>
      </c>
      <c r="H94">
        <v>333</v>
      </c>
      <c r="I94">
        <v>15</v>
      </c>
      <c r="J94">
        <f t="shared" si="3"/>
        <v>7959</v>
      </c>
      <c r="K94">
        <f t="shared" si="2"/>
        <v>775</v>
      </c>
      <c r="L94" s="15" t="s">
        <v>127</v>
      </c>
    </row>
    <row r="95" spans="1:12">
      <c r="A95" s="5" t="s">
        <v>129</v>
      </c>
      <c r="B95" s="7">
        <v>42584</v>
      </c>
      <c r="C95" s="6" t="s">
        <v>31</v>
      </c>
      <c r="J95">
        <f t="shared" si="3"/>
        <v>0</v>
      </c>
      <c r="K95">
        <f t="shared" si="2"/>
        <v>0</v>
      </c>
      <c r="L95" s="15" t="s">
        <v>129</v>
      </c>
    </row>
    <row r="96" spans="1:12">
      <c r="A96" s="5" t="s">
        <v>34</v>
      </c>
      <c r="B96" s="7">
        <v>42586</v>
      </c>
      <c r="C96" s="6" t="s">
        <v>35</v>
      </c>
      <c r="J96">
        <f t="shared" si="3"/>
        <v>0</v>
      </c>
      <c r="K96">
        <f t="shared" si="2"/>
        <v>0</v>
      </c>
      <c r="L96" s="15" t="s">
        <v>34</v>
      </c>
    </row>
    <row r="97" spans="1:12">
      <c r="A97" s="59" t="s">
        <v>101</v>
      </c>
      <c r="B97" s="61">
        <v>42586</v>
      </c>
      <c r="C97" s="60" t="s">
        <v>102</v>
      </c>
      <c r="H97">
        <v>84</v>
      </c>
      <c r="I97">
        <v>1</v>
      </c>
      <c r="J97">
        <f t="shared" si="3"/>
        <v>84</v>
      </c>
      <c r="K97">
        <f t="shared" si="2"/>
        <v>1</v>
      </c>
      <c r="L97" s="15" t="s">
        <v>101</v>
      </c>
    </row>
    <row r="98" spans="1:12">
      <c r="A98" s="95" t="s">
        <v>125</v>
      </c>
      <c r="B98" s="97">
        <v>42586</v>
      </c>
      <c r="C98" s="96" t="s">
        <v>31</v>
      </c>
      <c r="H98">
        <v>322</v>
      </c>
      <c r="I98">
        <v>10</v>
      </c>
      <c r="J98">
        <f t="shared" si="3"/>
        <v>322</v>
      </c>
      <c r="K98">
        <f t="shared" si="2"/>
        <v>10</v>
      </c>
      <c r="L98" s="15" t="s">
        <v>125</v>
      </c>
    </row>
    <row r="99" spans="1:12">
      <c r="A99" s="5" t="s">
        <v>126</v>
      </c>
      <c r="B99" s="7">
        <v>42586</v>
      </c>
      <c r="C99" s="6" t="s">
        <v>31</v>
      </c>
      <c r="F99">
        <v>888</v>
      </c>
      <c r="G99">
        <v>54</v>
      </c>
      <c r="J99">
        <f t="shared" si="3"/>
        <v>888</v>
      </c>
      <c r="K99">
        <f t="shared" si="2"/>
        <v>54</v>
      </c>
      <c r="L99" s="15" t="s">
        <v>126</v>
      </c>
    </row>
    <row r="100" spans="1:12">
      <c r="A100" s="5" t="s">
        <v>98</v>
      </c>
      <c r="B100" s="7">
        <v>42590</v>
      </c>
      <c r="C100" s="6" t="s">
        <v>100</v>
      </c>
      <c r="H100">
        <v>77</v>
      </c>
      <c r="I100">
        <v>1</v>
      </c>
      <c r="J100">
        <f t="shared" si="3"/>
        <v>77</v>
      </c>
      <c r="K100">
        <f t="shared" si="2"/>
        <v>1</v>
      </c>
      <c r="L100" s="15" t="s">
        <v>98</v>
      </c>
    </row>
    <row r="101" spans="1:12">
      <c r="A101" s="59" t="s">
        <v>122</v>
      </c>
      <c r="B101" s="61">
        <v>42590</v>
      </c>
      <c r="C101" s="60" t="s">
        <v>31</v>
      </c>
      <c r="F101">
        <v>674</v>
      </c>
      <c r="G101">
        <v>49</v>
      </c>
      <c r="J101">
        <f t="shared" si="3"/>
        <v>674</v>
      </c>
      <c r="K101">
        <f t="shared" si="2"/>
        <v>49</v>
      </c>
      <c r="L101" s="15" t="s">
        <v>122</v>
      </c>
    </row>
    <row r="102" spans="1:12">
      <c r="A102" s="5" t="s">
        <v>121</v>
      </c>
      <c r="B102" s="7">
        <v>42591</v>
      </c>
      <c r="C102" s="6" t="s">
        <v>31</v>
      </c>
      <c r="D102" s="12"/>
      <c r="E102" s="12"/>
      <c r="F102" s="12">
        <v>630</v>
      </c>
      <c r="G102" s="12">
        <v>26</v>
      </c>
      <c r="H102" s="12">
        <v>195</v>
      </c>
      <c r="I102" s="12">
        <v>7</v>
      </c>
      <c r="J102">
        <f t="shared" si="3"/>
        <v>825</v>
      </c>
      <c r="K102">
        <f t="shared" si="2"/>
        <v>33</v>
      </c>
      <c r="L102" s="15" t="s">
        <v>121</v>
      </c>
    </row>
    <row r="103" spans="1:12">
      <c r="A103" s="5" t="s">
        <v>32</v>
      </c>
      <c r="B103" s="7">
        <v>42593</v>
      </c>
      <c r="C103" s="6" t="s">
        <v>33</v>
      </c>
      <c r="H103">
        <v>213</v>
      </c>
      <c r="I103">
        <v>4</v>
      </c>
      <c r="J103">
        <f t="shared" si="3"/>
        <v>213</v>
      </c>
      <c r="K103">
        <f t="shared" si="2"/>
        <v>4</v>
      </c>
      <c r="L103" s="15" t="s">
        <v>32</v>
      </c>
    </row>
    <row r="104" spans="1:12">
      <c r="A104" s="59" t="s">
        <v>239</v>
      </c>
      <c r="B104" s="61">
        <v>42593</v>
      </c>
      <c r="C104" s="60" t="s">
        <v>117</v>
      </c>
      <c r="J104">
        <f t="shared" si="3"/>
        <v>0</v>
      </c>
      <c r="K104">
        <f t="shared" si="2"/>
        <v>0</v>
      </c>
      <c r="L104" s="15" t="s">
        <v>239</v>
      </c>
    </row>
    <row r="105" spans="1:12">
      <c r="A105" s="5" t="s">
        <v>118</v>
      </c>
      <c r="B105" s="7">
        <v>42593</v>
      </c>
      <c r="C105" s="6" t="s">
        <v>119</v>
      </c>
      <c r="D105">
        <v>5709</v>
      </c>
      <c r="E105">
        <v>291</v>
      </c>
      <c r="H105">
        <v>102</v>
      </c>
      <c r="I105">
        <v>0</v>
      </c>
      <c r="J105">
        <f t="shared" si="3"/>
        <v>5811</v>
      </c>
      <c r="K105">
        <f t="shared" si="2"/>
        <v>291</v>
      </c>
      <c r="L105" s="15" t="s">
        <v>118</v>
      </c>
    </row>
    <row r="106" spans="1:12">
      <c r="A106" s="75" t="s">
        <v>120</v>
      </c>
      <c r="B106" s="77">
        <v>42593</v>
      </c>
      <c r="C106" s="76" t="s">
        <v>25</v>
      </c>
      <c r="D106">
        <v>2371</v>
      </c>
      <c r="E106">
        <v>160</v>
      </c>
      <c r="H106">
        <v>256</v>
      </c>
      <c r="I106">
        <v>18</v>
      </c>
      <c r="J106">
        <f t="shared" si="3"/>
        <v>2627</v>
      </c>
      <c r="K106">
        <f t="shared" si="2"/>
        <v>178</v>
      </c>
      <c r="L106" s="15" t="s">
        <v>120</v>
      </c>
    </row>
    <row r="107" spans="1:12">
      <c r="A107" s="75" t="s">
        <v>28</v>
      </c>
      <c r="B107" s="77">
        <v>42597</v>
      </c>
      <c r="C107" s="76" t="s">
        <v>29</v>
      </c>
      <c r="H107">
        <v>245</v>
      </c>
      <c r="I107">
        <v>4</v>
      </c>
      <c r="J107">
        <f t="shared" si="3"/>
        <v>245</v>
      </c>
      <c r="K107">
        <f t="shared" si="2"/>
        <v>4</v>
      </c>
      <c r="L107" s="15" t="s">
        <v>28</v>
      </c>
    </row>
    <row r="108" spans="1:12">
      <c r="A108" s="75" t="s">
        <v>30</v>
      </c>
      <c r="B108" s="77">
        <v>42597</v>
      </c>
      <c r="C108" s="76" t="s">
        <v>31</v>
      </c>
      <c r="F108">
        <v>860</v>
      </c>
      <c r="G108">
        <v>79</v>
      </c>
      <c r="H108">
        <v>211</v>
      </c>
      <c r="I108">
        <v>8</v>
      </c>
      <c r="J108">
        <f t="shared" si="3"/>
        <v>1071</v>
      </c>
      <c r="K108">
        <f t="shared" si="2"/>
        <v>87</v>
      </c>
      <c r="L108" s="15" t="s">
        <v>30</v>
      </c>
    </row>
    <row r="109" spans="1:12">
      <c r="A109" s="5" t="s">
        <v>114</v>
      </c>
      <c r="B109" s="7">
        <v>42598</v>
      </c>
      <c r="C109" s="6" t="s">
        <v>115</v>
      </c>
      <c r="J109">
        <f t="shared" si="3"/>
        <v>0</v>
      </c>
      <c r="K109">
        <f t="shared" si="2"/>
        <v>0</v>
      </c>
      <c r="L109" s="15" t="s">
        <v>114</v>
      </c>
    </row>
    <row r="110" spans="1:12">
      <c r="A110" s="5" t="s">
        <v>26</v>
      </c>
      <c r="B110" s="7">
        <v>42599</v>
      </c>
      <c r="C110" s="6" t="s">
        <v>27</v>
      </c>
      <c r="H110">
        <v>146</v>
      </c>
      <c r="I110">
        <v>4</v>
      </c>
      <c r="J110">
        <f t="shared" si="3"/>
        <v>146</v>
      </c>
      <c r="K110">
        <f t="shared" si="2"/>
        <v>4</v>
      </c>
      <c r="L110" s="15" t="s">
        <v>26</v>
      </c>
    </row>
    <row r="111" spans="1:12">
      <c r="A111" s="5" t="s">
        <v>21</v>
      </c>
      <c r="B111" s="7">
        <v>42600</v>
      </c>
      <c r="C111" s="6" t="s">
        <v>23</v>
      </c>
      <c r="H111">
        <v>179</v>
      </c>
      <c r="I111">
        <v>1</v>
      </c>
      <c r="J111">
        <f t="shared" si="3"/>
        <v>179</v>
      </c>
      <c r="K111">
        <f t="shared" si="2"/>
        <v>1</v>
      </c>
      <c r="L111" s="15" t="s">
        <v>21</v>
      </c>
    </row>
    <row r="112" spans="1:12">
      <c r="A112" s="75" t="s">
        <v>24</v>
      </c>
      <c r="B112" s="77">
        <v>42600</v>
      </c>
      <c r="C112" s="76" t="s">
        <v>25</v>
      </c>
      <c r="D112">
        <v>2212</v>
      </c>
      <c r="E112">
        <v>134</v>
      </c>
      <c r="H112">
        <v>202</v>
      </c>
      <c r="I112">
        <v>7</v>
      </c>
      <c r="J112">
        <f t="shared" si="3"/>
        <v>2414</v>
      </c>
      <c r="K112">
        <f t="shared" si="2"/>
        <v>141</v>
      </c>
      <c r="L112" s="15" t="s">
        <v>24</v>
      </c>
    </row>
    <row r="113" spans="1:12">
      <c r="A113" s="82" t="s">
        <v>113</v>
      </c>
      <c r="B113" s="84">
        <v>42601</v>
      </c>
      <c r="C113" s="83" t="s">
        <v>31</v>
      </c>
      <c r="J113">
        <f t="shared" si="3"/>
        <v>0</v>
      </c>
      <c r="K113">
        <f t="shared" si="2"/>
        <v>0</v>
      </c>
      <c r="L113" s="15" t="s">
        <v>113</v>
      </c>
    </row>
    <row r="114" spans="1:12" ht="16.5" thickBot="1">
      <c r="A114" s="67" t="s">
        <v>111</v>
      </c>
      <c r="B114" s="69">
        <v>42604</v>
      </c>
      <c r="C114" s="68" t="s">
        <v>31</v>
      </c>
      <c r="F114">
        <v>649</v>
      </c>
      <c r="G114">
        <v>30</v>
      </c>
      <c r="J114">
        <f t="shared" si="3"/>
        <v>649</v>
      </c>
      <c r="K114">
        <f t="shared" si="2"/>
        <v>30</v>
      </c>
      <c r="L114" s="105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6" sqref="A26"/>
    </sheetView>
  </sheetViews>
  <sheetFormatPr defaultColWidth="11" defaultRowHeight="15.75"/>
  <cols>
    <col min="1" max="1" width="17.875" bestFit="1" customWidth="1"/>
    <col min="2" max="3" width="5.125" bestFit="1" customWidth="1"/>
    <col min="4" max="4" width="6.375" bestFit="1" customWidth="1"/>
    <col min="6" max="6" width="7.125" bestFit="1" customWidth="1"/>
  </cols>
  <sheetData>
    <row r="1" spans="1:6" ht="16.5" thickBot="1"/>
    <row r="2" spans="1:6" ht="16.5" thickBot="1">
      <c r="A2" s="36" t="s">
        <v>246</v>
      </c>
      <c r="B2" s="37" t="s">
        <v>247</v>
      </c>
      <c r="C2" s="37" t="s">
        <v>248</v>
      </c>
      <c r="D2" s="37" t="s">
        <v>249</v>
      </c>
      <c r="E2" s="37" t="s">
        <v>250</v>
      </c>
      <c r="F2" s="37" t="s">
        <v>205</v>
      </c>
    </row>
    <row r="3" spans="1:6">
      <c r="A3" s="31" t="s">
        <v>251</v>
      </c>
      <c r="B3" s="32">
        <v>671</v>
      </c>
      <c r="C3" s="33">
        <v>1790</v>
      </c>
      <c r="D3" s="33">
        <v>583</v>
      </c>
      <c r="E3" s="34"/>
      <c r="F3" s="35">
        <f t="shared" ref="F3:F18" si="0">AVERAGE(B3:D3)</f>
        <v>1014.6666666666666</v>
      </c>
    </row>
    <row r="4" spans="1:6">
      <c r="A4" s="14" t="s">
        <v>31</v>
      </c>
      <c r="B4" s="6">
        <v>1017</v>
      </c>
      <c r="C4" s="16">
        <v>1009</v>
      </c>
      <c r="D4" s="16">
        <v>1361</v>
      </c>
      <c r="E4" s="17"/>
      <c r="F4" s="18">
        <f t="shared" si="0"/>
        <v>1129</v>
      </c>
    </row>
    <row r="5" spans="1:6">
      <c r="A5" s="14" t="s">
        <v>252</v>
      </c>
      <c r="B5" s="16">
        <v>1069</v>
      </c>
      <c r="C5" s="16">
        <v>955</v>
      </c>
      <c r="D5" s="16">
        <v>1086</v>
      </c>
      <c r="E5" s="17"/>
      <c r="F5" s="18">
        <f t="shared" si="0"/>
        <v>1036.6666666666667</v>
      </c>
    </row>
    <row r="6" spans="1:6">
      <c r="A6" s="14" t="s">
        <v>253</v>
      </c>
      <c r="B6" s="6">
        <v>623</v>
      </c>
      <c r="C6" s="16">
        <v>623</v>
      </c>
      <c r="D6" s="16">
        <v>612</v>
      </c>
      <c r="E6" s="17"/>
      <c r="F6" s="18">
        <f t="shared" si="0"/>
        <v>619.33333333333337</v>
      </c>
    </row>
    <row r="7" spans="1:6">
      <c r="A7" s="14" t="s">
        <v>254</v>
      </c>
      <c r="B7" s="6">
        <v>598</v>
      </c>
      <c r="C7" s="16">
        <v>581</v>
      </c>
      <c r="D7" s="16">
        <v>806</v>
      </c>
      <c r="E7" s="17"/>
      <c r="F7" s="18">
        <f t="shared" si="0"/>
        <v>661.66666666666663</v>
      </c>
    </row>
    <row r="8" spans="1:6">
      <c r="A8" s="14" t="s">
        <v>255</v>
      </c>
      <c r="B8" s="6">
        <v>611</v>
      </c>
      <c r="C8" s="16">
        <v>737</v>
      </c>
      <c r="D8" s="16">
        <v>949</v>
      </c>
      <c r="E8" s="17"/>
      <c r="F8" s="18">
        <f t="shared" si="0"/>
        <v>765.66666666666663</v>
      </c>
    </row>
    <row r="9" spans="1:6">
      <c r="A9" s="14" t="s">
        <v>256</v>
      </c>
      <c r="B9" s="6">
        <v>629</v>
      </c>
      <c r="C9" s="16">
        <v>606</v>
      </c>
      <c r="D9" s="16">
        <v>635</v>
      </c>
      <c r="E9" s="17"/>
      <c r="F9" s="18">
        <f t="shared" si="0"/>
        <v>623.33333333333337</v>
      </c>
    </row>
    <row r="10" spans="1:6">
      <c r="A10" s="14" t="s">
        <v>64</v>
      </c>
      <c r="B10" s="6">
        <v>665</v>
      </c>
      <c r="C10" s="16">
        <v>645</v>
      </c>
      <c r="D10" s="16">
        <v>474</v>
      </c>
      <c r="E10" s="17"/>
      <c r="F10" s="18">
        <f t="shared" si="0"/>
        <v>594.66666666666663</v>
      </c>
    </row>
    <row r="11" spans="1:6">
      <c r="A11" s="14" t="s">
        <v>257</v>
      </c>
      <c r="B11" s="6">
        <v>533</v>
      </c>
      <c r="C11" s="16">
        <v>473</v>
      </c>
      <c r="D11" s="16">
        <v>643</v>
      </c>
      <c r="E11" s="17"/>
      <c r="F11" s="18">
        <f t="shared" si="0"/>
        <v>549.66666666666663</v>
      </c>
    </row>
    <row r="12" spans="1:6">
      <c r="A12" s="14" t="s">
        <v>258</v>
      </c>
      <c r="B12" s="16">
        <v>421</v>
      </c>
      <c r="C12" s="16">
        <v>410</v>
      </c>
      <c r="D12" s="16">
        <v>403</v>
      </c>
      <c r="E12" s="17"/>
      <c r="F12" s="18">
        <f t="shared" si="0"/>
        <v>411.33333333333331</v>
      </c>
    </row>
    <row r="13" spans="1:6">
      <c r="A13" s="14" t="s">
        <v>104</v>
      </c>
      <c r="B13" s="16">
        <v>302</v>
      </c>
      <c r="C13" s="16">
        <v>291</v>
      </c>
      <c r="D13" s="16">
        <v>515</v>
      </c>
      <c r="E13" s="17"/>
      <c r="F13" s="18">
        <f t="shared" si="0"/>
        <v>369.33333333333331</v>
      </c>
    </row>
    <row r="14" spans="1:6">
      <c r="A14" s="15" t="s">
        <v>84</v>
      </c>
      <c r="B14" s="16">
        <v>243</v>
      </c>
      <c r="C14" s="16">
        <v>155</v>
      </c>
      <c r="D14" s="16">
        <v>234</v>
      </c>
      <c r="E14" s="17"/>
      <c r="F14" s="18">
        <f t="shared" si="0"/>
        <v>210.66666666666666</v>
      </c>
    </row>
    <row r="15" spans="1:6">
      <c r="A15" s="15" t="s">
        <v>259</v>
      </c>
      <c r="B15" s="16">
        <v>234</v>
      </c>
      <c r="C15" s="16">
        <v>348</v>
      </c>
      <c r="D15" s="16">
        <v>201</v>
      </c>
      <c r="E15" s="17"/>
      <c r="F15" s="18">
        <f t="shared" si="0"/>
        <v>261</v>
      </c>
    </row>
    <row r="16" spans="1:6">
      <c r="A16" s="14" t="s">
        <v>260</v>
      </c>
      <c r="B16" s="16">
        <v>212</v>
      </c>
      <c r="C16" s="16">
        <v>180</v>
      </c>
      <c r="D16" s="16">
        <v>192</v>
      </c>
      <c r="E16" s="17"/>
      <c r="F16" s="18">
        <f t="shared" si="0"/>
        <v>194.66666666666666</v>
      </c>
    </row>
    <row r="17" spans="1:6">
      <c r="A17" s="14" t="s">
        <v>153</v>
      </c>
      <c r="B17" s="16">
        <v>183</v>
      </c>
      <c r="C17" s="16">
        <v>213</v>
      </c>
      <c r="D17" s="16">
        <v>163</v>
      </c>
      <c r="E17" s="17"/>
      <c r="F17" s="18">
        <f t="shared" si="0"/>
        <v>186.33333333333334</v>
      </c>
    </row>
    <row r="18" spans="1:6" ht="16.5" thickBot="1">
      <c r="A18" s="27" t="s">
        <v>135</v>
      </c>
      <c r="B18" s="28">
        <v>162</v>
      </c>
      <c r="C18" s="28">
        <v>268</v>
      </c>
      <c r="D18" s="28">
        <v>203</v>
      </c>
      <c r="E18" s="29"/>
      <c r="F18" s="30">
        <f t="shared" si="0"/>
        <v>211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Views'!B17:D17</xm:f>
              <xm:sqref>E17</xm:sqref>
            </x14:sparkline>
            <x14:sparkline>
              <xm:f>'Expert Views'!B18:D18</xm:f>
              <xm:sqref>E18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Views'!B14:D14</xm:f>
              <xm:sqref>E14</xm:sqref>
            </x14:sparkline>
            <x14:sparkline>
              <xm:f>'Expert Views'!B15:D15</xm:f>
              <xm:sqref>E15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2" sqref="D2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5">
      <c r="C1" t="s">
        <v>261</v>
      </c>
      <c r="D1" t="s">
        <v>262</v>
      </c>
    </row>
    <row r="2" spans="1:5">
      <c r="A2" t="s">
        <v>263</v>
      </c>
      <c r="C2">
        <v>13</v>
      </c>
      <c r="D2" s="19">
        <f>B2/C2</f>
        <v>0</v>
      </c>
      <c r="E2" s="19"/>
    </row>
    <row r="3" spans="1:5">
      <c r="A3" t="s">
        <v>264</v>
      </c>
      <c r="C3">
        <v>13</v>
      </c>
      <c r="D3" s="19">
        <f t="shared" ref="D3:D8" si="0">B3/C3</f>
        <v>0</v>
      </c>
      <c r="E3" s="19"/>
    </row>
    <row r="4" spans="1:5">
      <c r="A4" t="s">
        <v>265</v>
      </c>
      <c r="C4">
        <v>13</v>
      </c>
      <c r="D4" s="19">
        <f t="shared" si="0"/>
        <v>0</v>
      </c>
      <c r="E4" s="19"/>
    </row>
    <row r="5" spans="1:5">
      <c r="A5" t="s">
        <v>266</v>
      </c>
      <c r="C5">
        <v>14</v>
      </c>
      <c r="D5" s="19">
        <f t="shared" si="0"/>
        <v>0</v>
      </c>
      <c r="E5" s="19"/>
    </row>
    <row r="6" spans="1:5">
      <c r="A6" t="s">
        <v>267</v>
      </c>
      <c r="C6">
        <v>13</v>
      </c>
      <c r="D6" s="19">
        <f t="shared" si="0"/>
        <v>0</v>
      </c>
      <c r="E6" s="19"/>
    </row>
    <row r="7" spans="1:5">
      <c r="A7" t="s">
        <v>268</v>
      </c>
      <c r="C7">
        <v>13</v>
      </c>
      <c r="D7" s="19">
        <f t="shared" si="0"/>
        <v>0</v>
      </c>
      <c r="E7" s="19"/>
    </row>
    <row r="8" spans="1:5">
      <c r="A8" t="s">
        <v>269</v>
      </c>
      <c r="C8">
        <v>13</v>
      </c>
      <c r="D8" s="19">
        <f t="shared" si="0"/>
        <v>0</v>
      </c>
      <c r="E8" s="19"/>
    </row>
    <row r="26" spans="1:6">
      <c r="A26" s="26" t="s">
        <v>299</v>
      </c>
      <c r="B26" s="26" t="s">
        <v>247</v>
      </c>
      <c r="C26" s="26" t="s">
        <v>248</v>
      </c>
      <c r="D26" s="26" t="s">
        <v>249</v>
      </c>
      <c r="E26" s="26" t="s">
        <v>250</v>
      </c>
      <c r="F26" s="26" t="s">
        <v>205</v>
      </c>
    </row>
    <row r="27" spans="1:6">
      <c r="A27" t="s">
        <v>298</v>
      </c>
      <c r="B27" s="20">
        <v>60391</v>
      </c>
      <c r="C27">
        <f>62328</f>
        <v>62328</v>
      </c>
      <c r="D27">
        <v>61083</v>
      </c>
      <c r="F27" s="20">
        <f>AVERAGE(B27:D27)</f>
        <v>61267.333333333336</v>
      </c>
    </row>
    <row r="28" spans="1:6">
      <c r="A28" t="s">
        <v>270</v>
      </c>
      <c r="B28" s="23">
        <f>82012+6719</f>
        <v>88731</v>
      </c>
      <c r="C28">
        <f>95078+6876</f>
        <v>101954</v>
      </c>
      <c r="D28">
        <f>107991+7127</f>
        <v>115118</v>
      </c>
      <c r="F28" s="20">
        <f t="shared" ref="F28:F36" si="1">AVERAGE(B28:D28)</f>
        <v>101934.33333333333</v>
      </c>
    </row>
    <row r="29" spans="1:6">
      <c r="A29" t="s">
        <v>271</v>
      </c>
      <c r="B29" s="23">
        <f>78996+13044+6538</f>
        <v>98578</v>
      </c>
      <c r="C29">
        <f>69868+12808+5274</f>
        <v>87950</v>
      </c>
      <c r="D29">
        <f>46328+9045+3054</f>
        <v>58427</v>
      </c>
      <c r="F29" s="20">
        <f t="shared" si="1"/>
        <v>81651.666666666672</v>
      </c>
    </row>
    <row r="30" spans="1:6">
      <c r="A30" t="s">
        <v>272</v>
      </c>
      <c r="B30" s="23">
        <f>44136+4872+828</f>
        <v>49836</v>
      </c>
      <c r="C30">
        <f>44618+4595+741</f>
        <v>49954</v>
      </c>
      <c r="D30">
        <f>44830+4476+792</f>
        <v>50098</v>
      </c>
      <c r="F30" s="20">
        <f t="shared" si="1"/>
        <v>49962.666666666664</v>
      </c>
    </row>
    <row r="31" spans="1:6">
      <c r="A31" t="s">
        <v>246</v>
      </c>
      <c r="B31" s="23">
        <f>28893+4746</f>
        <v>33639</v>
      </c>
      <c r="C31">
        <f>29477+4354</f>
        <v>33831</v>
      </c>
      <c r="D31">
        <f>30964+4848</f>
        <v>35812</v>
      </c>
      <c r="F31" s="20">
        <f t="shared" si="1"/>
        <v>34427.333333333336</v>
      </c>
    </row>
    <row r="32" spans="1:6">
      <c r="A32" t="s">
        <v>274</v>
      </c>
      <c r="B32" s="23">
        <f>20089+7943</f>
        <v>28032</v>
      </c>
      <c r="C32">
        <f>20368+7654</f>
        <v>28022</v>
      </c>
      <c r="D32">
        <f>22114+7935</f>
        <v>30049</v>
      </c>
      <c r="F32" s="20">
        <f t="shared" si="1"/>
        <v>28701</v>
      </c>
    </row>
    <row r="33" spans="1:6">
      <c r="A33" t="s">
        <v>275</v>
      </c>
      <c r="B33" s="23">
        <f>12137+4625</f>
        <v>16762</v>
      </c>
      <c r="C33">
        <f>11966+4714</f>
        <v>16680</v>
      </c>
      <c r="D33">
        <f>12871+4878</f>
        <v>17749</v>
      </c>
      <c r="F33" s="20">
        <f t="shared" si="1"/>
        <v>17063.666666666668</v>
      </c>
    </row>
    <row r="34" spans="1:6">
      <c r="A34" t="s">
        <v>276</v>
      </c>
      <c r="B34" s="23">
        <f>9271+4817</f>
        <v>14088</v>
      </c>
      <c r="C34">
        <f>9216+4960</f>
        <v>14176</v>
      </c>
      <c r="D34">
        <f>10592+4994</f>
        <v>15586</v>
      </c>
      <c r="F34" s="20">
        <f t="shared" si="1"/>
        <v>14616.666666666666</v>
      </c>
    </row>
    <row r="35" spans="1:6">
      <c r="A35" t="s">
        <v>297</v>
      </c>
      <c r="B35" s="23">
        <f>6157+1850</f>
        <v>8007</v>
      </c>
      <c r="C35">
        <f>7912+1875</f>
        <v>9787</v>
      </c>
      <c r="D35">
        <f>7215+1620</f>
        <v>8835</v>
      </c>
      <c r="F35" s="20">
        <f t="shared" si="1"/>
        <v>8876.3333333333339</v>
      </c>
    </row>
    <row r="36" spans="1:6">
      <c r="A36" t="s">
        <v>273</v>
      </c>
      <c r="B36" s="20">
        <f>493875-(SUM(B27:B35))</f>
        <v>95811</v>
      </c>
      <c r="C36">
        <f>501997-SUM(C27:C35)</f>
        <v>97315</v>
      </c>
      <c r="D36">
        <f>484837-SUM(D27:D35)</f>
        <v>92080</v>
      </c>
      <c r="F36" s="20">
        <f t="shared" si="1"/>
        <v>95068.666666666672</v>
      </c>
    </row>
    <row r="38" spans="1:6">
      <c r="A38" s="26" t="s">
        <v>272</v>
      </c>
      <c r="B38" s="26" t="s">
        <v>247</v>
      </c>
      <c r="C38" s="26" t="s">
        <v>248</v>
      </c>
      <c r="D38" s="26" t="s">
        <v>249</v>
      </c>
    </row>
    <row r="39" spans="1:6">
      <c r="A39" s="22" t="s">
        <v>236</v>
      </c>
      <c r="B39" s="22">
        <f>6572+1107</f>
        <v>7679</v>
      </c>
      <c r="C39" s="22">
        <f>6239+1069</f>
        <v>7308</v>
      </c>
      <c r="D39" s="22">
        <f>6861+1309</f>
        <v>8170</v>
      </c>
    </row>
    <row r="40" spans="1:6">
      <c r="A40" s="22" t="s">
        <v>221</v>
      </c>
      <c r="B40" s="22">
        <f>5440+837</f>
        <v>6277</v>
      </c>
      <c r="C40" s="22">
        <f>5988+931</f>
        <v>6919</v>
      </c>
      <c r="D40" s="22">
        <f>6118+1189</f>
        <v>7307</v>
      </c>
    </row>
    <row r="41" spans="1:6">
      <c r="A41" s="22" t="s">
        <v>277</v>
      </c>
      <c r="B41" s="23">
        <f>4505+355</f>
        <v>4860</v>
      </c>
      <c r="C41" s="22">
        <f>1824+217</f>
        <v>2041</v>
      </c>
      <c r="D41" s="22">
        <f>1216+265</f>
        <v>1481</v>
      </c>
      <c r="F41" s="19"/>
    </row>
    <row r="42" spans="1:6">
      <c r="A42" s="22" t="s">
        <v>278</v>
      </c>
      <c r="B42" s="23">
        <f>1061+341</f>
        <v>1402</v>
      </c>
      <c r="C42" s="22">
        <f>4533+469</f>
        <v>5002</v>
      </c>
      <c r="D42" s="22">
        <f>1492+340</f>
        <v>1832</v>
      </c>
      <c r="F42" s="19"/>
    </row>
    <row r="43" spans="1:6">
      <c r="A43" s="22" t="s">
        <v>214</v>
      </c>
      <c r="B43" s="23">
        <f>1394+339</f>
        <v>1733</v>
      </c>
      <c r="C43" s="22">
        <f>1571+303</f>
        <v>1874</v>
      </c>
      <c r="D43" s="22">
        <f>2259+329</f>
        <v>2588</v>
      </c>
      <c r="F43" s="19"/>
    </row>
    <row r="44" spans="1:6">
      <c r="A44" s="22" t="s">
        <v>218</v>
      </c>
      <c r="B44" s="23">
        <f>1195+667</f>
        <v>1862</v>
      </c>
      <c r="C44" s="22">
        <f>1146+500</f>
        <v>1646</v>
      </c>
      <c r="D44" s="22">
        <f>1458+713</f>
        <v>2171</v>
      </c>
      <c r="F44" s="19"/>
    </row>
    <row r="45" spans="1:6">
      <c r="A45" s="22" t="s">
        <v>279</v>
      </c>
      <c r="B45" s="23">
        <f>1051+514</f>
        <v>1565</v>
      </c>
      <c r="C45" s="22">
        <f>1187+499</f>
        <v>1686</v>
      </c>
      <c r="D45" s="22">
        <f>1118+522</f>
        <v>1640</v>
      </c>
      <c r="F45" s="19"/>
    </row>
    <row r="46" spans="1:6">
      <c r="A46" s="22" t="s">
        <v>281</v>
      </c>
      <c r="B46" s="22">
        <f>879+432</f>
        <v>1311</v>
      </c>
      <c r="C46" s="22">
        <f>780+413</f>
        <v>1193</v>
      </c>
      <c r="D46" s="22">
        <f>986+390</f>
        <v>1376</v>
      </c>
      <c r="F46" s="19"/>
    </row>
    <row r="47" spans="1:6">
      <c r="A47" s="22" t="s">
        <v>282</v>
      </c>
      <c r="B47" s="22">
        <f>640+552</f>
        <v>1192</v>
      </c>
      <c r="C47" s="22">
        <f>507+423</f>
        <v>930</v>
      </c>
      <c r="D47" s="22">
        <f>468+562</f>
        <v>1030</v>
      </c>
      <c r="F47" s="19"/>
    </row>
    <row r="48" spans="1:6">
      <c r="A48" s="22" t="s">
        <v>216</v>
      </c>
      <c r="B48" s="22">
        <f>554+478</f>
        <v>1032</v>
      </c>
      <c r="C48" s="22">
        <f>664+447</f>
        <v>1111</v>
      </c>
      <c r="D48" s="22">
        <f>583+370</f>
        <v>953</v>
      </c>
      <c r="F48" s="19"/>
    </row>
    <row r="49" spans="1:6">
      <c r="A49" s="22" t="s">
        <v>284</v>
      </c>
      <c r="B49" s="22">
        <f>510+440</f>
        <v>950</v>
      </c>
      <c r="C49" s="22">
        <f>621+605</f>
        <v>1226</v>
      </c>
      <c r="D49" s="22">
        <f>470+421</f>
        <v>891</v>
      </c>
      <c r="F49" s="19"/>
    </row>
    <row r="50" spans="1:6">
      <c r="A50" s="22" t="s">
        <v>283</v>
      </c>
      <c r="B50" s="22">
        <f>502+363</f>
        <v>865</v>
      </c>
      <c r="C50" s="22">
        <f>847+367</f>
        <v>1214</v>
      </c>
      <c r="D50" s="22">
        <f>543+433</f>
        <v>976</v>
      </c>
      <c r="F50" s="19"/>
    </row>
    <row r="51" spans="1:6">
      <c r="A51" s="22" t="s">
        <v>225</v>
      </c>
      <c r="B51" s="22">
        <f>582+382</f>
        <v>964</v>
      </c>
      <c r="C51" s="22">
        <f>559+376</f>
        <v>935</v>
      </c>
      <c r="D51" s="22">
        <f>667+476</f>
        <v>1143</v>
      </c>
      <c r="F51" s="19"/>
    </row>
    <row r="52" spans="1:6">
      <c r="A52" s="22" t="s">
        <v>280</v>
      </c>
      <c r="B52" s="22">
        <f>901+70</f>
        <v>971</v>
      </c>
      <c r="C52" s="22">
        <f>925+71</f>
        <v>996</v>
      </c>
      <c r="D52" s="22">
        <f>984+68</f>
        <v>1052</v>
      </c>
      <c r="F52" s="19"/>
    </row>
    <row r="53" spans="1:6">
      <c r="A53" s="22" t="s">
        <v>296</v>
      </c>
      <c r="B53" s="22">
        <f>541+237</f>
        <v>778</v>
      </c>
      <c r="C53" s="22">
        <f>617+243</f>
        <v>860</v>
      </c>
      <c r="D53" s="22">
        <f>646+242</f>
        <v>888</v>
      </c>
      <c r="F53" s="19"/>
    </row>
    <row r="54" spans="1:6">
      <c r="A54" s="22" t="s">
        <v>213</v>
      </c>
      <c r="B54" s="22">
        <f>389+349</f>
        <v>738</v>
      </c>
      <c r="C54" s="22">
        <f>481+332</f>
        <v>813</v>
      </c>
      <c r="D54" s="22">
        <f>579+338</f>
        <v>917</v>
      </c>
      <c r="F54" s="19"/>
    </row>
    <row r="55" spans="1:6">
      <c r="B55" s="22"/>
      <c r="F55" s="19"/>
    </row>
    <row r="56" spans="1:6">
      <c r="B56" s="22"/>
      <c r="F56" s="19"/>
    </row>
    <row r="57" spans="1:6">
      <c r="B57" s="22"/>
    </row>
    <row r="58" spans="1:6">
      <c r="B58" s="22"/>
    </row>
    <row r="59" spans="1:6" ht="16.5">
      <c r="B59" s="22"/>
      <c r="D59" s="21"/>
      <c r="E59" s="21"/>
    </row>
    <row r="61" spans="1:6">
      <c r="B61" t="s">
        <v>247</v>
      </c>
      <c r="C61" t="s">
        <v>248</v>
      </c>
      <c r="D61" t="s">
        <v>249</v>
      </c>
      <c r="E61" t="s">
        <v>250</v>
      </c>
      <c r="F61" t="s">
        <v>205</v>
      </c>
    </row>
    <row r="62" spans="1:6" ht="17.25">
      <c r="A62" t="s">
        <v>285</v>
      </c>
      <c r="B62" s="24">
        <v>1067</v>
      </c>
      <c r="C62" s="24">
        <v>1058</v>
      </c>
      <c r="D62" s="25">
        <f>1089</f>
        <v>1089</v>
      </c>
      <c r="E62" s="25"/>
      <c r="F62" s="19">
        <f>AVERAGE(B62:D62)</f>
        <v>1071.3333333333333</v>
      </c>
    </row>
    <row r="63" spans="1:6" ht="17.25">
      <c r="A63" t="s">
        <v>286</v>
      </c>
      <c r="B63" s="24">
        <f>922+512</f>
        <v>1434</v>
      </c>
      <c r="C63" s="24">
        <f>537+368</f>
        <v>905</v>
      </c>
      <c r="D63" s="25">
        <f>1233+519</f>
        <v>1752</v>
      </c>
      <c r="E63" s="25"/>
      <c r="F63" s="19">
        <f t="shared" ref="F63:F72" si="2">AVERAGE(B63:D63)</f>
        <v>1363.6666666666667</v>
      </c>
    </row>
    <row r="64" spans="1:6" ht="17.25">
      <c r="A64" t="s">
        <v>287</v>
      </c>
      <c r="B64" s="24">
        <f>526+81</f>
        <v>607</v>
      </c>
      <c r="C64" s="24">
        <f>602+78</f>
        <v>680</v>
      </c>
      <c r="D64" s="25">
        <f>642+122</f>
        <v>764</v>
      </c>
      <c r="E64" s="25"/>
      <c r="F64" s="19">
        <f t="shared" si="2"/>
        <v>683.66666666666663</v>
      </c>
    </row>
    <row r="65" spans="1:6" ht="17.25">
      <c r="A65" t="s">
        <v>288</v>
      </c>
      <c r="B65" s="24">
        <f>291+55</f>
        <v>346</v>
      </c>
      <c r="C65" s="24">
        <f>195+20</f>
        <v>215</v>
      </c>
      <c r="D65" s="24">
        <f>241+36</f>
        <v>277</v>
      </c>
      <c r="E65" s="25"/>
      <c r="F65" s="19">
        <f t="shared" si="2"/>
        <v>279.33333333333331</v>
      </c>
    </row>
    <row r="66" spans="1:6">
      <c r="A66" t="s">
        <v>289</v>
      </c>
      <c r="B66" s="25">
        <f>277+251</f>
        <v>528</v>
      </c>
      <c r="C66" s="25">
        <f>226+208</f>
        <v>434</v>
      </c>
      <c r="D66" s="25">
        <f>217+208</f>
        <v>425</v>
      </c>
      <c r="E66" s="25"/>
      <c r="F66" s="19">
        <f t="shared" si="2"/>
        <v>462.33333333333331</v>
      </c>
    </row>
    <row r="67" spans="1:6" ht="17.25">
      <c r="A67" t="s">
        <v>290</v>
      </c>
      <c r="B67" s="24">
        <v>199</v>
      </c>
      <c r="C67" s="24">
        <v>183</v>
      </c>
      <c r="D67" s="24">
        <v>229</v>
      </c>
      <c r="E67" s="25"/>
      <c r="F67" s="19">
        <f t="shared" si="2"/>
        <v>203.66666666666666</v>
      </c>
    </row>
    <row r="68" spans="1:6" ht="17.25">
      <c r="A68" t="s">
        <v>291</v>
      </c>
      <c r="B68" s="24">
        <f>182+21</f>
        <v>203</v>
      </c>
      <c r="C68" s="25">
        <f>176+137</f>
        <v>313</v>
      </c>
      <c r="D68" s="25">
        <f>194+137</f>
        <v>331</v>
      </c>
      <c r="E68" s="25"/>
      <c r="F68" s="19">
        <f t="shared" si="2"/>
        <v>282.33333333333331</v>
      </c>
    </row>
    <row r="69" spans="1:6" ht="17.25">
      <c r="A69" t="s">
        <v>292</v>
      </c>
      <c r="B69" s="24">
        <f>173+23</f>
        <v>196</v>
      </c>
      <c r="C69" s="24">
        <f>112+26</f>
        <v>138</v>
      </c>
      <c r="D69" s="25">
        <f>3</f>
        <v>3</v>
      </c>
      <c r="E69" s="25"/>
      <c r="F69" s="19">
        <f t="shared" si="2"/>
        <v>112.33333333333333</v>
      </c>
    </row>
    <row r="70" spans="1:6" ht="17.25">
      <c r="A70" t="s">
        <v>293</v>
      </c>
      <c r="B70" s="25">
        <f>133+99</f>
        <v>232</v>
      </c>
      <c r="C70" s="24">
        <f>1170+206</f>
        <v>1376</v>
      </c>
      <c r="D70" s="25">
        <f>312+149</f>
        <v>461</v>
      </c>
      <c r="E70" s="25"/>
      <c r="F70" s="19">
        <f t="shared" si="2"/>
        <v>689.66666666666663</v>
      </c>
    </row>
    <row r="71" spans="1:6" ht="17.25">
      <c r="A71" t="s">
        <v>294</v>
      </c>
      <c r="B71" s="25">
        <f>143+32</f>
        <v>175</v>
      </c>
      <c r="C71" s="24">
        <f>134+25</f>
        <v>159</v>
      </c>
      <c r="D71" s="25">
        <f>129+39</f>
        <v>168</v>
      </c>
      <c r="E71" s="25"/>
      <c r="F71" s="19">
        <f t="shared" si="2"/>
        <v>167.33333333333334</v>
      </c>
    </row>
    <row r="72" spans="1:6">
      <c r="A72" t="s">
        <v>295</v>
      </c>
      <c r="B72" s="25">
        <f>78+61</f>
        <v>139</v>
      </c>
      <c r="C72" s="25">
        <f>108+53</f>
        <v>161</v>
      </c>
      <c r="D72" s="25">
        <f>88+81</f>
        <v>169</v>
      </c>
      <c r="E72" s="25"/>
      <c r="F72" s="19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View Data</vt:lpstr>
      <vt:lpstr>Raw Report Info</vt:lpstr>
      <vt:lpstr>Mailings- Detail</vt:lpstr>
      <vt:lpstr>Expert Views</vt:lpstr>
      <vt:lpstr>Random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csisuser</cp:lastModifiedBy>
  <dcterms:created xsi:type="dcterms:W3CDTF">2016-09-11T22:40:47Z</dcterms:created>
  <dcterms:modified xsi:type="dcterms:W3CDTF">2016-09-13T22:05:55Z</dcterms:modified>
</cp:coreProperties>
</file>