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R-Shiny\Google Correlate\Blocks\"/>
    </mc:Choice>
  </mc:AlternateContent>
  <bookViews>
    <workbookView xWindow="0" yWindow="0" windowWidth="25125" windowHeight="12210" tabRatio="500" activeTab="1"/>
  </bookViews>
  <sheets>
    <sheet name="Raw View Data" sheetId="2" r:id="rId1"/>
    <sheet name="Raw Report Info" sheetId="1" r:id="rId2"/>
    <sheet name="Expert Views" sheetId="4" r:id="rId3"/>
    <sheet name="Random Work" sheetId="3" r:id="rId4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9" i="2" l="1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U67" i="2"/>
  <c r="T67" i="2"/>
  <c r="S67" i="2"/>
  <c r="R67" i="2"/>
  <c r="Q67" i="2"/>
  <c r="P67" i="2"/>
  <c r="O67" i="2"/>
  <c r="M67" i="2"/>
  <c r="L67" i="2"/>
  <c r="K67" i="2"/>
  <c r="J67" i="2"/>
  <c r="I67" i="2"/>
  <c r="H67" i="2"/>
  <c r="T70" i="2"/>
  <c r="N70" i="2"/>
  <c r="M70" i="2"/>
  <c r="L70" i="2"/>
  <c r="K70" i="2"/>
  <c r="J70" i="2"/>
  <c r="I70" i="2"/>
  <c r="H70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R63" i="2"/>
  <c r="Q63" i="2"/>
  <c r="P63" i="2"/>
  <c r="O63" i="2"/>
  <c r="N63" i="2"/>
  <c r="M63" i="2"/>
  <c r="L63" i="2"/>
  <c r="K63" i="2"/>
  <c r="J63" i="2"/>
  <c r="I63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F63" i="3" l="1"/>
  <c r="F64" i="3"/>
  <c r="F65" i="3"/>
  <c r="F66" i="3"/>
  <c r="F67" i="3"/>
  <c r="F68" i="3"/>
  <c r="F69" i="3"/>
  <c r="F70" i="3"/>
  <c r="F71" i="3"/>
  <c r="F72" i="3"/>
  <c r="F62" i="3"/>
  <c r="B28" i="3"/>
  <c r="C28" i="3"/>
  <c r="D28" i="3"/>
  <c r="F28" i="3"/>
  <c r="B29" i="3"/>
  <c r="C29" i="3"/>
  <c r="D29" i="3"/>
  <c r="F29" i="3"/>
  <c r="B30" i="3"/>
  <c r="C30" i="3"/>
  <c r="D30" i="3"/>
  <c r="F30" i="3"/>
  <c r="B31" i="3"/>
  <c r="C31" i="3"/>
  <c r="D31" i="3"/>
  <c r="F31" i="3"/>
  <c r="B32" i="3"/>
  <c r="C32" i="3"/>
  <c r="D32" i="3"/>
  <c r="F32" i="3"/>
  <c r="B33" i="3"/>
  <c r="C33" i="3"/>
  <c r="D33" i="3"/>
  <c r="F33" i="3"/>
  <c r="B34" i="3"/>
  <c r="C34" i="3"/>
  <c r="D34" i="3"/>
  <c r="F34" i="3"/>
  <c r="B35" i="3"/>
  <c r="C35" i="3"/>
  <c r="D35" i="3"/>
  <c r="F35" i="3"/>
  <c r="B36" i="3"/>
  <c r="C27" i="3"/>
  <c r="C36" i="3"/>
  <c r="D36" i="3"/>
  <c r="F36" i="3"/>
  <c r="F27" i="3"/>
  <c r="B54" i="3"/>
  <c r="C54" i="3"/>
  <c r="D54" i="3"/>
  <c r="B64" i="3"/>
  <c r="C64" i="3"/>
  <c r="D63" i="3"/>
  <c r="B65" i="3"/>
  <c r="C65" i="3"/>
  <c r="D64" i="3"/>
  <c r="B66" i="3"/>
  <c r="C66" i="3"/>
  <c r="D65" i="3"/>
  <c r="D66" i="3"/>
  <c r="B68" i="3"/>
  <c r="C68" i="3"/>
  <c r="B69" i="3"/>
  <c r="C69" i="3"/>
  <c r="D68" i="3"/>
  <c r="B70" i="3"/>
  <c r="C70" i="3"/>
  <c r="D69" i="3"/>
  <c r="B71" i="3"/>
  <c r="C71" i="3"/>
  <c r="D70" i="3"/>
  <c r="B72" i="3"/>
  <c r="C72" i="3"/>
  <c r="D71" i="3"/>
  <c r="D72" i="3"/>
  <c r="B63" i="3"/>
  <c r="C63" i="3"/>
  <c r="D62" i="3"/>
  <c r="B41" i="3"/>
  <c r="C41" i="3"/>
  <c r="D40" i="3"/>
  <c r="B42" i="3"/>
  <c r="C42" i="3"/>
  <c r="D41" i="3"/>
  <c r="B43" i="3"/>
  <c r="C43" i="3"/>
  <c r="D42" i="3"/>
  <c r="B44" i="3"/>
  <c r="C44" i="3"/>
  <c r="D43" i="3"/>
  <c r="B45" i="3"/>
  <c r="C45" i="3"/>
  <c r="D44" i="3"/>
  <c r="B46" i="3"/>
  <c r="C46" i="3"/>
  <c r="D45" i="3"/>
  <c r="B47" i="3"/>
  <c r="C47" i="3"/>
  <c r="D46" i="3"/>
  <c r="B48" i="3"/>
  <c r="C48" i="3"/>
  <c r="D47" i="3"/>
  <c r="B49" i="3"/>
  <c r="C49" i="3"/>
  <c r="D48" i="3"/>
  <c r="B50" i="3"/>
  <c r="C50" i="3"/>
  <c r="D49" i="3"/>
  <c r="B51" i="3"/>
  <c r="C51" i="3"/>
  <c r="D50" i="3"/>
  <c r="B52" i="3"/>
  <c r="C52" i="3"/>
  <c r="D51" i="3"/>
  <c r="B53" i="3"/>
  <c r="C53" i="3"/>
  <c r="D52" i="3"/>
  <c r="D53" i="3"/>
  <c r="B40" i="3"/>
  <c r="C40" i="3"/>
  <c r="D39" i="3"/>
  <c r="C39" i="3"/>
  <c r="B39" i="3"/>
  <c r="D8" i="3"/>
  <c r="D7" i="3"/>
  <c r="D6" i="3"/>
  <c r="D5" i="3"/>
  <c r="D4" i="3"/>
  <c r="D3" i="3"/>
  <c r="D2" i="3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G117" i="2"/>
  <c r="F117" i="2"/>
  <c r="G116" i="2"/>
  <c r="F116" i="2"/>
  <c r="G115" i="2"/>
  <c r="F115" i="2"/>
  <c r="G114" i="2"/>
  <c r="F114" i="2"/>
  <c r="G113" i="2"/>
  <c r="F113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G111" i="2"/>
  <c r="F111" i="2"/>
  <c r="G110" i="2"/>
  <c r="F110" i="2"/>
  <c r="G109" i="2"/>
  <c r="F109" i="2"/>
  <c r="G108" i="2"/>
  <c r="F108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<sst xmlns="http://schemas.openxmlformats.org/spreadsheetml/2006/main" count="800" uniqueCount="275">
  <si>
    <t>Title</t>
  </si>
  <si>
    <t>Type</t>
  </si>
  <si>
    <t>Date</t>
  </si>
  <si>
    <t>Author(s)</t>
  </si>
  <si>
    <t>Total Views</t>
  </si>
  <si>
    <t>2 Wk Views</t>
  </si>
  <si>
    <t>Daily Avg.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</si>
  <si>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</si>
  <si>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</si>
  <si>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</si>
  <si>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</si>
  <si>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</si>
  <si>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</si>
  <si>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</si>
  <si>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</si>
  <si>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</si>
  <si>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</si>
  <si>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</si>
  <si>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</si>
  <si>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</si>
  <si>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</si>
  <si>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Oil Price Movements in Perspective</t>
  </si>
  <si>
    <t>Commentary</t>
  </si>
  <si>
    <t>Frank Verrastro, Guy Caruso, et al</t>
  </si>
  <si>
    <t>Europe in the Crosshairs: Political Implications of Terror</t>
  </si>
  <si>
    <t>Carl Hvenmark Nilsson</t>
  </si>
  <si>
    <t>Failing on Zika</t>
  </si>
  <si>
    <t>J. Stephen Morrison</t>
  </si>
  <si>
    <t>Russia and the DNC Hacks</t>
  </si>
  <si>
    <t>James Andrew Lewis</t>
  </si>
  <si>
    <t>U.S. Wars in Iraq, Syria, Libya and Yemen: What Are The Endstates?</t>
  </si>
  <si>
    <t>Anthony Cordesman</t>
  </si>
  <si>
    <t>Turkish Stream Redux</t>
  </si>
  <si>
    <t>Edward Chow</t>
  </si>
  <si>
    <t>A Quick but Concerning Start to the Duterte Presidency</t>
  </si>
  <si>
    <t>Conor Cronin</t>
  </si>
  <si>
    <t>Drought-Ravaged Malawi Faces Largest Humanitarian Emergency in its History</t>
  </si>
  <si>
    <t>Reid Hamel</t>
  </si>
  <si>
    <t>A Friend in Need? Russia and Turkey after the Coup</t>
  </si>
  <si>
    <t>Jeffrey Mankoff</t>
  </si>
  <si>
    <t>Terrorism: The Thing We Have to Fear the Most is Fear Itself</t>
  </si>
  <si>
    <t>Rising Ambitions and Growing Resources Mark New German Security Strategy</t>
  </si>
  <si>
    <t>Jeffrey Rathke</t>
  </si>
  <si>
    <t>Food Security’s Ability to Unite, Power to Protect</t>
  </si>
  <si>
    <t>John Hamre, Kimberly Flowers</t>
  </si>
  <si>
    <t>Singapore-U.S. Relations to Set Pace for Twenty-first Century U.S. Engagement in Southeast Asia</t>
  </si>
  <si>
    <t>Phuong Nguyen</t>
  </si>
  <si>
    <t>Security in the Eastern Mediterranean after the Coup Attempt: Turkey’s Reckoning and Washington’s Worries</t>
  </si>
  <si>
    <t>Jeffrey Rathke, Lisa Sawyer Samp</t>
  </si>
  <si>
    <t>The Future of Turkey: Preliminary Survey Results</t>
  </si>
  <si>
    <t>John Schaus, Scott Aughenbaugh</t>
  </si>
  <si>
    <t>A New Paradigm in Disease Control—The Example of Hepatitis C Elimination: Will Countries and Donors Adapt?</t>
  </si>
  <si>
    <t>Robert Hecht, J. Stephen Morrison</t>
  </si>
  <si>
    <t>How Democracy’s Decline Would Undermine the International Order</t>
  </si>
  <si>
    <t>Andrea Kendall-Taylor</t>
  </si>
  <si>
    <t>Recalibrating the Islamic State Threat in Southeast Asia</t>
  </si>
  <si>
    <t>Southern Africa's Silent Food Crisis</t>
  </si>
  <si>
    <t>Richard Downie</t>
  </si>
  <si>
    <t>Germany: Washington’s Partner of Choice Enters Election Mode</t>
  </si>
  <si>
    <t>Drone Strikes: Complicated but Necessary</t>
  </si>
  <si>
    <t>The New White House Drone Report</t>
  </si>
  <si>
    <t>Turkey and the United States after the Istanbul Airport Attack: Still Divided by Syria?</t>
  </si>
  <si>
    <t>Bulent Aliriza</t>
  </si>
  <si>
    <t>The Future of Europe? Bummer…</t>
  </si>
  <si>
    <t>Heather Conley</t>
  </si>
  <si>
    <t>What Does a Brexit Mean for Energy Markets?</t>
  </si>
  <si>
    <t>Andrew Stanley</t>
  </si>
  <si>
    <t>End of AIDS Requires Addressing LGBTI Safety</t>
  </si>
  <si>
    <t>Sara Allinder</t>
  </si>
  <si>
    <t>The U.S.-China S&amp;ED: Time to Tinker, Not to Toss</t>
  </si>
  <si>
    <t>Claire Reade</t>
  </si>
  <si>
    <t>North American Pivot? President Obama Meets Canadian and Mexican Leaders in Ottawa at a Crucial Moment</t>
  </si>
  <si>
    <t>Kimberly Breier, Christopher Sands</t>
  </si>
  <si>
    <t>ASEAN Learning to Navigate a New Age in Great Power Politics</t>
  </si>
  <si>
    <t>Obama and U.S. Strategy in the Middle East</t>
  </si>
  <si>
    <t>The Choice to Leave or to Remain: Reflections from London</t>
  </si>
  <si>
    <t>Taking Stock on World Refugee Day</t>
  </si>
  <si>
    <t>Shannon Green</t>
  </si>
  <si>
    <t>Addressing Orlando: Understanding ISIS-Inspired Attacks in the West</t>
  </si>
  <si>
    <t>Aung San Suu Kyi Sets Out to Find “Practical Solutions” in Rakhine State, and the World Should Help</t>
  </si>
  <si>
    <t>Murray Heibert, Phuong Nguyen</t>
  </si>
  <si>
    <t>U.S. Democracy Promotion in Africa: Why Zanzibar Matters</t>
  </si>
  <si>
    <t>Jennifer Cooke</t>
  </si>
  <si>
    <t>Reforming Security Cooperation for the 21st Century</t>
  </si>
  <si>
    <t>Melissa Dalton</t>
  </si>
  <si>
    <t>Iraq, Syria, and the Gulf: The Cost of an ISIS-Centric U.S. Strategy</t>
  </si>
  <si>
    <t>The Baltic Region’s Security Gap: Understanding Why U.S.-Swedish Military Cooperation Is Key</t>
  </si>
  <si>
    <t>With a Dozen Economic Reform Packages under His Belt, Indonesia’s Jokowi Settles In</t>
  </si>
  <si>
    <t>Shannon Hayden</t>
  </si>
  <si>
    <t>Haiti Policy: Now for Something Completely Different</t>
  </si>
  <si>
    <t>Gregory Fauriol</t>
  </si>
  <si>
    <t>What to Make of the Newly Established CyberSecurity Association of China</t>
  </si>
  <si>
    <t>Samm Sacks, Robert O'Brien</t>
  </si>
  <si>
    <t>Afghanistan: Deciding the Future of the Not Quite “Forgotten War”</t>
  </si>
  <si>
    <t>The Food Security Solution</t>
  </si>
  <si>
    <t>Kimberly Flowers</t>
  </si>
  <si>
    <t>Shift in Market Sentiment Supported by Market Fundamentals (at least for now…)</t>
  </si>
  <si>
    <t>Kenya’s Dangerous, Vague Alchemy—Refugees and Terror</t>
  </si>
  <si>
    <t>A Rare Television Address by Japan’s Emperor</t>
  </si>
  <si>
    <t>Critical Questions</t>
  </si>
  <si>
    <t>Michael Green, Nicholas Szechenyi</t>
  </si>
  <si>
    <t>India: One Step Closer to a National Market</t>
  </si>
  <si>
    <t>Richard Rossow</t>
  </si>
  <si>
    <t>What Has the Budget Control Act of 2011 Meant for Defense?</t>
  </si>
  <si>
    <t>Todd Harrison</t>
  </si>
  <si>
    <t>Japan's Upper House Election</t>
  </si>
  <si>
    <t>The 2016 North American Leaders Summit</t>
  </si>
  <si>
    <t>Christopher Sands</t>
  </si>
  <si>
    <t>Brexit: A Leap into the Article 50 Dark</t>
  </si>
  <si>
    <t>Simond de Galbert</t>
  </si>
  <si>
    <t>Prime Minister Modi’s Visit to Washington</t>
  </si>
  <si>
    <t>The Afghan War: Reshaping American Strategy and Finding Ways to Win</t>
  </si>
  <si>
    <t>Report</t>
  </si>
  <si>
    <t>China Space Strategy and Developments</t>
  </si>
  <si>
    <t>Domestic Resource Mobilization: Tax System Reform</t>
  </si>
  <si>
    <t>Daniel Runde</t>
  </si>
  <si>
    <t>Urgent and Important</t>
  </si>
  <si>
    <t>Ritu Sharma</t>
  </si>
  <si>
    <t>Japan’s Role in Addressing Global Antimicrobial Resistance</t>
  </si>
  <si>
    <t>Audrey Jackson, Hiromi Murakami</t>
  </si>
  <si>
    <t>Revisiting the Minsk II Agreement</t>
  </si>
  <si>
    <t>Korean Special, Asymmetric, and Paramilitary Forces</t>
  </si>
  <si>
    <t>Evolving Strategies in the U.S.-China Military Balance</t>
  </si>
  <si>
    <t>Senior Executive Women in Aerospace, Defense and Electronics Industries</t>
  </si>
  <si>
    <t>Raymond DuBois</t>
  </si>
  <si>
    <t>“Defeating” ISIS: The Real Threats and Challenges</t>
  </si>
  <si>
    <t>The Changing Gulf Balance and the Iranian Threat</t>
  </si>
  <si>
    <t>Making Choices: The Future of the U.S.-Egyptian Relationship</t>
  </si>
  <si>
    <t>Jon Alterman</t>
  </si>
  <si>
    <t>The Conventional Military Balance in the Koreas and Northeast Asia</t>
  </si>
  <si>
    <t>Chinese Military Organization and Reform</t>
  </si>
  <si>
    <t>Taiwan’s Vibrant Democracy and Beleaguered Economy</t>
  </si>
  <si>
    <t>Robert Wang</t>
  </si>
  <si>
    <t>East Africa and the Indian Ocean Region</t>
  </si>
  <si>
    <t>The Missile Defense Agency and the Color of Money</t>
  </si>
  <si>
    <t>Thomas Karako</t>
  </si>
  <si>
    <t>The Uncertain Trends and Metrics of Terrorism in 2016</t>
  </si>
  <si>
    <t>Public-Private Partnerships for Women’s Health in Zambia</t>
  </si>
  <si>
    <t>Janet Fleischman, Katherine Peck</t>
  </si>
  <si>
    <t>North Korean Nuclear Forces</t>
  </si>
  <si>
    <t>Undersea Warfare in Northern Europe</t>
  </si>
  <si>
    <t>Kathleen Hicks, Andrew Metrick, et al</t>
  </si>
  <si>
    <t>China’s Nuclear Forces and Weapons of Mass Destruction</t>
  </si>
  <si>
    <t>Catalyzing Health Gains through Global Polio Eradication</t>
  </si>
  <si>
    <t>Nellie Bristol, Chris Millard</t>
  </si>
  <si>
    <t>The Challenges of Building a National Army in Yemen</t>
  </si>
  <si>
    <t>Zoltan Barany</t>
  </si>
  <si>
    <t>Reforming Security Cooperation</t>
  </si>
  <si>
    <t>Looking East: European Air and Missile Defense after Warsaw</t>
  </si>
  <si>
    <t>Benchmarking the Business of Agriculture</t>
  </si>
  <si>
    <t>Andrea Durkin, Kimberly Flowers</t>
  </si>
  <si>
    <t>The “OPEC Disease”: Assessing the Impact of Lower Oil Export Revenues</t>
  </si>
  <si>
    <t>Reducing the Number of Senior Executive Service Positions</t>
  </si>
  <si>
    <t>Mark Cancian</t>
  </si>
  <si>
    <t>Moving Away from Traditional Major Defense Acquisition Program Structure</t>
  </si>
  <si>
    <t>Andrew Philip Hunter</t>
  </si>
  <si>
    <t>Establish Under Secretary of Defense for Research and Engineering</t>
  </si>
  <si>
    <t>Reducing the Number of Active Duty General/Flag Officers</t>
  </si>
  <si>
    <t>The Obama Strategy in Afghanistan: Finding a Way to Win</t>
  </si>
  <si>
    <t>Defense Department PAS Positions</t>
  </si>
  <si>
    <t>Smart Conditions</t>
  </si>
  <si>
    <t>Reducing Number of Four-Star Generals/Flag Officers</t>
  </si>
  <si>
    <t>Limiting Size of NSC Staff</t>
  </si>
  <si>
    <t>Creating OSD "Mission Teams"</t>
  </si>
  <si>
    <t>Tools and Strategies to Prevent Mass Atrocities Committed by Violent Extremist Organizations</t>
  </si>
  <si>
    <t>Azerbaijan in a Reconnecting Eurasia</t>
  </si>
  <si>
    <t>Andrew Kuchins, Jeffrey Mankoff, et al</t>
  </si>
  <si>
    <t>Armenia in a Reconnecting Eurasia</t>
  </si>
  <si>
    <t>Georgia in a Reconnecting Eurasia</t>
  </si>
  <si>
    <t>Evaluating Future U.S. Army Force Posture in Europe: Phase II Report</t>
  </si>
  <si>
    <t>Kathleen Hicks, Heather Conley</t>
  </si>
  <si>
    <t>Landing Together</t>
  </si>
  <si>
    <t xml:space="preserve">Kathleen Hicks, Mark Cancian </t>
  </si>
  <si>
    <t>Transatlantic Economic Statecraft</t>
  </si>
  <si>
    <t>Issues &amp; Insights Vol. 16 - No. 11 - Beyond Bilateralism: Exercising a Maritime Security Network in Southeast Asia</t>
  </si>
  <si>
    <t>CDR John F. Bradford &amp; Greg R. Adams, USN</t>
  </si>
  <si>
    <t>Stability and Instability in the Gulf Region in 2016</t>
  </si>
  <si>
    <t>CSIS Americas Program Conference Report</t>
  </si>
  <si>
    <t>Douglas Farah</t>
  </si>
  <si>
    <t>Can Agricultural Cooperation Strengthen U.S.-Cuba Normalization?</t>
  </si>
  <si>
    <t>Carl Meacham, Jillian Rafferty</t>
  </si>
  <si>
    <t>Issues &amp; Insights Vol. 16 - No. 10 - China’s “New Silk Road” and US-Japan Alliance Geostrategy: Challenges and Opportunities</t>
  </si>
  <si>
    <t>Peter G. Cornett</t>
  </si>
  <si>
    <t>Sound Policy, Uneven Performance</t>
  </si>
  <si>
    <t>Project on Nuclear Issues Journal</t>
  </si>
  <si>
    <t>Sarah Minot</t>
  </si>
  <si>
    <t>The Changing Security Structure in the Middle East</t>
  </si>
  <si>
    <t>Navigating Gulf Waters After the Iran Nuclear Deal</t>
  </si>
  <si>
    <t>Energy 101: Electricity</t>
  </si>
  <si>
    <t>N/A</t>
  </si>
  <si>
    <t>Perfecting China, Inc.</t>
  </si>
  <si>
    <t>Scott Kennedy, Christopher K. Johnson</t>
  </si>
  <si>
    <t>Issues &amp; Insights Vol. 16 - No. 9 - Myanmar-DPRK relations: disarmament and nuclear nonproliferation dimension</t>
  </si>
  <si>
    <t>Aung Ko Min</t>
  </si>
  <si>
    <t>Dealing Fairly with a Key Ally: Releasing the 28 Pages</t>
  </si>
  <si>
    <t>Global Development Monitor</t>
  </si>
  <si>
    <t>Conor Savoy</t>
  </si>
  <si>
    <t>Transformative Innovation for International Development</t>
  </si>
  <si>
    <t>Helen Moser</t>
  </si>
  <si>
    <t>Assessing the Final Clean Power Plan</t>
  </si>
  <si>
    <t>John Larsen, Sarah Ladislaw</t>
  </si>
  <si>
    <t>U.S. Military Forces in FY 2017</t>
  </si>
  <si>
    <t>Perspectives on Defense Reform</t>
  </si>
  <si>
    <t>Kathleen Hicks, Colin McElhinny</t>
  </si>
  <si>
    <t>Average</t>
  </si>
  <si>
    <t>Burke</t>
  </si>
  <si>
    <t>Strategic Technologies</t>
  </si>
  <si>
    <t>Southeast Asia</t>
  </si>
  <si>
    <t>Russia &amp; Eurasia</t>
  </si>
  <si>
    <t>International Security</t>
  </si>
  <si>
    <t>China Studies</t>
  </si>
  <si>
    <t>Pacific Forum</t>
  </si>
  <si>
    <t>Urgent and Important: Measuring Investments in Youth Economic Opportunity</t>
  </si>
  <si>
    <t>Sound Policy, Uneven Performance: Assessing Nigeria's Agricultural Strategy</t>
  </si>
  <si>
    <t>Crowdsourcing Perspectives on Defense Reform</t>
  </si>
  <si>
    <t>No</t>
  </si>
  <si>
    <t>Yes</t>
  </si>
  <si>
    <t>Experts</t>
  </si>
  <si>
    <t>June</t>
  </si>
  <si>
    <t>July</t>
  </si>
  <si>
    <t>August</t>
  </si>
  <si>
    <t>Trend</t>
  </si>
  <si>
    <t>Bonnie Glaser</t>
  </si>
  <si>
    <t>Kathleen Hicks</t>
  </si>
  <si>
    <t>James Cartwright</t>
  </si>
  <si>
    <t>Michael Green</t>
  </si>
  <si>
    <t>Zbigniew Brzezinski</t>
  </si>
  <si>
    <t>James Lewis</t>
  </si>
  <si>
    <t>John Hamre</t>
  </si>
  <si>
    <t>Christopher Johnson</t>
  </si>
  <si>
    <t>Lisa Samp</t>
  </si>
  <si>
    <t>Andrew Hunter</t>
  </si>
  <si>
    <t>Day Freq</t>
  </si>
  <si>
    <t>Average/Day</t>
  </si>
  <si>
    <t>Sunday Overall</t>
  </si>
  <si>
    <t>Monday Overall</t>
  </si>
  <si>
    <t>Tuestay Overall</t>
  </si>
  <si>
    <t>Wednesday Overall</t>
  </si>
  <si>
    <t>Thursday Overall</t>
  </si>
  <si>
    <t>Friday Overall</t>
  </si>
  <si>
    <t>Saturday Overall</t>
  </si>
  <si>
    <t>Analysis</t>
  </si>
  <si>
    <t>Events</t>
  </si>
  <si>
    <t>Programs</t>
  </si>
  <si>
    <t>Other</t>
  </si>
  <si>
    <t>/about us</t>
  </si>
  <si>
    <t>/regions/</t>
  </si>
  <si>
    <t>/topics</t>
  </si>
  <si>
    <t>Executive Education</t>
  </si>
  <si>
    <t>Korea Chair</t>
  </si>
  <si>
    <t>Middle East Program</t>
  </si>
  <si>
    <t>iDeas Lab</t>
  </si>
  <si>
    <t>Africa Program</t>
  </si>
  <si>
    <t>China Power</t>
  </si>
  <si>
    <t>Global Health Policy</t>
  </si>
  <si>
    <t>Energy &amp; Nat Sec</t>
  </si>
  <si>
    <t>Archived Projects</t>
  </si>
  <si>
    <t>PONI</t>
  </si>
  <si>
    <t>Strategic Futures</t>
  </si>
  <si>
    <t>SWSP</t>
  </si>
  <si>
    <t>DIIG</t>
  </si>
  <si>
    <t>Military Fellows</t>
  </si>
  <si>
    <t>Missile Defense</t>
  </si>
  <si>
    <t xml:space="preserve">Defense Budget </t>
  </si>
  <si>
    <t>Prolif Prevention</t>
  </si>
  <si>
    <t>Global Security Forum</t>
  </si>
  <si>
    <t xml:space="preserve">Global Threats </t>
  </si>
  <si>
    <t>Transnational Threats</t>
  </si>
  <si>
    <t>Podcasts</t>
  </si>
  <si>
    <t>CSIS Homepage</t>
  </si>
  <si>
    <t>Pages Viewsed</t>
  </si>
  <si>
    <t>Block Numbers?</t>
  </si>
  <si>
    <t>Block 1 Used?</t>
  </si>
  <si>
    <t>Bck 2-4 Used?</t>
  </si>
  <si>
    <t>186+1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</si>
</sst>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5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CCFF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2" xfId="0" applyFont="1" applyFill="1" applyBorder="1"/>
    <xf numFmtId="164" fontId="1" fillId="0" borderId="2" xfId="0" applyNumberFormat="1" applyFont="1" applyFill="1" applyBorder="1"/>
    <xf numFmtId="0" fontId="0" fillId="2" borderId="3" xfId="0" applyFill="1" applyBorder="1"/>
    <xf numFmtId="0" fontId="0" fillId="0" borderId="4" xfId="0" applyBorder="1"/>
    <xf numFmtId="16" fontId="0" fillId="0" borderId="4" xfId="0" applyNumberFormat="1" applyBorder="1"/>
    <xf numFmtId="0" fontId="0" fillId="0" borderId="5" xfId="0" applyBorder="1"/>
    <xf numFmtId="164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2" borderId="0" xfId="0" applyFill="1" applyBorder="1"/>
    <xf numFmtId="0" fontId="0" fillId="0" borderId="3" xfId="0" applyBorder="1"/>
    <xf numFmtId="0" fontId="0" fillId="0" borderId="3" xfId="0" applyFill="1" applyBorder="1"/>
    <xf numFmtId="0" fontId="0" fillId="0" borderId="4" xfId="0" applyNumberFormat="1" applyBorder="1"/>
    <xf numFmtId="10" fontId="0" fillId="0" borderId="4" xfId="0" applyNumberFormat="1" applyBorder="1"/>
    <xf numFmtId="1" fontId="0" fillId="0" borderId="5" xfId="0" applyNumberFormat="1" applyBorder="1"/>
    <xf numFmtId="1" fontId="0" fillId="0" borderId="0" xfId="0" applyNumberFormat="1"/>
    <xf numFmtId="3" fontId="0" fillId="0" borderId="0" xfId="0" applyNumberFormat="1"/>
    <xf numFmtId="0" fontId="3" fillId="0" borderId="0" xfId="0" applyFont="1"/>
    <xf numFmtId="0" fontId="0" fillId="0" borderId="0" xfId="0" applyFont="1"/>
    <xf numFmtId="3" fontId="0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0" fontId="1" fillId="0" borderId="0" xfId="0" applyFont="1"/>
    <xf numFmtId="0" fontId="0" fillId="0" borderId="6" xfId="0" applyBorder="1"/>
    <xf numFmtId="0" fontId="0" fillId="0" borderId="7" xfId="0" applyNumberFormat="1" applyBorder="1"/>
    <xf numFmtId="10" fontId="0" fillId="0" borderId="7" xfId="0" applyNumberFormat="1" applyBorder="1"/>
    <xf numFmtId="1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0" xfId="0" applyNumberFormat="1" applyBorder="1"/>
    <xf numFmtId="10" fontId="0" fillId="0" borderId="10" xfId="0" applyNumberFormat="1" applyBorder="1"/>
    <xf numFmtId="1" fontId="0" fillId="0" borderId="11" xfId="0" applyNumberFormat="1" applyBorder="1"/>
    <xf numFmtId="0" fontId="2" fillId="0" borderId="1" xfId="0" applyFont="1" applyBorder="1"/>
    <xf numFmtId="165" fontId="2" fillId="0" borderId="1" xfId="0" applyNumberFormat="1" applyFont="1" applyBorder="1" applyAlignment="1">
      <alignment horizontal="center"/>
    </xf>
    <xf numFmtId="0" fontId="0" fillId="0" borderId="4" xfId="0" applyFill="1" applyBorder="1"/>
    <xf numFmtId="0" fontId="0" fillId="2" borderId="9" xfId="0" applyFill="1" applyBorder="1"/>
    <xf numFmtId="0" fontId="0" fillId="0" borderId="10" xfId="0" applyFill="1" applyBorder="1"/>
    <xf numFmtId="0" fontId="1" fillId="2" borderId="12" xfId="0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0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6" xfId="0" applyFill="1" applyBorder="1"/>
    <xf numFmtId="0" fontId="0" fillId="3" borderId="7" xfId="0" applyFill="1" applyBorder="1"/>
    <xf numFmtId="0" fontId="1" fillId="0" borderId="15" xfId="0" applyFont="1" applyFill="1" applyBorder="1"/>
    <xf numFmtId="2" fontId="0" fillId="0" borderId="0" xfId="0" applyNumberFormat="1" applyFont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5" borderId="3" xfId="0" applyFill="1" applyBorder="1"/>
    <xf numFmtId="0" fontId="0" fillId="5" borderId="4" xfId="0" applyFill="1" applyBorder="1"/>
    <xf numFmtId="0" fontId="0" fillId="5" borderId="0" xfId="0" applyFill="1"/>
    <xf numFmtId="0" fontId="0" fillId="2" borderId="0" xfId="0" applyFill="1"/>
    <xf numFmtId="0" fontId="0" fillId="6" borderId="3" xfId="0" applyFill="1" applyBorder="1"/>
    <xf numFmtId="0" fontId="0" fillId="6" borderId="4" xfId="0" applyFill="1" applyBorder="1"/>
    <xf numFmtId="0" fontId="0" fillId="6" borderId="0" xfId="0" applyFill="1"/>
    <xf numFmtId="0" fontId="0" fillId="7" borderId="0" xfId="0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'Random Work'!$B$38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Work'!$A$39:$A$54</c:f>
              <c:strCache>
                <c:ptCount val="16"/>
                <c:pt idx="0">
                  <c:v>Pacific Forum</c:v>
                </c:pt>
                <c:pt idx="1">
                  <c:v>International Security</c:v>
                </c:pt>
                <c:pt idx="2">
                  <c:v>Executive Education</c:v>
                </c:pt>
                <c:pt idx="3">
                  <c:v>Korea Chair</c:v>
                </c:pt>
                <c:pt idx="4">
                  <c:v>Strategic Technologies</c:v>
                </c:pt>
                <c:pt idx="5">
                  <c:v>Russia &amp; Eurasia</c:v>
                </c:pt>
                <c:pt idx="6">
                  <c:v>Middle East Program</c:v>
                </c:pt>
                <c:pt idx="7">
                  <c:v>Africa Program</c:v>
                </c:pt>
                <c:pt idx="8">
                  <c:v>China Power</c:v>
                </c:pt>
                <c:pt idx="9">
                  <c:v>Southeast Asia</c:v>
                </c:pt>
                <c:pt idx="10">
                  <c:v>Energy &amp; Nat Sec</c:v>
                </c:pt>
                <c:pt idx="11">
                  <c:v>Global Health Policy</c:v>
                </c:pt>
                <c:pt idx="12">
                  <c:v>China Studies</c:v>
                </c:pt>
                <c:pt idx="13">
                  <c:v>iDeas Lab</c:v>
                </c:pt>
                <c:pt idx="14">
                  <c:v>Transnational Threats</c:v>
                </c:pt>
                <c:pt idx="15">
                  <c:v>Burke</c:v>
                </c:pt>
              </c:strCache>
            </c:strRef>
          </c:cat>
          <c:val>
            <c:numRef>
              <c:f>'Random Work'!$B$39:$B$54</c:f>
              <c:numCache>
                <c:formatCode>General</c:formatCode>
                <c:ptCount val="16"/>
                <c:pt idx="0">
                  <c:v>7679</c:v>
                </c:pt>
                <c:pt idx="1">
                  <c:v>6277</c:v>
                </c:pt>
                <c:pt idx="2" formatCode="#,##0">
                  <c:v>4860</c:v>
                </c:pt>
                <c:pt idx="3" formatCode="#,##0">
                  <c:v>1402</c:v>
                </c:pt>
                <c:pt idx="4" formatCode="#,##0">
                  <c:v>1733</c:v>
                </c:pt>
                <c:pt idx="5" formatCode="#,##0">
                  <c:v>1862</c:v>
                </c:pt>
                <c:pt idx="6" formatCode="#,##0">
                  <c:v>1565</c:v>
                </c:pt>
                <c:pt idx="7">
                  <c:v>1311</c:v>
                </c:pt>
                <c:pt idx="8">
                  <c:v>1192</c:v>
                </c:pt>
                <c:pt idx="9">
                  <c:v>1032</c:v>
                </c:pt>
                <c:pt idx="10">
                  <c:v>950</c:v>
                </c:pt>
                <c:pt idx="11">
                  <c:v>865</c:v>
                </c:pt>
                <c:pt idx="12">
                  <c:v>964</c:v>
                </c:pt>
                <c:pt idx="13">
                  <c:v>971</c:v>
                </c:pt>
                <c:pt idx="14">
                  <c:v>778</c:v>
                </c:pt>
                <c:pt idx="15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3-4D19-82E2-D622AEC4D053}"/>
            </c:ext>
          </c:extLst>
        </c:ser>
        <c:ser>
          <c:idx val="1"/>
          <c:order val="1"/>
          <c:tx>
            <c:strRef>
              <c:f>'Random Work'!$C$38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 Work'!$A$39:$A$54</c:f>
              <c:strCache>
                <c:ptCount val="16"/>
                <c:pt idx="0">
                  <c:v>Pacific Forum</c:v>
                </c:pt>
                <c:pt idx="1">
                  <c:v>International Security</c:v>
                </c:pt>
                <c:pt idx="2">
                  <c:v>Executive Education</c:v>
                </c:pt>
                <c:pt idx="3">
                  <c:v>Korea Chair</c:v>
                </c:pt>
                <c:pt idx="4">
                  <c:v>Strategic Technologies</c:v>
                </c:pt>
                <c:pt idx="5">
                  <c:v>Russia &amp; Eurasia</c:v>
                </c:pt>
                <c:pt idx="6">
                  <c:v>Middle East Program</c:v>
                </c:pt>
                <c:pt idx="7">
                  <c:v>Africa Program</c:v>
                </c:pt>
                <c:pt idx="8">
                  <c:v>China Power</c:v>
                </c:pt>
                <c:pt idx="9">
                  <c:v>Southeast Asia</c:v>
                </c:pt>
                <c:pt idx="10">
                  <c:v>Energy &amp; Nat Sec</c:v>
                </c:pt>
                <c:pt idx="11">
                  <c:v>Global Health Policy</c:v>
                </c:pt>
                <c:pt idx="12">
                  <c:v>China Studies</c:v>
                </c:pt>
                <c:pt idx="13">
                  <c:v>iDeas Lab</c:v>
                </c:pt>
                <c:pt idx="14">
                  <c:v>Transnational Threats</c:v>
                </c:pt>
                <c:pt idx="15">
                  <c:v>Burke</c:v>
                </c:pt>
              </c:strCache>
            </c:strRef>
          </c:cat>
          <c:val>
            <c:numRef>
              <c:f>'Random Work'!$C$39:$C$54</c:f>
              <c:numCache>
                <c:formatCode>General</c:formatCode>
                <c:ptCount val="16"/>
                <c:pt idx="0">
                  <c:v>7308</c:v>
                </c:pt>
                <c:pt idx="1">
                  <c:v>6919</c:v>
                </c:pt>
                <c:pt idx="2">
                  <c:v>2041</c:v>
                </c:pt>
                <c:pt idx="3">
                  <c:v>5002</c:v>
                </c:pt>
                <c:pt idx="4">
                  <c:v>1874</c:v>
                </c:pt>
                <c:pt idx="5">
                  <c:v>1646</c:v>
                </c:pt>
                <c:pt idx="6">
                  <c:v>1686</c:v>
                </c:pt>
                <c:pt idx="7">
                  <c:v>1193</c:v>
                </c:pt>
                <c:pt idx="8">
                  <c:v>930</c:v>
                </c:pt>
                <c:pt idx="9">
                  <c:v>1111</c:v>
                </c:pt>
                <c:pt idx="10">
                  <c:v>1226</c:v>
                </c:pt>
                <c:pt idx="11">
                  <c:v>1214</c:v>
                </c:pt>
                <c:pt idx="12">
                  <c:v>935</c:v>
                </c:pt>
                <c:pt idx="13">
                  <c:v>996</c:v>
                </c:pt>
                <c:pt idx="14">
                  <c:v>860</c:v>
                </c:pt>
                <c:pt idx="15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3-4D19-82E2-D622AEC4D053}"/>
            </c:ext>
          </c:extLst>
        </c:ser>
        <c:ser>
          <c:idx val="2"/>
          <c:order val="2"/>
          <c:tx>
            <c:strRef>
              <c:f>'Random Work'!$D$38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 Work'!$A$39:$A$54</c:f>
              <c:strCache>
                <c:ptCount val="16"/>
                <c:pt idx="0">
                  <c:v>Pacific Forum</c:v>
                </c:pt>
                <c:pt idx="1">
                  <c:v>International Security</c:v>
                </c:pt>
                <c:pt idx="2">
                  <c:v>Executive Education</c:v>
                </c:pt>
                <c:pt idx="3">
                  <c:v>Korea Chair</c:v>
                </c:pt>
                <c:pt idx="4">
                  <c:v>Strategic Technologies</c:v>
                </c:pt>
                <c:pt idx="5">
                  <c:v>Russia &amp; Eurasia</c:v>
                </c:pt>
                <c:pt idx="6">
                  <c:v>Middle East Program</c:v>
                </c:pt>
                <c:pt idx="7">
                  <c:v>Africa Program</c:v>
                </c:pt>
                <c:pt idx="8">
                  <c:v>China Power</c:v>
                </c:pt>
                <c:pt idx="9">
                  <c:v>Southeast Asia</c:v>
                </c:pt>
                <c:pt idx="10">
                  <c:v>Energy &amp; Nat Sec</c:v>
                </c:pt>
                <c:pt idx="11">
                  <c:v>Global Health Policy</c:v>
                </c:pt>
                <c:pt idx="12">
                  <c:v>China Studies</c:v>
                </c:pt>
                <c:pt idx="13">
                  <c:v>iDeas Lab</c:v>
                </c:pt>
                <c:pt idx="14">
                  <c:v>Transnational Threats</c:v>
                </c:pt>
                <c:pt idx="15">
                  <c:v>Burke</c:v>
                </c:pt>
              </c:strCache>
            </c:strRef>
          </c:cat>
          <c:val>
            <c:numRef>
              <c:f>'Random Work'!$D$39:$D$54</c:f>
              <c:numCache>
                <c:formatCode>General</c:formatCode>
                <c:ptCount val="16"/>
                <c:pt idx="0">
                  <c:v>8170</c:v>
                </c:pt>
                <c:pt idx="1">
                  <c:v>7307</c:v>
                </c:pt>
                <c:pt idx="2">
                  <c:v>1481</c:v>
                </c:pt>
                <c:pt idx="3">
                  <c:v>1832</c:v>
                </c:pt>
                <c:pt idx="4">
                  <c:v>2588</c:v>
                </c:pt>
                <c:pt idx="5">
                  <c:v>2171</c:v>
                </c:pt>
                <c:pt idx="6">
                  <c:v>1640</c:v>
                </c:pt>
                <c:pt idx="7">
                  <c:v>1376</c:v>
                </c:pt>
                <c:pt idx="8">
                  <c:v>1030</c:v>
                </c:pt>
                <c:pt idx="9">
                  <c:v>953</c:v>
                </c:pt>
                <c:pt idx="10">
                  <c:v>891</c:v>
                </c:pt>
                <c:pt idx="11">
                  <c:v>976</c:v>
                </c:pt>
                <c:pt idx="12">
                  <c:v>1143</c:v>
                </c:pt>
                <c:pt idx="13">
                  <c:v>1052</c:v>
                </c:pt>
                <c:pt idx="14">
                  <c:v>888</c:v>
                </c:pt>
                <c:pt idx="15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3-4D19-82E2-D622AEC4D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0811944"/>
        <c:axId val="530812272"/>
      </c:barChart>
      <c:catAx>
        <c:axId val="530811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12272"/>
        <c:crosses val="autoZero"/>
        <c:auto val="1"/>
        <c:lblAlgn val="ctr"/>
        <c:lblOffset val="100"/>
        <c:noMultiLvlLbl val="0"/>
      </c:catAx>
      <c:valAx>
        <c:axId val="53081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1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35</xdr:row>
      <xdr:rowOff>38099</xdr:rowOff>
    </xdr:from>
    <xdr:to>
      <xdr:col>13</xdr:col>
      <xdr:colOff>628649</xdr:colOff>
      <xdr:row>54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"/>
  <sheetViews>
    <sheetView topLeftCell="B1" zoomScale="75" workbookViewId="0">
      <selection activeCell="N34" sqref="N34"/>
    </sheetView>
  </sheetViews>
  <sheetFormatPr defaultColWidth="11" defaultRowHeight="15.75" x14ac:dyDescent="0.25"/>
  <cols>
    <col min="1" max="1" width="102.125" bestFit="1" customWidth="1"/>
    <col min="2" max="2" width="15.375" bestFit="1" customWidth="1"/>
    <col min="3" max="3" width="7.375" bestFit="1" customWidth="1"/>
    <col min="4" max="4" width="36.875" bestFit="1" customWidth="1"/>
    <col min="5" max="6" width="10.625" bestFit="1" customWidth="1"/>
    <col min="7" max="7" width="9.625" bestFit="1" customWidth="1"/>
    <col min="8" max="8" width="6" bestFit="1" customWidth="1"/>
    <col min="9" max="16" width="5.625" bestFit="1" customWidth="1"/>
    <col min="17" max="21" width="6.875" bestFit="1" customWidth="1"/>
    <col min="23" max="23" width="17.75" style="22" bestFit="1" customWidth="1"/>
  </cols>
  <sheetData>
    <row r="1" spans="1:23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W1" s="50" t="s">
        <v>271</v>
      </c>
    </row>
    <row r="2" spans="1:23" x14ac:dyDescent="0.25">
      <c r="A2" s="5" t="s">
        <v>21</v>
      </c>
      <c r="B2" s="6" t="s">
        <v>22</v>
      </c>
      <c r="C2" s="7">
        <v>42600</v>
      </c>
      <c r="D2" s="8" t="s">
        <v>23</v>
      </c>
      <c r="F2">
        <f>SUM(H2:U2)</f>
        <v>974</v>
      </c>
      <c r="G2" s="9">
        <f>AVERAGE(H2:T2)</f>
        <v>73.384615384615387</v>
      </c>
      <c r="H2">
        <v>136</v>
      </c>
      <c r="I2">
        <v>166</v>
      </c>
      <c r="J2">
        <v>130</v>
      </c>
      <c r="K2">
        <v>68</v>
      </c>
      <c r="L2">
        <v>189</v>
      </c>
      <c r="M2">
        <v>82</v>
      </c>
      <c r="N2">
        <v>53</v>
      </c>
      <c r="O2">
        <v>23</v>
      </c>
      <c r="P2">
        <v>24</v>
      </c>
      <c r="Q2">
        <v>24</v>
      </c>
      <c r="R2">
        <v>21</v>
      </c>
      <c r="S2">
        <v>19</v>
      </c>
      <c r="T2">
        <v>19</v>
      </c>
      <c r="U2">
        <v>20</v>
      </c>
      <c r="W2" s="51"/>
    </row>
    <row r="3" spans="1:23" x14ac:dyDescent="0.25">
      <c r="A3" s="5" t="s">
        <v>24</v>
      </c>
      <c r="B3" s="6" t="s">
        <v>22</v>
      </c>
      <c r="C3" s="7">
        <v>42600</v>
      </c>
      <c r="D3" s="8" t="s">
        <v>25</v>
      </c>
      <c r="F3">
        <f t="shared" ref="F3:F46" si="0">SUM(H3:U3)</f>
        <v>632</v>
      </c>
      <c r="G3" s="9">
        <f t="shared" ref="G3:G66" si="1">AVERAGE(H3:T3)</f>
        <v>47.615384615384613</v>
      </c>
      <c r="H3">
        <v>88</v>
      </c>
      <c r="I3">
        <v>143</v>
      </c>
      <c r="J3">
        <v>67</v>
      </c>
      <c r="K3">
        <v>78</v>
      </c>
      <c r="L3">
        <v>81</v>
      </c>
      <c r="M3">
        <v>50</v>
      </c>
      <c r="N3">
        <v>27</v>
      </c>
      <c r="O3">
        <v>24</v>
      </c>
      <c r="P3">
        <v>20</v>
      </c>
      <c r="Q3">
        <v>10</v>
      </c>
      <c r="R3">
        <v>13</v>
      </c>
      <c r="S3">
        <v>10</v>
      </c>
      <c r="T3">
        <v>8</v>
      </c>
      <c r="U3">
        <v>13</v>
      </c>
    </row>
    <row r="4" spans="1:23" x14ac:dyDescent="0.25">
      <c r="A4" s="5" t="s">
        <v>26</v>
      </c>
      <c r="B4" s="6" t="s">
        <v>22</v>
      </c>
      <c r="C4" s="7">
        <v>42599</v>
      </c>
      <c r="D4" s="8" t="s">
        <v>27</v>
      </c>
      <c r="F4">
        <f t="shared" si="0"/>
        <v>637</v>
      </c>
      <c r="G4" s="9">
        <f t="shared" si="1"/>
        <v>48.153846153846153</v>
      </c>
      <c r="H4">
        <v>98</v>
      </c>
      <c r="I4">
        <v>222</v>
      </c>
      <c r="J4">
        <v>123</v>
      </c>
      <c r="K4">
        <v>39</v>
      </c>
      <c r="L4">
        <v>25</v>
      </c>
      <c r="M4">
        <v>54</v>
      </c>
      <c r="N4">
        <v>18</v>
      </c>
      <c r="O4">
        <v>17</v>
      </c>
      <c r="P4">
        <v>7</v>
      </c>
      <c r="Q4">
        <v>10</v>
      </c>
      <c r="R4">
        <v>7</v>
      </c>
      <c r="S4">
        <v>3</v>
      </c>
      <c r="T4">
        <v>3</v>
      </c>
      <c r="U4">
        <v>11</v>
      </c>
    </row>
    <row r="5" spans="1:23" x14ac:dyDescent="0.25">
      <c r="A5" s="5" t="s">
        <v>28</v>
      </c>
      <c r="B5" s="6" t="s">
        <v>22</v>
      </c>
      <c r="C5" s="7">
        <v>42597</v>
      </c>
      <c r="D5" s="8" t="s">
        <v>29</v>
      </c>
      <c r="F5">
        <f t="shared" si="0"/>
        <v>731</v>
      </c>
      <c r="G5" s="9">
        <f t="shared" si="1"/>
        <v>55.692307692307693</v>
      </c>
      <c r="H5">
        <v>185</v>
      </c>
      <c r="I5">
        <v>182</v>
      </c>
      <c r="J5">
        <v>119</v>
      </c>
      <c r="K5">
        <v>79</v>
      </c>
      <c r="L5">
        <v>26</v>
      </c>
      <c r="M5">
        <v>16</v>
      </c>
      <c r="N5">
        <v>13</v>
      </c>
      <c r="O5">
        <v>23</v>
      </c>
      <c r="P5">
        <v>26</v>
      </c>
      <c r="Q5">
        <v>30</v>
      </c>
      <c r="R5">
        <v>12</v>
      </c>
      <c r="S5">
        <v>5</v>
      </c>
      <c r="T5">
        <v>8</v>
      </c>
      <c r="U5">
        <v>7</v>
      </c>
    </row>
    <row r="6" spans="1:23" x14ac:dyDescent="0.25">
      <c r="A6" s="5" t="s">
        <v>30</v>
      </c>
      <c r="B6" s="6" t="s">
        <v>22</v>
      </c>
      <c r="C6" s="7">
        <v>42597</v>
      </c>
      <c r="D6" s="8" t="s">
        <v>31</v>
      </c>
      <c r="F6">
        <f t="shared" si="0"/>
        <v>3651</v>
      </c>
      <c r="G6" s="9">
        <f t="shared" si="1"/>
        <v>266</v>
      </c>
      <c r="H6">
        <f>638+339</f>
        <v>977</v>
      </c>
      <c r="I6">
        <f>351+247</f>
        <v>598</v>
      </c>
      <c r="J6">
        <f>257+81</f>
        <v>338</v>
      </c>
      <c r="K6">
        <f>266+29</f>
        <v>295</v>
      </c>
      <c r="L6">
        <f>156+28</f>
        <v>184</v>
      </c>
      <c r="M6">
        <f>248+25</f>
        <v>273</v>
      </c>
      <c r="N6">
        <f>153+27</f>
        <v>180</v>
      </c>
      <c r="O6">
        <f>123+18</f>
        <v>141</v>
      </c>
      <c r="P6">
        <f>123+16</f>
        <v>139</v>
      </c>
      <c r="Q6">
        <f>106+10</f>
        <v>116</v>
      </c>
      <c r="R6">
        <f>115+1</f>
        <v>116</v>
      </c>
      <c r="S6">
        <f>58+3</f>
        <v>61</v>
      </c>
      <c r="T6">
        <f>39+1</f>
        <v>40</v>
      </c>
      <c r="U6">
        <f>192+1</f>
        <v>193</v>
      </c>
    </row>
    <row r="7" spans="1:23" x14ac:dyDescent="0.25">
      <c r="A7" s="5" t="s">
        <v>32</v>
      </c>
      <c r="B7" s="6" t="s">
        <v>22</v>
      </c>
      <c r="C7" s="7">
        <v>42593</v>
      </c>
      <c r="D7" s="8" t="s">
        <v>33</v>
      </c>
      <c r="F7">
        <f t="shared" si="0"/>
        <v>1207</v>
      </c>
      <c r="G7" s="9">
        <f t="shared" si="1"/>
        <v>91.84615384615384</v>
      </c>
      <c r="H7">
        <v>367</v>
      </c>
      <c r="I7">
        <v>227</v>
      </c>
      <c r="J7">
        <v>141</v>
      </c>
      <c r="K7">
        <v>97</v>
      </c>
      <c r="L7">
        <v>82</v>
      </c>
      <c r="M7">
        <v>98</v>
      </c>
      <c r="N7">
        <v>47</v>
      </c>
      <c r="O7">
        <v>44</v>
      </c>
      <c r="P7">
        <v>10</v>
      </c>
      <c r="Q7">
        <v>10</v>
      </c>
      <c r="R7">
        <v>10</v>
      </c>
      <c r="S7">
        <v>37</v>
      </c>
      <c r="T7">
        <v>24</v>
      </c>
      <c r="U7">
        <v>13</v>
      </c>
    </row>
    <row r="8" spans="1:23" x14ac:dyDescent="0.25">
      <c r="A8" s="5" t="s">
        <v>34</v>
      </c>
      <c r="B8" s="6" t="s">
        <v>22</v>
      </c>
      <c r="C8" s="7">
        <v>42586</v>
      </c>
      <c r="D8" s="8" t="s">
        <v>35</v>
      </c>
      <c r="F8">
        <f t="shared" si="0"/>
        <v>420</v>
      </c>
      <c r="G8" s="9">
        <f t="shared" si="1"/>
        <v>31.846153846153847</v>
      </c>
      <c r="H8">
        <v>18</v>
      </c>
      <c r="I8">
        <v>84</v>
      </c>
      <c r="J8">
        <v>102</v>
      </c>
      <c r="K8">
        <v>74</v>
      </c>
      <c r="L8">
        <v>39</v>
      </c>
      <c r="M8">
        <v>32</v>
      </c>
      <c r="N8">
        <v>17</v>
      </c>
      <c r="O8">
        <v>19</v>
      </c>
      <c r="P8">
        <v>4</v>
      </c>
      <c r="Q8">
        <v>9</v>
      </c>
      <c r="R8">
        <v>9</v>
      </c>
      <c r="S8">
        <v>5</v>
      </c>
      <c r="T8">
        <v>2</v>
      </c>
      <c r="U8">
        <v>6</v>
      </c>
    </row>
    <row r="9" spans="1:23" x14ac:dyDescent="0.25">
      <c r="A9" s="5" t="s">
        <v>36</v>
      </c>
      <c r="B9" s="6" t="s">
        <v>22</v>
      </c>
      <c r="C9" s="7">
        <v>42584</v>
      </c>
      <c r="D9" s="8" t="s">
        <v>37</v>
      </c>
      <c r="F9">
        <f t="shared" si="0"/>
        <v>1205</v>
      </c>
      <c r="G9" s="9">
        <f t="shared" si="1"/>
        <v>89.692307692307693</v>
      </c>
      <c r="H9">
        <v>181</v>
      </c>
      <c r="I9">
        <v>110</v>
      </c>
      <c r="J9">
        <v>119</v>
      </c>
      <c r="K9">
        <v>40</v>
      </c>
      <c r="L9">
        <v>7</v>
      </c>
      <c r="M9">
        <v>30</v>
      </c>
      <c r="N9">
        <v>63</v>
      </c>
      <c r="O9">
        <v>48</v>
      </c>
      <c r="P9">
        <v>82</v>
      </c>
      <c r="Q9">
        <v>225</v>
      </c>
      <c r="R9">
        <v>168</v>
      </c>
      <c r="S9">
        <v>53</v>
      </c>
      <c r="T9">
        <v>40</v>
      </c>
      <c r="U9">
        <v>39</v>
      </c>
    </row>
    <row r="10" spans="1:23" x14ac:dyDescent="0.25">
      <c r="A10" s="5" t="s">
        <v>38</v>
      </c>
      <c r="B10" s="6" t="s">
        <v>22</v>
      </c>
      <c r="C10" s="7">
        <v>42580</v>
      </c>
      <c r="D10" s="8" t="s">
        <v>39</v>
      </c>
      <c r="F10">
        <f t="shared" si="0"/>
        <v>1869</v>
      </c>
      <c r="G10" s="9">
        <f t="shared" si="1"/>
        <v>141.15384615384616</v>
      </c>
      <c r="H10">
        <v>435</v>
      </c>
      <c r="I10">
        <v>334</v>
      </c>
      <c r="J10">
        <v>189</v>
      </c>
      <c r="K10">
        <v>243</v>
      </c>
      <c r="L10">
        <v>178</v>
      </c>
      <c r="M10">
        <v>98</v>
      </c>
      <c r="N10">
        <v>78</v>
      </c>
      <c r="O10">
        <v>55</v>
      </c>
      <c r="P10">
        <v>46</v>
      </c>
      <c r="Q10">
        <v>47</v>
      </c>
      <c r="R10">
        <v>53</v>
      </c>
      <c r="S10">
        <v>49</v>
      </c>
      <c r="T10">
        <v>30</v>
      </c>
      <c r="U10">
        <v>34</v>
      </c>
    </row>
    <row r="11" spans="1:23" x14ac:dyDescent="0.25">
      <c r="A11" s="5" t="s">
        <v>40</v>
      </c>
      <c r="B11" s="6" t="s">
        <v>22</v>
      </c>
      <c r="C11" s="7">
        <v>42578</v>
      </c>
      <c r="D11" s="8" t="s">
        <v>31</v>
      </c>
      <c r="F11">
        <f t="shared" si="0"/>
        <v>2142</v>
      </c>
      <c r="G11" s="9">
        <f t="shared" si="1"/>
        <v>162.07692307692307</v>
      </c>
      <c r="H11">
        <v>259</v>
      </c>
      <c r="I11">
        <v>305</v>
      </c>
      <c r="J11">
        <v>187</v>
      </c>
      <c r="K11">
        <v>92</v>
      </c>
      <c r="L11">
        <v>210</v>
      </c>
      <c r="M11">
        <v>128</v>
      </c>
      <c r="N11">
        <v>59</v>
      </c>
      <c r="O11">
        <v>42</v>
      </c>
      <c r="P11">
        <v>363</v>
      </c>
      <c r="Q11">
        <v>175</v>
      </c>
      <c r="R11">
        <v>129</v>
      </c>
      <c r="S11">
        <v>58</v>
      </c>
      <c r="T11">
        <v>100</v>
      </c>
      <c r="U11">
        <v>35</v>
      </c>
    </row>
    <row r="12" spans="1:23" x14ac:dyDescent="0.25">
      <c r="A12" s="5" t="s">
        <v>41</v>
      </c>
      <c r="B12" s="6" t="s">
        <v>22</v>
      </c>
      <c r="C12" s="7">
        <v>42576</v>
      </c>
      <c r="D12" s="8" t="s">
        <v>42</v>
      </c>
      <c r="F12">
        <f t="shared" si="0"/>
        <v>1855</v>
      </c>
      <c r="G12" s="9">
        <f t="shared" si="1"/>
        <v>141.84615384615384</v>
      </c>
      <c r="H12">
        <v>667</v>
      </c>
      <c r="I12">
        <v>522</v>
      </c>
      <c r="J12">
        <v>114</v>
      </c>
      <c r="K12">
        <v>57</v>
      </c>
      <c r="L12">
        <v>151</v>
      </c>
      <c r="M12">
        <v>64</v>
      </c>
      <c r="N12">
        <v>57</v>
      </c>
      <c r="O12">
        <v>46</v>
      </c>
      <c r="P12">
        <v>86</v>
      </c>
      <c r="Q12">
        <v>43</v>
      </c>
      <c r="R12">
        <v>15</v>
      </c>
      <c r="S12">
        <v>12</v>
      </c>
      <c r="T12">
        <v>10</v>
      </c>
      <c r="U12">
        <v>11</v>
      </c>
    </row>
    <row r="13" spans="1:23" x14ac:dyDescent="0.25">
      <c r="A13" s="5" t="s">
        <v>43</v>
      </c>
      <c r="B13" s="6" t="s">
        <v>22</v>
      </c>
      <c r="C13" s="7">
        <v>42573</v>
      </c>
      <c r="D13" s="8" t="s">
        <v>44</v>
      </c>
      <c r="F13">
        <f t="shared" si="0"/>
        <v>504</v>
      </c>
      <c r="G13" s="9">
        <f t="shared" si="1"/>
        <v>38.07692307692308</v>
      </c>
      <c r="H13">
        <v>22</v>
      </c>
      <c r="I13">
        <v>17</v>
      </c>
      <c r="J13">
        <v>24</v>
      </c>
      <c r="K13">
        <v>73</v>
      </c>
      <c r="L13">
        <v>135</v>
      </c>
      <c r="M13">
        <v>97</v>
      </c>
      <c r="N13">
        <v>59</v>
      </c>
      <c r="O13">
        <v>17</v>
      </c>
      <c r="P13">
        <v>16</v>
      </c>
      <c r="Q13">
        <v>8</v>
      </c>
      <c r="R13">
        <v>14</v>
      </c>
      <c r="S13">
        <v>11</v>
      </c>
      <c r="T13">
        <v>2</v>
      </c>
      <c r="U13">
        <v>9</v>
      </c>
    </row>
    <row r="14" spans="1:23" x14ac:dyDescent="0.25">
      <c r="A14" s="5" t="s">
        <v>45</v>
      </c>
      <c r="B14" s="6" t="s">
        <v>22</v>
      </c>
      <c r="C14" s="7">
        <v>42572</v>
      </c>
      <c r="D14" s="8" t="s">
        <v>46</v>
      </c>
      <c r="F14">
        <f t="shared" si="0"/>
        <v>385</v>
      </c>
      <c r="G14" s="9">
        <f t="shared" si="1"/>
        <v>22.692307692307693</v>
      </c>
      <c r="H14">
        <v>34</v>
      </c>
      <c r="I14">
        <v>35</v>
      </c>
      <c r="J14">
        <v>17</v>
      </c>
      <c r="K14">
        <v>30</v>
      </c>
      <c r="L14">
        <v>12</v>
      </c>
      <c r="M14">
        <v>14</v>
      </c>
      <c r="N14">
        <v>17</v>
      </c>
      <c r="O14">
        <v>72</v>
      </c>
      <c r="P14">
        <v>25</v>
      </c>
      <c r="Q14">
        <v>9</v>
      </c>
      <c r="R14">
        <v>14</v>
      </c>
      <c r="S14">
        <v>5</v>
      </c>
      <c r="T14">
        <v>11</v>
      </c>
      <c r="U14">
        <v>90</v>
      </c>
    </row>
    <row r="15" spans="1:23" x14ac:dyDescent="0.25">
      <c r="A15" s="5" t="s">
        <v>47</v>
      </c>
      <c r="B15" s="6" t="s">
        <v>22</v>
      </c>
      <c r="C15" s="7">
        <v>42572</v>
      </c>
      <c r="D15" s="8" t="s">
        <v>48</v>
      </c>
      <c r="F15">
        <f t="shared" si="0"/>
        <v>1386</v>
      </c>
      <c r="G15" s="9">
        <f t="shared" si="1"/>
        <v>105.53846153846153</v>
      </c>
      <c r="H15">
        <v>200</v>
      </c>
      <c r="I15">
        <v>374</v>
      </c>
      <c r="J15">
        <v>293</v>
      </c>
      <c r="K15">
        <v>77</v>
      </c>
      <c r="L15">
        <v>98</v>
      </c>
      <c r="M15">
        <v>47</v>
      </c>
      <c r="N15">
        <v>45</v>
      </c>
      <c r="O15">
        <v>37</v>
      </c>
      <c r="P15">
        <v>24</v>
      </c>
      <c r="Q15">
        <v>27</v>
      </c>
      <c r="R15">
        <v>14</v>
      </c>
      <c r="S15">
        <v>77</v>
      </c>
      <c r="T15">
        <v>59</v>
      </c>
      <c r="U15">
        <v>14</v>
      </c>
    </row>
    <row r="16" spans="1:23" x14ac:dyDescent="0.25">
      <c r="A16" s="5" t="s">
        <v>49</v>
      </c>
      <c r="B16" s="6" t="s">
        <v>22</v>
      </c>
      <c r="C16" s="7">
        <v>42566</v>
      </c>
      <c r="D16" s="8" t="s">
        <v>50</v>
      </c>
      <c r="F16">
        <f t="shared" si="0"/>
        <v>2414</v>
      </c>
      <c r="G16" s="9">
        <f t="shared" si="1"/>
        <v>185.07692307692307</v>
      </c>
      <c r="H16">
        <v>162</v>
      </c>
      <c r="I16">
        <v>224</v>
      </c>
      <c r="J16">
        <v>156</v>
      </c>
      <c r="K16">
        <v>769</v>
      </c>
      <c r="L16">
        <v>311</v>
      </c>
      <c r="M16">
        <v>466</v>
      </c>
      <c r="N16">
        <v>130</v>
      </c>
      <c r="O16">
        <v>50</v>
      </c>
      <c r="P16">
        <v>26</v>
      </c>
      <c r="Q16">
        <v>30</v>
      </c>
      <c r="R16">
        <v>39</v>
      </c>
      <c r="S16">
        <v>22</v>
      </c>
      <c r="T16">
        <v>21</v>
      </c>
      <c r="U16">
        <v>8</v>
      </c>
    </row>
    <row r="17" spans="1:21" x14ac:dyDescent="0.25">
      <c r="A17" s="5" t="s">
        <v>51</v>
      </c>
      <c r="B17" s="6" t="s">
        <v>22</v>
      </c>
      <c r="C17" s="7">
        <v>42566</v>
      </c>
      <c r="D17" s="8" t="s">
        <v>52</v>
      </c>
      <c r="F17">
        <f t="shared" si="0"/>
        <v>492</v>
      </c>
      <c r="G17" s="9">
        <f t="shared" si="1"/>
        <v>37.230769230769234</v>
      </c>
      <c r="H17">
        <v>226</v>
      </c>
      <c r="I17">
        <v>129</v>
      </c>
      <c r="J17">
        <v>29</v>
      </c>
      <c r="K17">
        <v>18</v>
      </c>
      <c r="L17">
        <v>15</v>
      </c>
      <c r="M17">
        <v>9</v>
      </c>
      <c r="N17">
        <v>6</v>
      </c>
      <c r="O17">
        <v>17</v>
      </c>
      <c r="P17">
        <v>14</v>
      </c>
      <c r="Q17">
        <v>5</v>
      </c>
      <c r="R17">
        <v>8</v>
      </c>
      <c r="S17">
        <v>3</v>
      </c>
      <c r="T17">
        <v>5</v>
      </c>
      <c r="U17">
        <v>8</v>
      </c>
    </row>
    <row r="18" spans="1:21" x14ac:dyDescent="0.25">
      <c r="A18" s="5" t="s">
        <v>53</v>
      </c>
      <c r="B18" s="6" t="s">
        <v>22</v>
      </c>
      <c r="C18" s="7">
        <v>42566</v>
      </c>
      <c r="D18" s="8" t="s">
        <v>54</v>
      </c>
      <c r="F18">
        <f t="shared" si="0"/>
        <v>1627</v>
      </c>
      <c r="G18" s="9">
        <f t="shared" si="1"/>
        <v>124.46153846153847</v>
      </c>
      <c r="H18">
        <v>174</v>
      </c>
      <c r="I18">
        <v>262</v>
      </c>
      <c r="J18">
        <v>120</v>
      </c>
      <c r="K18">
        <v>545</v>
      </c>
      <c r="L18">
        <v>233</v>
      </c>
      <c r="M18">
        <v>141</v>
      </c>
      <c r="N18">
        <v>44</v>
      </c>
      <c r="O18">
        <v>42</v>
      </c>
      <c r="P18">
        <v>12</v>
      </c>
      <c r="Q18">
        <v>7</v>
      </c>
      <c r="R18">
        <v>16</v>
      </c>
      <c r="S18">
        <v>12</v>
      </c>
      <c r="T18">
        <v>10</v>
      </c>
      <c r="U18">
        <v>9</v>
      </c>
    </row>
    <row r="19" spans="1:21" x14ac:dyDescent="0.25">
      <c r="A19" s="5" t="s">
        <v>55</v>
      </c>
      <c r="B19" s="6" t="s">
        <v>22</v>
      </c>
      <c r="C19" s="7">
        <v>42558</v>
      </c>
      <c r="D19" s="8" t="s">
        <v>46</v>
      </c>
      <c r="F19">
        <f t="shared" si="0"/>
        <v>334</v>
      </c>
      <c r="G19" s="9">
        <f t="shared" si="1"/>
        <v>25.307692307692307</v>
      </c>
      <c r="H19">
        <v>19</v>
      </c>
      <c r="I19">
        <v>64</v>
      </c>
      <c r="J19">
        <v>32</v>
      </c>
      <c r="K19">
        <v>36</v>
      </c>
      <c r="L19">
        <v>43</v>
      </c>
      <c r="M19">
        <v>28</v>
      </c>
      <c r="N19">
        <v>19</v>
      </c>
      <c r="O19">
        <v>45</v>
      </c>
      <c r="P19">
        <v>14</v>
      </c>
      <c r="Q19">
        <v>5</v>
      </c>
      <c r="R19">
        <v>8</v>
      </c>
      <c r="S19">
        <v>14</v>
      </c>
      <c r="T19">
        <v>2</v>
      </c>
      <c r="U19">
        <v>5</v>
      </c>
    </row>
    <row r="20" spans="1:21" x14ac:dyDescent="0.25">
      <c r="A20" s="5" t="s">
        <v>56</v>
      </c>
      <c r="B20" s="6" t="s">
        <v>22</v>
      </c>
      <c r="C20" s="7">
        <v>42557</v>
      </c>
      <c r="D20" s="8" t="s">
        <v>57</v>
      </c>
      <c r="F20">
        <f t="shared" si="0"/>
        <v>574</v>
      </c>
      <c r="G20" s="9">
        <f t="shared" si="1"/>
        <v>43.384615384615387</v>
      </c>
      <c r="H20">
        <v>26</v>
      </c>
      <c r="I20">
        <v>59</v>
      </c>
      <c r="J20">
        <v>202</v>
      </c>
      <c r="K20">
        <v>36</v>
      </c>
      <c r="L20">
        <v>40</v>
      </c>
      <c r="M20">
        <v>69</v>
      </c>
      <c r="N20">
        <v>34</v>
      </c>
      <c r="O20">
        <v>39</v>
      </c>
      <c r="P20">
        <v>20</v>
      </c>
      <c r="Q20">
        <v>28</v>
      </c>
      <c r="R20">
        <v>4</v>
      </c>
      <c r="S20">
        <v>1</v>
      </c>
      <c r="T20">
        <v>6</v>
      </c>
      <c r="U20">
        <v>10</v>
      </c>
    </row>
    <row r="21" spans="1:21" x14ac:dyDescent="0.25">
      <c r="A21" s="5" t="s">
        <v>58</v>
      </c>
      <c r="B21" s="6" t="s">
        <v>22</v>
      </c>
      <c r="C21" s="7">
        <v>42556</v>
      </c>
      <c r="D21" s="8" t="s">
        <v>42</v>
      </c>
      <c r="F21">
        <f t="shared" si="0"/>
        <v>383</v>
      </c>
      <c r="G21" s="9">
        <f t="shared" si="1"/>
        <v>29.384615384615383</v>
      </c>
      <c r="H21">
        <v>110</v>
      </c>
      <c r="I21">
        <v>102</v>
      </c>
      <c r="J21">
        <v>85</v>
      </c>
      <c r="K21">
        <v>28</v>
      </c>
      <c r="L21">
        <v>13</v>
      </c>
      <c r="M21">
        <v>13</v>
      </c>
      <c r="N21">
        <v>11</v>
      </c>
      <c r="O21">
        <v>5</v>
      </c>
      <c r="P21">
        <v>5</v>
      </c>
      <c r="Q21">
        <v>4</v>
      </c>
      <c r="R21">
        <v>2</v>
      </c>
      <c r="S21">
        <v>1</v>
      </c>
      <c r="T21">
        <v>3</v>
      </c>
      <c r="U21">
        <v>1</v>
      </c>
    </row>
    <row r="22" spans="1:21" x14ac:dyDescent="0.25">
      <c r="A22" s="5" t="s">
        <v>59</v>
      </c>
      <c r="B22" s="6" t="s">
        <v>22</v>
      </c>
      <c r="C22" s="7">
        <v>42556</v>
      </c>
      <c r="D22" s="8" t="s">
        <v>29</v>
      </c>
      <c r="F22">
        <f t="shared" si="0"/>
        <v>261</v>
      </c>
      <c r="G22" s="9">
        <f t="shared" si="1"/>
        <v>19.846153846153847</v>
      </c>
      <c r="H22">
        <v>38</v>
      </c>
      <c r="I22">
        <v>32</v>
      </c>
      <c r="J22">
        <v>31</v>
      </c>
      <c r="K22">
        <v>54</v>
      </c>
      <c r="L22">
        <v>10</v>
      </c>
      <c r="M22">
        <v>21</v>
      </c>
      <c r="N22">
        <v>25</v>
      </c>
      <c r="O22">
        <v>14</v>
      </c>
      <c r="P22">
        <v>9</v>
      </c>
      <c r="Q22">
        <v>11</v>
      </c>
      <c r="R22">
        <v>6</v>
      </c>
      <c r="S22">
        <v>1</v>
      </c>
      <c r="T22">
        <v>6</v>
      </c>
      <c r="U22">
        <v>3</v>
      </c>
    </row>
    <row r="23" spans="1:21" x14ac:dyDescent="0.25">
      <c r="A23" s="5" t="s">
        <v>60</v>
      </c>
      <c r="B23" s="6" t="s">
        <v>22</v>
      </c>
      <c r="C23" s="7">
        <v>42556</v>
      </c>
      <c r="D23" s="8" t="s">
        <v>31</v>
      </c>
      <c r="F23">
        <f t="shared" si="0"/>
        <v>361</v>
      </c>
      <c r="G23" s="9">
        <f t="shared" si="1"/>
        <v>27.53846153846154</v>
      </c>
      <c r="H23">
        <v>46</v>
      </c>
      <c r="I23">
        <v>69</v>
      </c>
      <c r="J23">
        <v>75</v>
      </c>
      <c r="K23">
        <v>44</v>
      </c>
      <c r="L23">
        <v>15</v>
      </c>
      <c r="M23">
        <v>19</v>
      </c>
      <c r="N23">
        <v>22</v>
      </c>
      <c r="O23">
        <v>16</v>
      </c>
      <c r="P23">
        <v>23</v>
      </c>
      <c r="Q23">
        <v>9</v>
      </c>
      <c r="R23">
        <v>10</v>
      </c>
      <c r="S23">
        <v>7</v>
      </c>
      <c r="T23">
        <v>3</v>
      </c>
      <c r="U23">
        <v>3</v>
      </c>
    </row>
    <row r="24" spans="1:21" x14ac:dyDescent="0.25">
      <c r="A24" s="5" t="s">
        <v>61</v>
      </c>
      <c r="B24" s="6" t="s">
        <v>22</v>
      </c>
      <c r="C24" s="7">
        <v>42552</v>
      </c>
      <c r="D24" s="8" t="s">
        <v>62</v>
      </c>
      <c r="F24">
        <f t="shared" si="0"/>
        <v>344</v>
      </c>
      <c r="G24" s="9">
        <f t="shared" si="1"/>
        <v>26.076923076923077</v>
      </c>
      <c r="H24">
        <v>16</v>
      </c>
      <c r="I24">
        <v>27</v>
      </c>
      <c r="J24">
        <v>75</v>
      </c>
      <c r="K24">
        <v>62</v>
      </c>
      <c r="L24">
        <v>37</v>
      </c>
      <c r="M24">
        <v>38</v>
      </c>
      <c r="N24">
        <v>28</v>
      </c>
      <c r="O24">
        <v>18</v>
      </c>
      <c r="P24">
        <v>6</v>
      </c>
      <c r="Q24">
        <v>12</v>
      </c>
      <c r="R24">
        <v>6</v>
      </c>
      <c r="S24">
        <v>10</v>
      </c>
      <c r="T24">
        <v>4</v>
      </c>
      <c r="U24">
        <v>5</v>
      </c>
    </row>
    <row r="25" spans="1:21" x14ac:dyDescent="0.25">
      <c r="A25" s="5" t="s">
        <v>63</v>
      </c>
      <c r="B25" s="6" t="s">
        <v>22</v>
      </c>
      <c r="C25" s="7">
        <v>42550</v>
      </c>
      <c r="D25" s="8" t="s">
        <v>64</v>
      </c>
      <c r="F25">
        <f t="shared" si="0"/>
        <v>669</v>
      </c>
      <c r="G25" s="9">
        <f t="shared" si="1"/>
        <v>50.615384615384613</v>
      </c>
      <c r="H25">
        <v>157</v>
      </c>
      <c r="I25">
        <v>141</v>
      </c>
      <c r="J25">
        <v>84</v>
      </c>
      <c r="K25">
        <v>35</v>
      </c>
      <c r="L25">
        <v>36</v>
      </c>
      <c r="M25">
        <v>51</v>
      </c>
      <c r="N25">
        <v>51</v>
      </c>
      <c r="O25">
        <v>42</v>
      </c>
      <c r="P25">
        <v>27</v>
      </c>
      <c r="Q25">
        <v>11</v>
      </c>
      <c r="R25">
        <v>7</v>
      </c>
      <c r="S25">
        <v>5</v>
      </c>
      <c r="T25">
        <v>11</v>
      </c>
      <c r="U25">
        <v>11</v>
      </c>
    </row>
    <row r="26" spans="1:21" x14ac:dyDescent="0.25">
      <c r="A26" s="5" t="s">
        <v>65</v>
      </c>
      <c r="B26" s="6" t="s">
        <v>22</v>
      </c>
      <c r="C26" s="7">
        <v>42550</v>
      </c>
      <c r="D26" s="8" t="s">
        <v>66</v>
      </c>
      <c r="F26">
        <f t="shared" si="0"/>
        <v>482</v>
      </c>
      <c r="G26" s="9">
        <f t="shared" si="1"/>
        <v>36</v>
      </c>
      <c r="H26">
        <v>85</v>
      </c>
      <c r="I26">
        <v>119</v>
      </c>
      <c r="J26">
        <v>41</v>
      </c>
      <c r="K26">
        <v>14</v>
      </c>
      <c r="L26">
        <v>15</v>
      </c>
      <c r="M26">
        <v>19</v>
      </c>
      <c r="N26">
        <v>69</v>
      </c>
      <c r="O26">
        <v>39</v>
      </c>
      <c r="P26">
        <v>16</v>
      </c>
      <c r="Q26">
        <v>11</v>
      </c>
      <c r="R26">
        <v>7</v>
      </c>
      <c r="S26">
        <v>8</v>
      </c>
      <c r="T26">
        <v>25</v>
      </c>
      <c r="U26">
        <v>14</v>
      </c>
    </row>
    <row r="27" spans="1:21" x14ac:dyDescent="0.25">
      <c r="A27" s="5" t="s">
        <v>67</v>
      </c>
      <c r="B27" s="6" t="s">
        <v>22</v>
      </c>
      <c r="C27" s="7">
        <v>42550</v>
      </c>
      <c r="D27" s="8" t="s">
        <v>68</v>
      </c>
      <c r="F27">
        <f t="shared" si="0"/>
        <v>65</v>
      </c>
      <c r="G27" s="9">
        <f t="shared" si="1"/>
        <v>4.8461538461538458</v>
      </c>
      <c r="H27">
        <v>16</v>
      </c>
      <c r="I27">
        <v>14</v>
      </c>
      <c r="J27">
        <v>10</v>
      </c>
      <c r="K27">
        <v>5</v>
      </c>
      <c r="L27">
        <v>7</v>
      </c>
      <c r="M27">
        <v>4</v>
      </c>
      <c r="N27">
        <v>2</v>
      </c>
      <c r="O27">
        <v>2</v>
      </c>
      <c r="P27">
        <v>1</v>
      </c>
      <c r="Q27">
        <v>0</v>
      </c>
      <c r="R27">
        <v>0</v>
      </c>
      <c r="S27">
        <v>0</v>
      </c>
      <c r="T27">
        <v>2</v>
      </c>
      <c r="U27">
        <v>2</v>
      </c>
    </row>
    <row r="28" spans="1:21" x14ac:dyDescent="0.25">
      <c r="A28" s="5" t="s">
        <v>69</v>
      </c>
      <c r="B28" s="6" t="s">
        <v>22</v>
      </c>
      <c r="C28" s="7">
        <v>42548</v>
      </c>
      <c r="D28" s="8" t="s">
        <v>70</v>
      </c>
      <c r="F28">
        <f t="shared" si="0"/>
        <v>357</v>
      </c>
      <c r="G28" s="9">
        <f t="shared" si="1"/>
        <v>27.307692307692307</v>
      </c>
      <c r="H28">
        <v>83</v>
      </c>
      <c r="I28">
        <v>88</v>
      </c>
      <c r="J28">
        <v>50</v>
      </c>
      <c r="K28">
        <v>26</v>
      </c>
      <c r="L28">
        <v>8</v>
      </c>
      <c r="M28">
        <v>7</v>
      </c>
      <c r="N28">
        <v>8</v>
      </c>
      <c r="O28">
        <v>22</v>
      </c>
      <c r="P28">
        <v>27</v>
      </c>
      <c r="Q28">
        <v>16</v>
      </c>
      <c r="R28">
        <v>10</v>
      </c>
      <c r="S28">
        <v>7</v>
      </c>
      <c r="T28">
        <v>3</v>
      </c>
      <c r="U28">
        <v>2</v>
      </c>
    </row>
    <row r="29" spans="1:21" x14ac:dyDescent="0.25">
      <c r="A29" s="5" t="s">
        <v>71</v>
      </c>
      <c r="B29" s="6" t="s">
        <v>22</v>
      </c>
      <c r="C29" s="7">
        <v>42545</v>
      </c>
      <c r="D29" s="8" t="s">
        <v>72</v>
      </c>
      <c r="F29">
        <f t="shared" si="0"/>
        <v>277</v>
      </c>
      <c r="G29" s="9">
        <f t="shared" si="1"/>
        <v>21.153846153846153</v>
      </c>
      <c r="H29">
        <v>15</v>
      </c>
      <c r="I29">
        <v>60</v>
      </c>
      <c r="J29">
        <v>44</v>
      </c>
      <c r="K29">
        <v>53</v>
      </c>
      <c r="L29">
        <v>37</v>
      </c>
      <c r="M29">
        <v>30</v>
      </c>
      <c r="N29">
        <v>16</v>
      </c>
      <c r="O29">
        <v>7</v>
      </c>
      <c r="P29">
        <v>2</v>
      </c>
      <c r="Q29">
        <v>2</v>
      </c>
      <c r="R29">
        <v>4</v>
      </c>
      <c r="S29">
        <v>2</v>
      </c>
      <c r="T29">
        <v>3</v>
      </c>
      <c r="U29">
        <v>2</v>
      </c>
    </row>
    <row r="30" spans="1:21" x14ac:dyDescent="0.25">
      <c r="A30" s="5" t="s">
        <v>73</v>
      </c>
      <c r="B30" s="6" t="s">
        <v>22</v>
      </c>
      <c r="C30" s="7">
        <v>42544</v>
      </c>
      <c r="D30" s="8" t="s">
        <v>46</v>
      </c>
      <c r="F30">
        <f t="shared" si="0"/>
        <v>270</v>
      </c>
      <c r="G30" s="9">
        <f t="shared" si="1"/>
        <v>20.53846153846154</v>
      </c>
      <c r="H30">
        <v>35</v>
      </c>
      <c r="I30">
        <v>54</v>
      </c>
      <c r="J30">
        <v>18</v>
      </c>
      <c r="K30">
        <v>27</v>
      </c>
      <c r="L30">
        <v>21</v>
      </c>
      <c r="M30">
        <v>33</v>
      </c>
      <c r="N30">
        <v>5</v>
      </c>
      <c r="O30">
        <v>32</v>
      </c>
      <c r="P30">
        <v>15</v>
      </c>
      <c r="Q30">
        <v>4</v>
      </c>
      <c r="R30">
        <v>11</v>
      </c>
      <c r="S30">
        <v>5</v>
      </c>
      <c r="T30">
        <v>7</v>
      </c>
      <c r="U30">
        <v>3</v>
      </c>
    </row>
    <row r="31" spans="1:21" x14ac:dyDescent="0.25">
      <c r="A31" s="5" t="s">
        <v>74</v>
      </c>
      <c r="B31" s="6" t="s">
        <v>22</v>
      </c>
      <c r="C31" s="7">
        <v>42544</v>
      </c>
      <c r="D31" s="8" t="s">
        <v>31</v>
      </c>
      <c r="F31">
        <f t="shared" si="0"/>
        <v>833</v>
      </c>
      <c r="G31" s="9">
        <f t="shared" si="1"/>
        <v>63.153846153846153</v>
      </c>
      <c r="H31">
        <v>201</v>
      </c>
      <c r="I31">
        <v>152</v>
      </c>
      <c r="J31">
        <v>60</v>
      </c>
      <c r="K31">
        <v>76</v>
      </c>
      <c r="L31">
        <v>83</v>
      </c>
      <c r="M31">
        <v>77</v>
      </c>
      <c r="N31">
        <v>52</v>
      </c>
      <c r="O31">
        <v>29</v>
      </c>
      <c r="P31">
        <v>19</v>
      </c>
      <c r="Q31">
        <v>14</v>
      </c>
      <c r="R31">
        <v>14</v>
      </c>
      <c r="S31">
        <v>22</v>
      </c>
      <c r="T31">
        <v>22</v>
      </c>
      <c r="U31">
        <v>12</v>
      </c>
    </row>
    <row r="32" spans="1:21" x14ac:dyDescent="0.25">
      <c r="A32" s="5" t="s">
        <v>75</v>
      </c>
      <c r="B32" s="6" t="s">
        <v>22</v>
      </c>
      <c r="C32" s="7">
        <v>42543</v>
      </c>
      <c r="D32" s="8" t="s">
        <v>64</v>
      </c>
      <c r="F32">
        <f t="shared" si="0"/>
        <v>433</v>
      </c>
      <c r="G32" s="9">
        <f t="shared" si="1"/>
        <v>33.07692307692308</v>
      </c>
      <c r="H32">
        <v>108</v>
      </c>
      <c r="I32">
        <v>128</v>
      </c>
      <c r="J32">
        <v>98</v>
      </c>
      <c r="K32">
        <v>24</v>
      </c>
      <c r="L32">
        <v>26</v>
      </c>
      <c r="M32">
        <v>14</v>
      </c>
      <c r="N32">
        <v>14</v>
      </c>
      <c r="O32">
        <v>4</v>
      </c>
      <c r="P32">
        <v>1</v>
      </c>
      <c r="Q32">
        <v>8</v>
      </c>
      <c r="R32">
        <v>3</v>
      </c>
      <c r="S32">
        <v>1</v>
      </c>
      <c r="T32">
        <v>1</v>
      </c>
      <c r="U32">
        <v>3</v>
      </c>
    </row>
    <row r="33" spans="1:21" x14ac:dyDescent="0.25">
      <c r="A33" s="5" t="s">
        <v>76</v>
      </c>
      <c r="B33" s="6" t="s">
        <v>22</v>
      </c>
      <c r="C33" s="7">
        <v>42541</v>
      </c>
      <c r="D33" s="8" t="s">
        <v>77</v>
      </c>
      <c r="F33">
        <f t="shared" si="0"/>
        <v>119</v>
      </c>
      <c r="G33" s="9">
        <f t="shared" si="1"/>
        <v>9.0769230769230766</v>
      </c>
      <c r="H33">
        <v>34</v>
      </c>
      <c r="I33">
        <v>35</v>
      </c>
      <c r="J33">
        <v>26</v>
      </c>
      <c r="K33">
        <v>9</v>
      </c>
      <c r="L33">
        <v>4</v>
      </c>
      <c r="M33">
        <v>0</v>
      </c>
      <c r="N33">
        <v>4</v>
      </c>
      <c r="O33">
        <v>4</v>
      </c>
      <c r="P33">
        <v>1</v>
      </c>
      <c r="Q33">
        <v>1</v>
      </c>
      <c r="R33">
        <v>0</v>
      </c>
      <c r="S33">
        <v>0</v>
      </c>
      <c r="T33">
        <v>0</v>
      </c>
      <c r="U33">
        <v>1</v>
      </c>
    </row>
    <row r="34" spans="1:21" x14ac:dyDescent="0.25">
      <c r="A34" s="5" t="s">
        <v>78</v>
      </c>
      <c r="B34" s="6" t="s">
        <v>22</v>
      </c>
      <c r="C34" s="7">
        <v>42534</v>
      </c>
      <c r="D34" s="8" t="s">
        <v>31</v>
      </c>
      <c r="F34">
        <f t="shared" si="0"/>
        <v>802</v>
      </c>
      <c r="G34" s="9">
        <f t="shared" si="1"/>
        <v>61.384615384615387</v>
      </c>
      <c r="H34">
        <v>182</v>
      </c>
      <c r="I34">
        <v>229</v>
      </c>
      <c r="J34">
        <v>115</v>
      </c>
      <c r="K34">
        <v>71</v>
      </c>
      <c r="L34">
        <v>41</v>
      </c>
      <c r="M34">
        <v>31</v>
      </c>
      <c r="N34">
        <v>30</v>
      </c>
      <c r="O34">
        <v>30</v>
      </c>
      <c r="P34">
        <v>30</v>
      </c>
      <c r="Q34">
        <v>17</v>
      </c>
      <c r="R34">
        <v>9</v>
      </c>
      <c r="S34">
        <v>7</v>
      </c>
      <c r="T34">
        <v>6</v>
      </c>
      <c r="U34">
        <v>4</v>
      </c>
    </row>
    <row r="35" spans="1:21" x14ac:dyDescent="0.25">
      <c r="A35" s="5" t="s">
        <v>79</v>
      </c>
      <c r="B35" s="6" t="s">
        <v>22</v>
      </c>
      <c r="C35" s="7">
        <v>42531</v>
      </c>
      <c r="D35" s="8" t="s">
        <v>80</v>
      </c>
      <c r="F35">
        <f t="shared" si="0"/>
        <v>217</v>
      </c>
      <c r="G35" s="9">
        <f t="shared" si="1"/>
        <v>16.53846153846154</v>
      </c>
      <c r="H35">
        <v>43</v>
      </c>
      <c r="I35">
        <v>26</v>
      </c>
      <c r="J35">
        <v>10</v>
      </c>
      <c r="K35">
        <v>14</v>
      </c>
      <c r="L35">
        <v>15</v>
      </c>
      <c r="M35">
        <v>58</v>
      </c>
      <c r="N35">
        <v>17</v>
      </c>
      <c r="O35">
        <v>3</v>
      </c>
      <c r="P35">
        <v>3</v>
      </c>
      <c r="Q35">
        <v>9</v>
      </c>
      <c r="R35">
        <v>7</v>
      </c>
      <c r="S35">
        <v>6</v>
      </c>
      <c r="T35">
        <v>4</v>
      </c>
      <c r="U35">
        <v>2</v>
      </c>
    </row>
    <row r="36" spans="1:21" x14ac:dyDescent="0.25">
      <c r="A36" s="5" t="s">
        <v>81</v>
      </c>
      <c r="B36" s="6" t="s">
        <v>22</v>
      </c>
      <c r="C36" s="7">
        <v>42530</v>
      </c>
      <c r="D36" s="8" t="s">
        <v>82</v>
      </c>
      <c r="F36">
        <f t="shared" si="0"/>
        <v>2329</v>
      </c>
      <c r="G36" s="9">
        <f t="shared" si="1"/>
        <v>178.61538461538461</v>
      </c>
      <c r="H36">
        <v>263</v>
      </c>
      <c r="I36">
        <v>415</v>
      </c>
      <c r="J36">
        <v>510</v>
      </c>
      <c r="K36">
        <v>291</v>
      </c>
      <c r="L36">
        <v>565</v>
      </c>
      <c r="M36">
        <v>143</v>
      </c>
      <c r="N36">
        <v>55</v>
      </c>
      <c r="O36">
        <v>28</v>
      </c>
      <c r="P36">
        <v>10</v>
      </c>
      <c r="Q36">
        <v>9</v>
      </c>
      <c r="R36">
        <v>10</v>
      </c>
      <c r="S36">
        <v>13</v>
      </c>
      <c r="T36">
        <v>10</v>
      </c>
      <c r="U36">
        <v>7</v>
      </c>
    </row>
    <row r="37" spans="1:21" x14ac:dyDescent="0.25">
      <c r="A37" s="5" t="s">
        <v>83</v>
      </c>
      <c r="B37" s="6" t="s">
        <v>22</v>
      </c>
      <c r="C37" s="7">
        <v>42530</v>
      </c>
      <c r="D37" s="8" t="s">
        <v>84</v>
      </c>
      <c r="F37">
        <f t="shared" si="0"/>
        <v>559</v>
      </c>
      <c r="G37" s="9">
        <f t="shared" si="1"/>
        <v>42.692307692307693</v>
      </c>
      <c r="H37">
        <v>38</v>
      </c>
      <c r="I37">
        <v>66</v>
      </c>
      <c r="J37">
        <v>71</v>
      </c>
      <c r="K37">
        <v>83</v>
      </c>
      <c r="L37">
        <v>78</v>
      </c>
      <c r="M37">
        <v>62</v>
      </c>
      <c r="N37">
        <v>65</v>
      </c>
      <c r="O37">
        <v>23</v>
      </c>
      <c r="P37">
        <v>20</v>
      </c>
      <c r="Q37">
        <v>12</v>
      </c>
      <c r="R37">
        <v>11</v>
      </c>
      <c r="S37">
        <v>5</v>
      </c>
      <c r="T37">
        <v>21</v>
      </c>
      <c r="U37">
        <v>4</v>
      </c>
    </row>
    <row r="38" spans="1:21" x14ac:dyDescent="0.25">
      <c r="A38" s="5" t="s">
        <v>85</v>
      </c>
      <c r="B38" s="6" t="s">
        <v>22</v>
      </c>
      <c r="C38" s="7">
        <v>42530</v>
      </c>
      <c r="D38" s="8" t="s">
        <v>31</v>
      </c>
      <c r="F38">
        <f t="shared" si="0"/>
        <v>1379</v>
      </c>
      <c r="G38" s="9">
        <f t="shared" si="1"/>
        <v>103.15384615384616</v>
      </c>
      <c r="H38">
        <v>217</v>
      </c>
      <c r="I38">
        <v>218</v>
      </c>
      <c r="J38">
        <v>226</v>
      </c>
      <c r="K38">
        <v>160</v>
      </c>
      <c r="L38">
        <v>145</v>
      </c>
      <c r="M38">
        <v>81</v>
      </c>
      <c r="N38">
        <v>69</v>
      </c>
      <c r="O38">
        <v>37</v>
      </c>
      <c r="P38">
        <v>40</v>
      </c>
      <c r="Q38">
        <v>36</v>
      </c>
      <c r="R38">
        <v>32</v>
      </c>
      <c r="S38">
        <v>40</v>
      </c>
      <c r="T38">
        <v>40</v>
      </c>
      <c r="U38">
        <v>38</v>
      </c>
    </row>
    <row r="39" spans="1:21" x14ac:dyDescent="0.25">
      <c r="A39" s="5" t="s">
        <v>86</v>
      </c>
      <c r="B39" s="6" t="s">
        <v>22</v>
      </c>
      <c r="C39" s="7">
        <v>42528</v>
      </c>
      <c r="D39" s="8" t="s">
        <v>25</v>
      </c>
      <c r="F39">
        <f t="shared" si="0"/>
        <v>787</v>
      </c>
      <c r="G39" s="9">
        <f t="shared" si="1"/>
        <v>59.46153846153846</v>
      </c>
      <c r="H39">
        <v>189</v>
      </c>
      <c r="I39">
        <v>142</v>
      </c>
      <c r="J39">
        <v>76</v>
      </c>
      <c r="K39">
        <v>32</v>
      </c>
      <c r="L39">
        <v>73</v>
      </c>
      <c r="M39">
        <v>83</v>
      </c>
      <c r="N39">
        <v>91</v>
      </c>
      <c r="O39">
        <v>36</v>
      </c>
      <c r="P39">
        <v>11</v>
      </c>
      <c r="Q39">
        <v>18</v>
      </c>
      <c r="R39">
        <v>8</v>
      </c>
      <c r="S39">
        <v>10</v>
      </c>
      <c r="T39">
        <v>4</v>
      </c>
      <c r="U39">
        <v>14</v>
      </c>
    </row>
    <row r="40" spans="1:21" x14ac:dyDescent="0.25">
      <c r="A40" s="5" t="s">
        <v>87</v>
      </c>
      <c r="B40" s="6" t="s">
        <v>22</v>
      </c>
      <c r="C40" s="7">
        <v>42516</v>
      </c>
      <c r="D40" s="8" t="s">
        <v>88</v>
      </c>
      <c r="F40">
        <f t="shared" si="0"/>
        <v>370</v>
      </c>
      <c r="G40" s="9">
        <f t="shared" si="1"/>
        <v>25.53846153846154</v>
      </c>
      <c r="H40">
        <v>13</v>
      </c>
      <c r="I40">
        <v>14</v>
      </c>
      <c r="J40">
        <v>6</v>
      </c>
      <c r="K40">
        <v>5</v>
      </c>
      <c r="L40">
        <v>11</v>
      </c>
      <c r="M40">
        <v>16</v>
      </c>
      <c r="N40">
        <v>28</v>
      </c>
      <c r="O40">
        <v>90</v>
      </c>
      <c r="P40">
        <v>49</v>
      </c>
      <c r="Q40">
        <v>22</v>
      </c>
      <c r="R40">
        <v>31</v>
      </c>
      <c r="S40">
        <v>40</v>
      </c>
      <c r="T40">
        <v>7</v>
      </c>
      <c r="U40">
        <v>38</v>
      </c>
    </row>
    <row r="41" spans="1:21" x14ac:dyDescent="0.25">
      <c r="A41" s="5" t="s">
        <v>89</v>
      </c>
      <c r="B41" s="6" t="s">
        <v>22</v>
      </c>
      <c r="C41" s="7">
        <v>42516</v>
      </c>
      <c r="D41" s="8" t="s">
        <v>90</v>
      </c>
      <c r="F41">
        <f t="shared" si="0"/>
        <v>227</v>
      </c>
      <c r="G41" s="9">
        <f t="shared" si="1"/>
        <v>16.923076923076923</v>
      </c>
      <c r="H41">
        <v>20</v>
      </c>
      <c r="I41">
        <v>15</v>
      </c>
      <c r="J41">
        <v>4</v>
      </c>
      <c r="K41">
        <v>13</v>
      </c>
      <c r="L41">
        <v>9</v>
      </c>
      <c r="M41">
        <v>40</v>
      </c>
      <c r="N41">
        <v>28</v>
      </c>
      <c r="O41">
        <v>29</v>
      </c>
      <c r="P41">
        <v>23</v>
      </c>
      <c r="Q41">
        <v>3</v>
      </c>
      <c r="R41">
        <v>4</v>
      </c>
      <c r="S41">
        <v>6</v>
      </c>
      <c r="T41">
        <v>26</v>
      </c>
      <c r="U41">
        <v>7</v>
      </c>
    </row>
    <row r="42" spans="1:21" x14ac:dyDescent="0.25">
      <c r="A42" s="5" t="s">
        <v>91</v>
      </c>
      <c r="B42" s="6" t="s">
        <v>22</v>
      </c>
      <c r="C42" s="7">
        <v>42515</v>
      </c>
      <c r="D42" s="8" t="s">
        <v>92</v>
      </c>
      <c r="F42">
        <f t="shared" si="0"/>
        <v>703</v>
      </c>
      <c r="G42" s="9">
        <f t="shared" si="1"/>
        <v>51.384615384615387</v>
      </c>
      <c r="H42">
        <v>49</v>
      </c>
      <c r="I42">
        <v>113</v>
      </c>
      <c r="J42">
        <v>37</v>
      </c>
      <c r="K42">
        <v>10</v>
      </c>
      <c r="L42">
        <v>14</v>
      </c>
      <c r="M42">
        <v>22</v>
      </c>
      <c r="N42">
        <v>64</v>
      </c>
      <c r="O42">
        <v>145</v>
      </c>
      <c r="P42">
        <v>61</v>
      </c>
      <c r="Q42">
        <v>47</v>
      </c>
      <c r="R42">
        <v>30</v>
      </c>
      <c r="S42">
        <v>28</v>
      </c>
      <c r="T42">
        <v>48</v>
      </c>
      <c r="U42">
        <v>35</v>
      </c>
    </row>
    <row r="43" spans="1:21" x14ac:dyDescent="0.25">
      <c r="A43" s="5" t="s">
        <v>93</v>
      </c>
      <c r="B43" s="6" t="s">
        <v>22</v>
      </c>
      <c r="C43" s="7">
        <v>42513</v>
      </c>
      <c r="D43" s="8" t="s">
        <v>31</v>
      </c>
      <c r="F43">
        <f t="shared" si="0"/>
        <v>872</v>
      </c>
      <c r="G43" s="9">
        <f t="shared" si="1"/>
        <v>66.692307692307693</v>
      </c>
      <c r="H43">
        <v>90</v>
      </c>
      <c r="I43">
        <v>275</v>
      </c>
      <c r="J43">
        <v>109</v>
      </c>
      <c r="K43">
        <v>71</v>
      </c>
      <c r="L43">
        <v>34</v>
      </c>
      <c r="M43">
        <v>14</v>
      </c>
      <c r="N43">
        <v>16</v>
      </c>
      <c r="O43">
        <v>31</v>
      </c>
      <c r="P43">
        <v>115</v>
      </c>
      <c r="Q43">
        <v>43</v>
      </c>
      <c r="R43">
        <v>34</v>
      </c>
      <c r="S43">
        <v>28</v>
      </c>
      <c r="T43">
        <v>7</v>
      </c>
      <c r="U43">
        <v>5</v>
      </c>
    </row>
    <row r="44" spans="1:21" x14ac:dyDescent="0.25">
      <c r="A44" s="5" t="s">
        <v>94</v>
      </c>
      <c r="B44" s="6" t="s">
        <v>22</v>
      </c>
      <c r="C44" s="7">
        <v>42510</v>
      </c>
      <c r="D44" s="8" t="s">
        <v>95</v>
      </c>
      <c r="F44">
        <f t="shared" si="0"/>
        <v>467</v>
      </c>
      <c r="G44" s="9">
        <f t="shared" si="1"/>
        <v>35.769230769230766</v>
      </c>
      <c r="H44">
        <v>96</v>
      </c>
      <c r="I44">
        <v>74</v>
      </c>
      <c r="J44">
        <v>46</v>
      </c>
      <c r="K44">
        <v>58</v>
      </c>
      <c r="L44">
        <v>54</v>
      </c>
      <c r="M44">
        <v>71</v>
      </c>
      <c r="N44">
        <v>15</v>
      </c>
      <c r="O44">
        <v>7</v>
      </c>
      <c r="P44">
        <v>2</v>
      </c>
      <c r="Q44">
        <v>1</v>
      </c>
      <c r="R44">
        <v>14</v>
      </c>
      <c r="S44">
        <v>16</v>
      </c>
      <c r="T44">
        <v>11</v>
      </c>
      <c r="U44">
        <v>2</v>
      </c>
    </row>
    <row r="45" spans="1:21" x14ac:dyDescent="0.25">
      <c r="A45" s="5" t="s">
        <v>96</v>
      </c>
      <c r="B45" s="6" t="s">
        <v>22</v>
      </c>
      <c r="C45" s="7">
        <v>42509</v>
      </c>
      <c r="D45" s="8" t="s">
        <v>23</v>
      </c>
      <c r="F45">
        <f t="shared" si="0"/>
        <v>187</v>
      </c>
      <c r="G45" s="9">
        <f t="shared" si="1"/>
        <v>13.153846153846153</v>
      </c>
      <c r="H45">
        <v>28</v>
      </c>
      <c r="I45">
        <v>20</v>
      </c>
      <c r="J45">
        <v>6</v>
      </c>
      <c r="K45">
        <v>2</v>
      </c>
      <c r="L45">
        <v>40</v>
      </c>
      <c r="M45">
        <v>18</v>
      </c>
      <c r="N45">
        <v>20</v>
      </c>
      <c r="O45">
        <v>12</v>
      </c>
      <c r="P45">
        <v>6</v>
      </c>
      <c r="Q45">
        <v>2</v>
      </c>
      <c r="R45">
        <v>2</v>
      </c>
      <c r="S45">
        <v>5</v>
      </c>
      <c r="T45">
        <v>10</v>
      </c>
      <c r="U45">
        <v>16</v>
      </c>
    </row>
    <row r="46" spans="1:21" x14ac:dyDescent="0.25">
      <c r="A46" s="5" t="s">
        <v>97</v>
      </c>
      <c r="B46" s="6" t="s">
        <v>22</v>
      </c>
      <c r="C46" s="7">
        <v>42507</v>
      </c>
      <c r="D46" s="8" t="s">
        <v>27</v>
      </c>
      <c r="F46">
        <f t="shared" si="0"/>
        <v>890</v>
      </c>
      <c r="G46" s="9">
        <f t="shared" si="1"/>
        <v>67.538461538461533</v>
      </c>
      <c r="H46">
        <v>68</v>
      </c>
      <c r="I46">
        <v>480</v>
      </c>
      <c r="J46">
        <v>104</v>
      </c>
      <c r="K46">
        <v>67</v>
      </c>
      <c r="L46">
        <v>18</v>
      </c>
      <c r="M46">
        <v>18</v>
      </c>
      <c r="N46">
        <v>37</v>
      </c>
      <c r="O46">
        <v>22</v>
      </c>
      <c r="P46">
        <v>26</v>
      </c>
      <c r="Q46">
        <v>15</v>
      </c>
      <c r="R46">
        <v>8</v>
      </c>
      <c r="S46">
        <v>6</v>
      </c>
      <c r="T46">
        <v>9</v>
      </c>
      <c r="U46">
        <v>12</v>
      </c>
    </row>
    <row r="47" spans="1:21" x14ac:dyDescent="0.25">
      <c r="A47" s="5" t="s">
        <v>98</v>
      </c>
      <c r="B47" s="6" t="s">
        <v>99</v>
      </c>
      <c r="C47" s="7">
        <v>42590</v>
      </c>
      <c r="D47" s="8" t="s">
        <v>100</v>
      </c>
      <c r="F47">
        <f>SUM(H47:U47)</f>
        <v>580</v>
      </c>
      <c r="G47" s="9">
        <f t="shared" si="1"/>
        <v>44.46153846153846</v>
      </c>
      <c r="H47">
        <v>44</v>
      </c>
      <c r="I47">
        <v>197</v>
      </c>
      <c r="J47">
        <v>162</v>
      </c>
      <c r="K47">
        <v>64</v>
      </c>
      <c r="L47">
        <v>13</v>
      </c>
      <c r="M47">
        <v>47</v>
      </c>
      <c r="N47">
        <v>23</v>
      </c>
      <c r="O47">
        <v>9</v>
      </c>
      <c r="P47">
        <v>9</v>
      </c>
      <c r="Q47">
        <v>3</v>
      </c>
      <c r="R47">
        <v>3</v>
      </c>
      <c r="S47">
        <v>1</v>
      </c>
      <c r="T47">
        <v>3</v>
      </c>
      <c r="U47">
        <v>2</v>
      </c>
    </row>
    <row r="48" spans="1:21" x14ac:dyDescent="0.25">
      <c r="A48" s="5" t="s">
        <v>101</v>
      </c>
      <c r="B48" s="6" t="s">
        <v>99</v>
      </c>
      <c r="C48" s="7">
        <v>42586</v>
      </c>
      <c r="D48" s="8" t="s">
        <v>102</v>
      </c>
      <c r="F48">
        <f t="shared" ref="F48:F111" si="2">SUM(H48:U48)</f>
        <v>450</v>
      </c>
      <c r="G48" s="9">
        <f t="shared" si="1"/>
        <v>34.53846153846154</v>
      </c>
      <c r="H48">
        <v>47</v>
      </c>
      <c r="I48">
        <v>114</v>
      </c>
      <c r="J48">
        <v>37</v>
      </c>
      <c r="K48">
        <v>31</v>
      </c>
      <c r="L48">
        <v>70</v>
      </c>
      <c r="M48">
        <v>78</v>
      </c>
      <c r="N48">
        <v>25</v>
      </c>
      <c r="O48">
        <v>14</v>
      </c>
      <c r="P48">
        <v>14</v>
      </c>
      <c r="Q48">
        <v>6</v>
      </c>
      <c r="R48">
        <v>7</v>
      </c>
      <c r="S48">
        <v>1</v>
      </c>
      <c r="T48">
        <v>5</v>
      </c>
      <c r="U48">
        <v>1</v>
      </c>
    </row>
    <row r="49" spans="1:21" x14ac:dyDescent="0.25">
      <c r="A49" s="5" t="s">
        <v>103</v>
      </c>
      <c r="B49" s="6" t="s">
        <v>99</v>
      </c>
      <c r="C49" s="7">
        <v>42583</v>
      </c>
      <c r="D49" s="8" t="s">
        <v>104</v>
      </c>
      <c r="F49">
        <f t="shared" si="2"/>
        <v>1511</v>
      </c>
      <c r="G49" s="9">
        <f t="shared" si="1"/>
        <v>114.23076923076923</v>
      </c>
      <c r="H49">
        <v>83</v>
      </c>
      <c r="I49">
        <v>735</v>
      </c>
      <c r="J49">
        <v>180</v>
      </c>
      <c r="K49">
        <v>156</v>
      </c>
      <c r="L49">
        <v>64</v>
      </c>
      <c r="M49">
        <v>18</v>
      </c>
      <c r="N49">
        <v>13</v>
      </c>
      <c r="O49">
        <v>94</v>
      </c>
      <c r="P49">
        <v>78</v>
      </c>
      <c r="Q49">
        <v>22</v>
      </c>
      <c r="R49">
        <v>21</v>
      </c>
      <c r="S49">
        <v>17</v>
      </c>
      <c r="T49">
        <v>4</v>
      </c>
      <c r="U49">
        <v>26</v>
      </c>
    </row>
    <row r="50" spans="1:21" x14ac:dyDescent="0.25">
      <c r="A50" s="5" t="s">
        <v>105</v>
      </c>
      <c r="B50" s="6" t="s">
        <v>99</v>
      </c>
      <c r="C50" s="7">
        <v>42562</v>
      </c>
      <c r="D50" s="8" t="s">
        <v>100</v>
      </c>
      <c r="F50">
        <f t="shared" si="2"/>
        <v>371</v>
      </c>
      <c r="G50" s="9">
        <f t="shared" si="1"/>
        <v>28.23076923076923</v>
      </c>
      <c r="H50">
        <v>33</v>
      </c>
      <c r="I50">
        <v>64</v>
      </c>
      <c r="J50">
        <v>120</v>
      </c>
      <c r="K50">
        <v>78</v>
      </c>
      <c r="L50">
        <v>23</v>
      </c>
      <c r="M50">
        <v>8</v>
      </c>
      <c r="N50">
        <v>15</v>
      </c>
      <c r="O50">
        <v>9</v>
      </c>
      <c r="P50">
        <v>4</v>
      </c>
      <c r="Q50">
        <v>2</v>
      </c>
      <c r="R50">
        <v>4</v>
      </c>
      <c r="S50">
        <v>6</v>
      </c>
      <c r="T50">
        <v>1</v>
      </c>
      <c r="U50">
        <v>4</v>
      </c>
    </row>
    <row r="51" spans="1:21" x14ac:dyDescent="0.25">
      <c r="A51" s="5" t="s">
        <v>106</v>
      </c>
      <c r="B51" s="6" t="s">
        <v>99</v>
      </c>
      <c r="C51" s="7">
        <v>42550</v>
      </c>
      <c r="D51" s="8" t="s">
        <v>107</v>
      </c>
      <c r="F51">
        <f t="shared" si="2"/>
        <v>500</v>
      </c>
      <c r="G51" s="9">
        <f t="shared" si="1"/>
        <v>36.307692307692307</v>
      </c>
      <c r="H51">
        <v>230</v>
      </c>
      <c r="I51">
        <v>79</v>
      </c>
      <c r="J51">
        <v>17</v>
      </c>
      <c r="K51">
        <v>19</v>
      </c>
      <c r="L51">
        <v>14</v>
      </c>
      <c r="M51">
        <v>15</v>
      </c>
      <c r="N51">
        <v>25</v>
      </c>
      <c r="O51">
        <v>16</v>
      </c>
      <c r="P51">
        <v>17</v>
      </c>
      <c r="Q51">
        <v>12</v>
      </c>
      <c r="R51">
        <v>5</v>
      </c>
      <c r="S51">
        <v>10</v>
      </c>
      <c r="T51">
        <v>13</v>
      </c>
      <c r="U51">
        <v>28</v>
      </c>
    </row>
    <row r="52" spans="1:21" x14ac:dyDescent="0.25">
      <c r="A52" s="5" t="s">
        <v>108</v>
      </c>
      <c r="B52" s="6" t="s">
        <v>99</v>
      </c>
      <c r="C52" s="7">
        <v>42548</v>
      </c>
      <c r="D52" s="8" t="s">
        <v>109</v>
      </c>
      <c r="F52">
        <f t="shared" si="2"/>
        <v>568</v>
      </c>
      <c r="G52" s="9">
        <f t="shared" si="1"/>
        <v>43.46153846153846</v>
      </c>
      <c r="H52">
        <v>222</v>
      </c>
      <c r="I52">
        <v>174</v>
      </c>
      <c r="J52">
        <v>56</v>
      </c>
      <c r="K52">
        <v>32</v>
      </c>
      <c r="L52">
        <v>26</v>
      </c>
      <c r="M52">
        <v>6</v>
      </c>
      <c r="N52">
        <v>7</v>
      </c>
      <c r="O52">
        <v>10</v>
      </c>
      <c r="P52">
        <v>6</v>
      </c>
      <c r="Q52">
        <v>6</v>
      </c>
      <c r="R52">
        <v>6</v>
      </c>
      <c r="S52">
        <v>10</v>
      </c>
      <c r="T52">
        <v>4</v>
      </c>
      <c r="U52">
        <v>3</v>
      </c>
    </row>
    <row r="53" spans="1:21" x14ac:dyDescent="0.25">
      <c r="A53" s="5" t="s">
        <v>110</v>
      </c>
      <c r="B53" s="6" t="s">
        <v>99</v>
      </c>
      <c r="C53" s="7">
        <v>42527</v>
      </c>
      <c r="D53" s="8" t="s">
        <v>102</v>
      </c>
      <c r="F53">
        <f t="shared" si="2"/>
        <v>417</v>
      </c>
      <c r="G53" s="9">
        <f t="shared" si="1"/>
        <v>31.53846153846154</v>
      </c>
      <c r="H53">
        <v>93</v>
      </c>
      <c r="I53">
        <v>102</v>
      </c>
      <c r="J53">
        <v>65</v>
      </c>
      <c r="K53">
        <v>35</v>
      </c>
      <c r="L53">
        <v>24</v>
      </c>
      <c r="M53">
        <v>21</v>
      </c>
      <c r="N53">
        <v>11</v>
      </c>
      <c r="O53">
        <v>24</v>
      </c>
      <c r="P53">
        <v>12</v>
      </c>
      <c r="Q53">
        <v>8</v>
      </c>
      <c r="R53">
        <v>5</v>
      </c>
      <c r="S53">
        <v>3</v>
      </c>
      <c r="T53">
        <v>7</v>
      </c>
      <c r="U53">
        <v>7</v>
      </c>
    </row>
    <row r="54" spans="1:21" x14ac:dyDescent="0.25">
      <c r="A54" s="5" t="s">
        <v>111</v>
      </c>
      <c r="B54" s="6" t="s">
        <v>112</v>
      </c>
      <c r="C54" s="7">
        <v>42604</v>
      </c>
      <c r="D54" s="8" t="s">
        <v>31</v>
      </c>
      <c r="F54">
        <f t="shared" si="2"/>
        <v>1094</v>
      </c>
      <c r="G54" s="9">
        <f t="shared" si="1"/>
        <v>82.615384615384613</v>
      </c>
      <c r="H54">
        <v>147</v>
      </c>
      <c r="I54">
        <v>179</v>
      </c>
      <c r="J54">
        <v>63</v>
      </c>
      <c r="K54">
        <v>44</v>
      </c>
      <c r="L54">
        <v>67</v>
      </c>
      <c r="M54">
        <v>167</v>
      </c>
      <c r="N54">
        <v>93</v>
      </c>
      <c r="O54">
        <v>58</v>
      </c>
      <c r="P54">
        <v>55</v>
      </c>
      <c r="Q54">
        <v>35</v>
      </c>
      <c r="R54">
        <v>61</v>
      </c>
      <c r="S54">
        <v>63</v>
      </c>
      <c r="T54">
        <v>42</v>
      </c>
      <c r="U54">
        <v>20</v>
      </c>
    </row>
    <row r="55" spans="1:21" x14ac:dyDescent="0.25">
      <c r="A55" s="5" t="s">
        <v>113</v>
      </c>
      <c r="B55" s="6" t="s">
        <v>112</v>
      </c>
      <c r="C55" s="7">
        <v>42601</v>
      </c>
      <c r="D55" s="8" t="s">
        <v>31</v>
      </c>
      <c r="F55">
        <f t="shared" si="2"/>
        <v>898</v>
      </c>
      <c r="G55" s="9">
        <f t="shared" si="1"/>
        <v>69.07692307692308</v>
      </c>
      <c r="H55">
        <f>48+52</f>
        <v>100</v>
      </c>
      <c r="I55">
        <f>47+69</f>
        <v>116</v>
      </c>
      <c r="J55">
        <f>97+67</f>
        <v>164</v>
      </c>
      <c r="K55">
        <f>67+96</f>
        <v>163</v>
      </c>
      <c r="L55">
        <f>69+36</f>
        <v>105</v>
      </c>
      <c r="M55">
        <f>57+2</f>
        <v>59</v>
      </c>
      <c r="N55">
        <f>44+0</f>
        <v>44</v>
      </c>
      <c r="O55">
        <f>27+0</f>
        <v>27</v>
      </c>
      <c r="P55">
        <f>11+1</f>
        <v>12</v>
      </c>
      <c r="Q55">
        <f>22+0</f>
        <v>22</v>
      </c>
      <c r="R55">
        <f>25+1</f>
        <v>26</v>
      </c>
      <c r="S55">
        <f>29+0</f>
        <v>29</v>
      </c>
      <c r="T55">
        <f>30+1</f>
        <v>31</v>
      </c>
    </row>
    <row r="56" spans="1:21" x14ac:dyDescent="0.25">
      <c r="A56" s="5" t="s">
        <v>114</v>
      </c>
      <c r="B56" s="6" t="s">
        <v>112</v>
      </c>
      <c r="C56" s="7">
        <v>42598</v>
      </c>
      <c r="D56" s="8" t="s">
        <v>115</v>
      </c>
      <c r="F56">
        <f t="shared" si="2"/>
        <v>36</v>
      </c>
      <c r="G56" s="9">
        <f t="shared" si="1"/>
        <v>3</v>
      </c>
      <c r="H56">
        <v>3</v>
      </c>
      <c r="I56">
        <v>10</v>
      </c>
      <c r="J56">
        <v>4</v>
      </c>
      <c r="K56">
        <v>7</v>
      </c>
      <c r="L56">
        <v>1</v>
      </c>
      <c r="M56">
        <v>2</v>
      </c>
      <c r="N56">
        <v>0</v>
      </c>
      <c r="O56">
        <v>2</v>
      </c>
      <c r="P56">
        <v>4</v>
      </c>
      <c r="Q56">
        <v>0</v>
      </c>
      <c r="R56">
        <v>1</v>
      </c>
      <c r="S56">
        <v>2</v>
      </c>
    </row>
    <row r="57" spans="1:21" x14ac:dyDescent="0.25">
      <c r="A57" s="5" t="s">
        <v>116</v>
      </c>
      <c r="B57" s="6" t="s">
        <v>112</v>
      </c>
      <c r="C57" s="7">
        <v>42593</v>
      </c>
      <c r="D57" s="8" t="s">
        <v>117</v>
      </c>
      <c r="F57">
        <f t="shared" si="2"/>
        <v>239</v>
      </c>
      <c r="G57" s="9">
        <f t="shared" si="1"/>
        <v>23.9</v>
      </c>
      <c r="H57">
        <v>11</v>
      </c>
      <c r="I57">
        <v>39</v>
      </c>
      <c r="J57">
        <v>30</v>
      </c>
      <c r="K57">
        <v>40</v>
      </c>
      <c r="L57">
        <v>35</v>
      </c>
      <c r="M57">
        <v>19</v>
      </c>
      <c r="N57">
        <v>10</v>
      </c>
      <c r="O57">
        <v>14</v>
      </c>
      <c r="P57">
        <v>32</v>
      </c>
      <c r="Q57">
        <v>9</v>
      </c>
    </row>
    <row r="58" spans="1:21" x14ac:dyDescent="0.25">
      <c r="A58" s="5" t="s">
        <v>118</v>
      </c>
      <c r="B58" s="6" t="s">
        <v>112</v>
      </c>
      <c r="C58" s="7">
        <v>42593</v>
      </c>
      <c r="D58" s="8" t="s">
        <v>119</v>
      </c>
      <c r="F58">
        <f t="shared" si="2"/>
        <v>250</v>
      </c>
      <c r="G58" s="9">
        <f t="shared" si="1"/>
        <v>20.833333333333332</v>
      </c>
      <c r="H58">
        <v>49</v>
      </c>
      <c r="I58">
        <v>22</v>
      </c>
      <c r="J58">
        <v>55</v>
      </c>
      <c r="K58">
        <v>48</v>
      </c>
      <c r="L58">
        <v>22</v>
      </c>
      <c r="M58">
        <v>9</v>
      </c>
      <c r="N58">
        <v>22</v>
      </c>
      <c r="O58">
        <v>7</v>
      </c>
      <c r="P58">
        <v>4</v>
      </c>
      <c r="Q58">
        <v>4</v>
      </c>
      <c r="R58">
        <v>4</v>
      </c>
      <c r="S58">
        <v>4</v>
      </c>
    </row>
    <row r="59" spans="1:21" x14ac:dyDescent="0.25">
      <c r="A59" s="5" t="s">
        <v>120</v>
      </c>
      <c r="B59" s="7" t="s">
        <v>112</v>
      </c>
      <c r="C59" s="7">
        <v>42593</v>
      </c>
      <c r="D59" s="8" t="s">
        <v>25</v>
      </c>
      <c r="F59">
        <f t="shared" si="2"/>
        <v>1193</v>
      </c>
      <c r="G59" s="9">
        <f t="shared" si="1"/>
        <v>90.538461538461533</v>
      </c>
      <c r="H59">
        <f>275+141</f>
        <v>416</v>
      </c>
      <c r="I59">
        <f>117+72</f>
        <v>189</v>
      </c>
      <c r="J59">
        <f>26+16</f>
        <v>42</v>
      </c>
      <c r="K59">
        <f>101+8</f>
        <v>109</v>
      </c>
      <c r="L59">
        <f>79+7</f>
        <v>86</v>
      </c>
      <c r="M59">
        <f>72+8</f>
        <v>80</v>
      </c>
      <c r="N59">
        <f>53+4</f>
        <v>57</v>
      </c>
      <c r="O59">
        <f>45+2</f>
        <v>47</v>
      </c>
      <c r="P59">
        <f>41+2</f>
        <v>43</v>
      </c>
      <c r="Q59">
        <f>20+2</f>
        <v>22</v>
      </c>
      <c r="R59">
        <f>23+2</f>
        <v>25</v>
      </c>
      <c r="S59">
        <f>17+1</f>
        <v>18</v>
      </c>
      <c r="T59">
        <f>2+41</f>
        <v>43</v>
      </c>
      <c r="U59">
        <f>2+14</f>
        <v>16</v>
      </c>
    </row>
    <row r="60" spans="1:21" x14ac:dyDescent="0.25">
      <c r="A60" s="5" t="s">
        <v>121</v>
      </c>
      <c r="B60" s="6" t="s">
        <v>112</v>
      </c>
      <c r="C60" s="7">
        <v>42591</v>
      </c>
      <c r="D60" s="8" t="s">
        <v>31</v>
      </c>
      <c r="F60">
        <f t="shared" si="2"/>
        <v>684</v>
      </c>
      <c r="G60" s="9">
        <f t="shared" si="1"/>
        <v>50.769230769230766</v>
      </c>
      <c r="H60">
        <v>98</v>
      </c>
      <c r="I60">
        <v>137</v>
      </c>
      <c r="J60">
        <v>101</v>
      </c>
      <c r="K60">
        <v>44</v>
      </c>
      <c r="L60">
        <v>36</v>
      </c>
      <c r="M60">
        <v>59</v>
      </c>
      <c r="N60">
        <v>47</v>
      </c>
      <c r="O60">
        <v>42</v>
      </c>
      <c r="P60">
        <v>45</v>
      </c>
      <c r="Q60">
        <v>20</v>
      </c>
      <c r="R60">
        <v>15</v>
      </c>
      <c r="S60">
        <v>7</v>
      </c>
      <c r="T60">
        <v>9</v>
      </c>
      <c r="U60">
        <v>24</v>
      </c>
    </row>
    <row r="61" spans="1:21" x14ac:dyDescent="0.25">
      <c r="A61" s="5" t="s">
        <v>122</v>
      </c>
      <c r="B61" s="6" t="s">
        <v>112</v>
      </c>
      <c r="C61" s="7">
        <v>42590</v>
      </c>
      <c r="D61" s="8" t="s">
        <v>31</v>
      </c>
      <c r="F61">
        <f t="shared" si="2"/>
        <v>1195</v>
      </c>
      <c r="G61" s="9">
        <f t="shared" si="1"/>
        <v>89.230769230769226</v>
      </c>
      <c r="H61">
        <v>98</v>
      </c>
      <c r="I61">
        <v>174</v>
      </c>
      <c r="J61">
        <v>149</v>
      </c>
      <c r="K61">
        <v>155</v>
      </c>
      <c r="L61">
        <v>135</v>
      </c>
      <c r="M61">
        <v>139</v>
      </c>
      <c r="N61">
        <v>90</v>
      </c>
      <c r="O61">
        <v>63</v>
      </c>
      <c r="P61">
        <v>41</v>
      </c>
      <c r="Q61">
        <v>38</v>
      </c>
      <c r="R61">
        <v>27</v>
      </c>
      <c r="S61">
        <v>28</v>
      </c>
      <c r="T61">
        <v>23</v>
      </c>
      <c r="U61">
        <v>35</v>
      </c>
    </row>
    <row r="62" spans="1:21" x14ac:dyDescent="0.25">
      <c r="A62" s="5" t="s">
        <v>123</v>
      </c>
      <c r="B62" s="6" t="s">
        <v>112</v>
      </c>
      <c r="C62" s="7">
        <v>42586</v>
      </c>
      <c r="D62" s="8" t="s">
        <v>124</v>
      </c>
      <c r="F62">
        <f t="shared" si="2"/>
        <v>69</v>
      </c>
      <c r="G62" s="9">
        <f t="shared" si="1"/>
        <v>5.2307692307692308</v>
      </c>
      <c r="H62">
        <v>6</v>
      </c>
      <c r="I62">
        <v>5</v>
      </c>
      <c r="J62">
        <v>6</v>
      </c>
      <c r="K62">
        <v>20</v>
      </c>
      <c r="L62">
        <v>6</v>
      </c>
      <c r="M62">
        <v>5</v>
      </c>
      <c r="N62">
        <v>5</v>
      </c>
      <c r="O62">
        <v>2</v>
      </c>
      <c r="P62">
        <v>5</v>
      </c>
      <c r="Q62">
        <v>1</v>
      </c>
      <c r="R62">
        <v>2</v>
      </c>
      <c r="S62">
        <v>2</v>
      </c>
      <c r="T62">
        <v>3</v>
      </c>
      <c r="U62">
        <v>1</v>
      </c>
    </row>
    <row r="63" spans="1:21" x14ac:dyDescent="0.25">
      <c r="A63" s="5" t="s">
        <v>125</v>
      </c>
      <c r="B63" s="6" t="s">
        <v>112</v>
      </c>
      <c r="C63" s="7">
        <v>42586</v>
      </c>
      <c r="D63" s="8" t="s">
        <v>31</v>
      </c>
      <c r="F63">
        <f t="shared" si="2"/>
        <v>1688</v>
      </c>
      <c r="G63" s="9">
        <f t="shared" si="1"/>
        <v>127.46153846153847</v>
      </c>
      <c r="H63">
        <v>89</v>
      </c>
      <c r="I63">
        <f>122+70</f>
        <v>192</v>
      </c>
      <c r="J63">
        <f>53+101</f>
        <v>154</v>
      </c>
      <c r="K63">
        <f>35+113</f>
        <v>148</v>
      </c>
      <c r="L63">
        <f>81+80</f>
        <v>161</v>
      </c>
      <c r="M63">
        <f>55+0</f>
        <v>55</v>
      </c>
      <c r="N63">
        <f>294+3</f>
        <v>297</v>
      </c>
      <c r="O63">
        <f>194+0</f>
        <v>194</v>
      </c>
      <c r="P63">
        <f>73+1</f>
        <v>74</v>
      </c>
      <c r="Q63">
        <f>25+1</f>
        <v>26</v>
      </c>
      <c r="R63">
        <f>121+1</f>
        <v>122</v>
      </c>
      <c r="S63">
        <v>109</v>
      </c>
      <c r="T63">
        <v>36</v>
      </c>
      <c r="U63">
        <v>31</v>
      </c>
    </row>
    <row r="64" spans="1:21" x14ac:dyDescent="0.25">
      <c r="A64" s="5" t="s">
        <v>126</v>
      </c>
      <c r="B64" s="6" t="s">
        <v>112</v>
      </c>
      <c r="C64" s="7">
        <v>42586</v>
      </c>
      <c r="D64" s="8" t="s">
        <v>31</v>
      </c>
      <c r="F64">
        <f t="shared" si="2"/>
        <v>1116</v>
      </c>
      <c r="G64" s="9">
        <f t="shared" si="1"/>
        <v>84</v>
      </c>
      <c r="H64">
        <v>82</v>
      </c>
      <c r="I64">
        <v>137</v>
      </c>
      <c r="J64">
        <v>54</v>
      </c>
      <c r="K64">
        <v>88</v>
      </c>
      <c r="L64">
        <v>280</v>
      </c>
      <c r="M64">
        <v>176</v>
      </c>
      <c r="N64">
        <v>80</v>
      </c>
      <c r="O64">
        <v>37</v>
      </c>
      <c r="P64">
        <v>31</v>
      </c>
      <c r="Q64">
        <v>23</v>
      </c>
      <c r="R64">
        <v>39</v>
      </c>
      <c r="S64">
        <v>37</v>
      </c>
      <c r="T64">
        <v>28</v>
      </c>
      <c r="U64">
        <v>24</v>
      </c>
    </row>
    <row r="65" spans="1:21" x14ac:dyDescent="0.25">
      <c r="A65" s="5" t="s">
        <v>127</v>
      </c>
      <c r="B65" s="6" t="s">
        <v>112</v>
      </c>
      <c r="C65" s="7">
        <v>42584</v>
      </c>
      <c r="D65" s="8" t="s">
        <v>128</v>
      </c>
      <c r="F65">
        <f t="shared" si="2"/>
        <v>1844</v>
      </c>
      <c r="G65" s="9">
        <f t="shared" si="1"/>
        <v>140</v>
      </c>
      <c r="H65">
        <v>29</v>
      </c>
      <c r="I65">
        <f>792+74</f>
        <v>866</v>
      </c>
      <c r="J65">
        <f>308+121</f>
        <v>429</v>
      </c>
      <c r="K65">
        <f>63+51</f>
        <v>114</v>
      </c>
      <c r="L65">
        <f>37+6</f>
        <v>43</v>
      </c>
      <c r="M65">
        <f>23+3</f>
        <v>26</v>
      </c>
      <c r="N65">
        <f>53+4</f>
        <v>57</v>
      </c>
      <c r="O65">
        <f>71+2</f>
        <v>73</v>
      </c>
      <c r="P65">
        <f>63+5</f>
        <v>68</v>
      </c>
      <c r="Q65">
        <f>47+4</f>
        <v>51</v>
      </c>
      <c r="R65">
        <f>27+5</f>
        <v>32</v>
      </c>
      <c r="S65">
        <f>13+2</f>
        <v>15</v>
      </c>
      <c r="T65">
        <f>17+0</f>
        <v>17</v>
      </c>
      <c r="U65">
        <f>20+4</f>
        <v>24</v>
      </c>
    </row>
    <row r="66" spans="1:21" x14ac:dyDescent="0.25">
      <c r="A66" s="5" t="s">
        <v>129</v>
      </c>
      <c r="B66" s="6" t="s">
        <v>112</v>
      </c>
      <c r="C66" s="7">
        <v>42584</v>
      </c>
      <c r="D66" s="8" t="s">
        <v>31</v>
      </c>
      <c r="F66">
        <f t="shared" si="2"/>
        <v>463</v>
      </c>
      <c r="G66" s="9">
        <f t="shared" si="1"/>
        <v>33.92307692307692</v>
      </c>
      <c r="H66">
        <v>94</v>
      </c>
      <c r="I66">
        <v>106</v>
      </c>
      <c r="J66">
        <v>52</v>
      </c>
      <c r="K66">
        <v>18</v>
      </c>
      <c r="L66">
        <v>10</v>
      </c>
      <c r="M66">
        <v>14</v>
      </c>
      <c r="N66">
        <v>56</v>
      </c>
      <c r="O66">
        <v>21</v>
      </c>
      <c r="P66">
        <v>23</v>
      </c>
      <c r="Q66">
        <v>14</v>
      </c>
      <c r="R66">
        <v>14</v>
      </c>
      <c r="S66">
        <v>5</v>
      </c>
      <c r="T66">
        <v>14</v>
      </c>
      <c r="U66">
        <v>22</v>
      </c>
    </row>
    <row r="67" spans="1:21" x14ac:dyDescent="0.25">
      <c r="A67" s="5" t="s">
        <v>130</v>
      </c>
      <c r="B67" s="6" t="s">
        <v>112</v>
      </c>
      <c r="C67" s="7">
        <v>42583</v>
      </c>
      <c r="D67" s="8" t="s">
        <v>31</v>
      </c>
      <c r="F67">
        <f t="shared" si="2"/>
        <v>2133</v>
      </c>
      <c r="G67" s="9">
        <f t="shared" ref="G67:G117" si="3">AVERAGE(H67:T67)</f>
        <v>175.41666666666666</v>
      </c>
      <c r="H67">
        <f>78+111</f>
        <v>189</v>
      </c>
      <c r="I67">
        <f>729+151</f>
        <v>880</v>
      </c>
      <c r="J67">
        <f>365+7</f>
        <v>372</v>
      </c>
      <c r="K67">
        <f>139+7</f>
        <v>146</v>
      </c>
      <c r="L67">
        <f>58+0</f>
        <v>58</v>
      </c>
      <c r="M67">
        <f>44+0</f>
        <v>44</v>
      </c>
      <c r="N67" t="s">
        <v>274</v>
      </c>
      <c r="O67">
        <f>153+2</f>
        <v>155</v>
      </c>
      <c r="P67">
        <f>122+0</f>
        <v>122</v>
      </c>
      <c r="Q67">
        <f>58+2</f>
        <v>60</v>
      </c>
      <c r="R67">
        <f>30+1</f>
        <v>31</v>
      </c>
      <c r="S67">
        <f>29+0</f>
        <v>29</v>
      </c>
      <c r="T67">
        <f>19+0</f>
        <v>19</v>
      </c>
      <c r="U67">
        <f>26+2</f>
        <v>28</v>
      </c>
    </row>
    <row r="68" spans="1:21" x14ac:dyDescent="0.25">
      <c r="A68" s="5" t="s">
        <v>131</v>
      </c>
      <c r="B68" s="6" t="s">
        <v>112</v>
      </c>
      <c r="C68" s="7">
        <v>42583</v>
      </c>
      <c r="D68" s="8" t="s">
        <v>132</v>
      </c>
      <c r="F68">
        <f t="shared" si="2"/>
        <v>698</v>
      </c>
      <c r="G68" s="9">
        <f t="shared" si="3"/>
        <v>53</v>
      </c>
      <c r="H68">
        <v>213</v>
      </c>
      <c r="I68">
        <v>167</v>
      </c>
      <c r="J68">
        <v>104</v>
      </c>
      <c r="K68">
        <v>78</v>
      </c>
      <c r="L68">
        <v>19</v>
      </c>
      <c r="M68">
        <v>7</v>
      </c>
      <c r="N68">
        <v>25</v>
      </c>
      <c r="O68">
        <v>15</v>
      </c>
      <c r="P68">
        <v>18</v>
      </c>
      <c r="Q68">
        <v>11</v>
      </c>
      <c r="R68">
        <v>8</v>
      </c>
      <c r="S68">
        <v>6</v>
      </c>
      <c r="T68">
        <v>18</v>
      </c>
      <c r="U68">
        <v>9</v>
      </c>
    </row>
    <row r="69" spans="1:21" x14ac:dyDescent="0.25">
      <c r="A69" s="5" t="s">
        <v>133</v>
      </c>
      <c r="B69" s="6" t="s">
        <v>112</v>
      </c>
      <c r="C69" s="7">
        <v>42583</v>
      </c>
      <c r="D69" s="8" t="s">
        <v>31</v>
      </c>
      <c r="F69">
        <f t="shared" si="2"/>
        <v>385</v>
      </c>
      <c r="G69" s="9">
        <f t="shared" si="3"/>
        <v>28.846153846153847</v>
      </c>
      <c r="H69">
        <v>86</v>
      </c>
      <c r="I69">
        <v>119</v>
      </c>
      <c r="J69">
        <v>79</v>
      </c>
      <c r="K69">
        <v>23</v>
      </c>
      <c r="L69">
        <v>7</v>
      </c>
      <c r="M69">
        <v>10</v>
      </c>
      <c r="N69">
        <v>6</v>
      </c>
      <c r="O69">
        <v>7</v>
      </c>
      <c r="P69">
        <v>17</v>
      </c>
      <c r="Q69">
        <v>7</v>
      </c>
      <c r="R69">
        <v>5</v>
      </c>
      <c r="S69">
        <v>5</v>
      </c>
      <c r="T69">
        <v>4</v>
      </c>
      <c r="U69">
        <v>10</v>
      </c>
    </row>
    <row r="70" spans="1:21" x14ac:dyDescent="0.25">
      <c r="A70" s="5" t="s">
        <v>134</v>
      </c>
      <c r="B70" s="6" t="s">
        <v>112</v>
      </c>
      <c r="C70" s="7">
        <v>42579</v>
      </c>
      <c r="D70" s="8" t="s">
        <v>135</v>
      </c>
      <c r="F70">
        <f>SUM(I70:V70)</f>
        <v>767</v>
      </c>
      <c r="G70" s="9">
        <f>AVERAGE(I70:U70)</f>
        <v>59</v>
      </c>
      <c r="H70">
        <f>1+52</f>
        <v>53</v>
      </c>
      <c r="I70">
        <f>27+86</f>
        <v>113</v>
      </c>
      <c r="J70">
        <f>264+107</f>
        <v>371</v>
      </c>
      <c r="K70">
        <f>38+10</f>
        <v>48</v>
      </c>
      <c r="L70">
        <f>36+0</f>
        <v>36</v>
      </c>
      <c r="M70">
        <f>36+14</f>
        <v>50</v>
      </c>
      <c r="N70">
        <f>23+3</f>
        <v>26</v>
      </c>
      <c r="O70">
        <v>31</v>
      </c>
      <c r="P70">
        <v>20</v>
      </c>
      <c r="Q70">
        <v>10</v>
      </c>
      <c r="R70">
        <v>18</v>
      </c>
      <c r="S70">
        <v>5</v>
      </c>
      <c r="T70">
        <f>19+1</f>
        <v>20</v>
      </c>
      <c r="U70">
        <v>19</v>
      </c>
    </row>
    <row r="71" spans="1:21" x14ac:dyDescent="0.25">
      <c r="A71" s="5" t="s">
        <v>136</v>
      </c>
      <c r="B71" s="6" t="s">
        <v>112</v>
      </c>
      <c r="C71" s="7">
        <v>42578</v>
      </c>
      <c r="D71" s="8" t="s">
        <v>31</v>
      </c>
      <c r="F71">
        <f t="shared" si="2"/>
        <v>2182</v>
      </c>
      <c r="G71" s="9">
        <f t="shared" si="3"/>
        <v>165.69230769230768</v>
      </c>
      <c r="H71">
        <v>126</v>
      </c>
      <c r="I71">
        <v>492</v>
      </c>
      <c r="J71">
        <v>572</v>
      </c>
      <c r="K71">
        <v>124</v>
      </c>
      <c r="L71">
        <v>380</v>
      </c>
      <c r="M71">
        <v>140</v>
      </c>
      <c r="N71">
        <v>107</v>
      </c>
      <c r="O71">
        <v>59</v>
      </c>
      <c r="P71">
        <v>46</v>
      </c>
      <c r="Q71">
        <v>21</v>
      </c>
      <c r="R71">
        <v>28</v>
      </c>
      <c r="S71">
        <v>21</v>
      </c>
      <c r="T71">
        <v>38</v>
      </c>
      <c r="U71">
        <v>28</v>
      </c>
    </row>
    <row r="72" spans="1:21" x14ac:dyDescent="0.25">
      <c r="A72" s="5" t="s">
        <v>137</v>
      </c>
      <c r="B72" s="6" t="s">
        <v>112</v>
      </c>
      <c r="C72" s="7">
        <v>42577</v>
      </c>
      <c r="D72" s="8" t="s">
        <v>138</v>
      </c>
      <c r="F72">
        <f t="shared" si="2"/>
        <v>80</v>
      </c>
      <c r="G72" s="9">
        <f t="shared" si="3"/>
        <v>5.8461538461538458</v>
      </c>
      <c r="H72">
        <v>13</v>
      </c>
      <c r="I72">
        <v>15</v>
      </c>
      <c r="J72">
        <v>8</v>
      </c>
      <c r="K72">
        <v>13</v>
      </c>
      <c r="L72">
        <v>1</v>
      </c>
      <c r="M72">
        <v>3</v>
      </c>
      <c r="N72">
        <v>8</v>
      </c>
      <c r="O72">
        <v>2</v>
      </c>
      <c r="P72">
        <v>3</v>
      </c>
      <c r="Q72">
        <v>6</v>
      </c>
      <c r="R72">
        <v>2</v>
      </c>
      <c r="S72">
        <v>2</v>
      </c>
      <c r="T72">
        <v>0</v>
      </c>
      <c r="U72">
        <v>4</v>
      </c>
    </row>
    <row r="73" spans="1:21" x14ac:dyDescent="0.25">
      <c r="A73" s="5" t="s">
        <v>139</v>
      </c>
      <c r="B73" s="6" t="s">
        <v>112</v>
      </c>
      <c r="C73" s="7">
        <v>42576</v>
      </c>
      <c r="D73" s="8" t="s">
        <v>31</v>
      </c>
      <c r="F73">
        <f t="shared" si="2"/>
        <v>867</v>
      </c>
      <c r="G73" s="9">
        <f t="shared" si="3"/>
        <v>66.07692307692308</v>
      </c>
      <c r="H73">
        <v>71</v>
      </c>
      <c r="I73">
        <v>372</v>
      </c>
      <c r="J73">
        <v>145</v>
      </c>
      <c r="K73">
        <v>79</v>
      </c>
      <c r="L73">
        <v>46</v>
      </c>
      <c r="M73">
        <v>21</v>
      </c>
      <c r="N73">
        <v>14</v>
      </c>
      <c r="O73">
        <v>27</v>
      </c>
      <c r="P73">
        <v>22</v>
      </c>
      <c r="Q73">
        <v>23</v>
      </c>
      <c r="R73">
        <v>21</v>
      </c>
      <c r="S73">
        <v>9</v>
      </c>
      <c r="T73">
        <v>9</v>
      </c>
      <c r="U73">
        <v>8</v>
      </c>
    </row>
    <row r="74" spans="1:21" x14ac:dyDescent="0.25">
      <c r="A74" s="5" t="s">
        <v>140</v>
      </c>
      <c r="B74" s="6" t="s">
        <v>112</v>
      </c>
      <c r="C74" s="7">
        <v>42572</v>
      </c>
      <c r="D74" s="8" t="s">
        <v>141</v>
      </c>
      <c r="F74">
        <f t="shared" si="2"/>
        <v>3881</v>
      </c>
      <c r="G74" s="9">
        <f t="shared" si="3"/>
        <v>290.92307692307691</v>
      </c>
      <c r="H74">
        <v>83</v>
      </c>
      <c r="I74">
        <v>348</v>
      </c>
      <c r="J74">
        <v>388</v>
      </c>
      <c r="K74">
        <v>382</v>
      </c>
      <c r="L74">
        <v>562</v>
      </c>
      <c r="M74">
        <v>595</v>
      </c>
      <c r="N74">
        <v>370</v>
      </c>
      <c r="O74">
        <v>264</v>
      </c>
      <c r="P74">
        <v>132</v>
      </c>
      <c r="Q74">
        <v>257</v>
      </c>
      <c r="R74">
        <v>177</v>
      </c>
      <c r="S74">
        <v>131</v>
      </c>
      <c r="T74">
        <v>93</v>
      </c>
      <c r="U74">
        <v>99</v>
      </c>
    </row>
    <row r="75" spans="1:21" x14ac:dyDescent="0.25">
      <c r="A75" s="5" t="s">
        <v>142</v>
      </c>
      <c r="B75" s="6" t="s">
        <v>112</v>
      </c>
      <c r="C75" s="7">
        <v>42571</v>
      </c>
      <c r="D75" s="8" t="s">
        <v>31</v>
      </c>
      <c r="F75">
        <f t="shared" si="2"/>
        <v>2113</v>
      </c>
      <c r="G75" s="9">
        <f t="shared" si="3"/>
        <v>159</v>
      </c>
      <c r="H75">
        <v>471</v>
      </c>
      <c r="I75">
        <v>750</v>
      </c>
      <c r="J75">
        <v>158</v>
      </c>
      <c r="K75">
        <v>92</v>
      </c>
      <c r="L75">
        <v>66</v>
      </c>
      <c r="M75">
        <v>38</v>
      </c>
      <c r="N75">
        <v>63</v>
      </c>
      <c r="O75">
        <v>41</v>
      </c>
      <c r="P75">
        <v>108</v>
      </c>
      <c r="Q75">
        <v>51</v>
      </c>
      <c r="R75">
        <v>85</v>
      </c>
      <c r="S75">
        <v>107</v>
      </c>
      <c r="T75">
        <v>37</v>
      </c>
      <c r="U75">
        <v>46</v>
      </c>
    </row>
    <row r="76" spans="1:21" x14ac:dyDescent="0.25">
      <c r="A76" s="5" t="s">
        <v>143</v>
      </c>
      <c r="B76" s="6" t="s">
        <v>112</v>
      </c>
      <c r="C76" s="7">
        <v>42570</v>
      </c>
      <c r="D76" s="8" t="s">
        <v>144</v>
      </c>
      <c r="F76">
        <f t="shared" si="2"/>
        <v>53</v>
      </c>
      <c r="G76" s="9">
        <f t="shared" si="3"/>
        <v>4.0769230769230766</v>
      </c>
      <c r="H76">
        <v>8</v>
      </c>
      <c r="I76">
        <v>12</v>
      </c>
      <c r="J76">
        <v>13</v>
      </c>
      <c r="K76">
        <v>3</v>
      </c>
      <c r="L76">
        <v>1</v>
      </c>
      <c r="M76">
        <v>3</v>
      </c>
      <c r="N76">
        <v>3</v>
      </c>
      <c r="O76">
        <v>9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 s="5" t="s">
        <v>145</v>
      </c>
      <c r="B77" s="6" t="s">
        <v>112</v>
      </c>
      <c r="C77" s="7">
        <v>42569</v>
      </c>
      <c r="D77" s="8" t="s">
        <v>146</v>
      </c>
      <c r="F77">
        <f t="shared" si="2"/>
        <v>599</v>
      </c>
      <c r="G77" s="9">
        <f t="shared" si="3"/>
        <v>45.307692307692307</v>
      </c>
      <c r="H77">
        <v>146</v>
      </c>
      <c r="I77">
        <v>173</v>
      </c>
      <c r="J77">
        <v>76</v>
      </c>
      <c r="K77">
        <v>38</v>
      </c>
      <c r="L77">
        <v>15</v>
      </c>
      <c r="M77">
        <v>29</v>
      </c>
      <c r="N77">
        <v>17</v>
      </c>
      <c r="O77">
        <v>27</v>
      </c>
      <c r="P77">
        <v>15</v>
      </c>
      <c r="Q77">
        <v>29</v>
      </c>
      <c r="R77">
        <v>7</v>
      </c>
      <c r="S77">
        <v>7</v>
      </c>
      <c r="T77">
        <v>10</v>
      </c>
      <c r="U77">
        <v>10</v>
      </c>
    </row>
    <row r="78" spans="1:21" x14ac:dyDescent="0.25">
      <c r="A78" s="5" t="s">
        <v>147</v>
      </c>
      <c r="B78" s="6" t="s">
        <v>112</v>
      </c>
      <c r="C78" s="7">
        <v>42566</v>
      </c>
      <c r="D78" s="8" t="s">
        <v>84</v>
      </c>
      <c r="F78">
        <f t="shared" si="2"/>
        <v>559</v>
      </c>
      <c r="G78" s="9">
        <f t="shared" si="3"/>
        <v>42.692307692307693</v>
      </c>
      <c r="H78">
        <v>38</v>
      </c>
      <c r="I78">
        <v>66</v>
      </c>
      <c r="J78">
        <v>71</v>
      </c>
      <c r="K78">
        <v>83</v>
      </c>
      <c r="L78">
        <v>78</v>
      </c>
      <c r="M78">
        <v>62</v>
      </c>
      <c r="N78">
        <v>65</v>
      </c>
      <c r="O78">
        <v>23</v>
      </c>
      <c r="P78">
        <v>20</v>
      </c>
      <c r="Q78">
        <v>12</v>
      </c>
      <c r="R78">
        <v>11</v>
      </c>
      <c r="S78">
        <v>5</v>
      </c>
      <c r="T78">
        <v>21</v>
      </c>
      <c r="U78">
        <v>4</v>
      </c>
    </row>
    <row r="79" spans="1:21" x14ac:dyDescent="0.25">
      <c r="A79" s="5" t="s">
        <v>148</v>
      </c>
      <c r="B79" s="6" t="s">
        <v>112</v>
      </c>
      <c r="C79" s="7">
        <v>42565</v>
      </c>
      <c r="D79" s="8" t="s">
        <v>135</v>
      </c>
      <c r="F79">
        <f t="shared" si="2"/>
        <v>1084</v>
      </c>
      <c r="G79" s="9">
        <f t="shared" si="3"/>
        <v>80.692307692307693</v>
      </c>
      <c r="H79">
        <v>32</v>
      </c>
      <c r="I79">
        <v>310</v>
      </c>
      <c r="J79">
        <v>208</v>
      </c>
      <c r="K79">
        <v>62</v>
      </c>
      <c r="L79">
        <v>55</v>
      </c>
      <c r="M79">
        <v>133</v>
      </c>
      <c r="N79">
        <v>89</v>
      </c>
      <c r="O79">
        <v>42</v>
      </c>
      <c r="P79">
        <v>36</v>
      </c>
      <c r="Q79">
        <v>23</v>
      </c>
      <c r="R79">
        <v>11</v>
      </c>
      <c r="S79">
        <v>25</v>
      </c>
      <c r="T79">
        <v>23</v>
      </c>
      <c r="U79">
        <v>35</v>
      </c>
    </row>
    <row r="80" spans="1:21" x14ac:dyDescent="0.25">
      <c r="A80" s="5" t="s">
        <v>149</v>
      </c>
      <c r="B80" s="6" t="s">
        <v>112</v>
      </c>
      <c r="C80" s="7">
        <v>42563</v>
      </c>
      <c r="D80" s="8" t="s">
        <v>150</v>
      </c>
      <c r="F80">
        <f t="shared" si="2"/>
        <v>390</v>
      </c>
      <c r="G80" s="9">
        <f t="shared" si="3"/>
        <v>29.692307692307693</v>
      </c>
      <c r="H80">
        <v>113</v>
      </c>
      <c r="I80">
        <v>69</v>
      </c>
      <c r="J80">
        <v>45</v>
      </c>
      <c r="K80">
        <v>41</v>
      </c>
      <c r="L80">
        <v>14</v>
      </c>
      <c r="M80">
        <v>23</v>
      </c>
      <c r="N80">
        <v>38</v>
      </c>
      <c r="O80">
        <v>17</v>
      </c>
      <c r="P80">
        <v>9</v>
      </c>
      <c r="Q80">
        <v>5</v>
      </c>
      <c r="R80">
        <v>2</v>
      </c>
      <c r="S80">
        <v>7</v>
      </c>
      <c r="T80">
        <v>3</v>
      </c>
      <c r="U80">
        <v>4</v>
      </c>
    </row>
    <row r="81" spans="1:21" x14ac:dyDescent="0.25">
      <c r="A81" s="5" t="s">
        <v>151</v>
      </c>
      <c r="B81" s="6" t="s">
        <v>112</v>
      </c>
      <c r="C81" s="7">
        <v>42562</v>
      </c>
      <c r="D81" s="8" t="s">
        <v>31</v>
      </c>
      <c r="F81">
        <f t="shared" si="2"/>
        <v>610</v>
      </c>
      <c r="G81" s="9">
        <f t="shared" si="3"/>
        <v>43.846153846153847</v>
      </c>
      <c r="H81">
        <v>67</v>
      </c>
      <c r="I81">
        <v>57</v>
      </c>
      <c r="J81">
        <v>25</v>
      </c>
      <c r="K81">
        <v>81</v>
      </c>
      <c r="L81">
        <v>41</v>
      </c>
      <c r="M81">
        <v>67</v>
      </c>
      <c r="N81">
        <v>38</v>
      </c>
      <c r="O81">
        <v>15</v>
      </c>
      <c r="P81">
        <v>11</v>
      </c>
      <c r="Q81">
        <v>9</v>
      </c>
      <c r="R81">
        <v>12</v>
      </c>
      <c r="S81">
        <v>58</v>
      </c>
      <c r="T81">
        <v>89</v>
      </c>
      <c r="U81">
        <v>40</v>
      </c>
    </row>
    <row r="82" spans="1:21" x14ac:dyDescent="0.25">
      <c r="A82" s="5" t="s">
        <v>152</v>
      </c>
      <c r="B82" s="6" t="s">
        <v>112</v>
      </c>
      <c r="C82" s="7">
        <v>42560</v>
      </c>
      <c r="D82" s="8" t="s">
        <v>153</v>
      </c>
      <c r="F82">
        <f t="shared" si="2"/>
        <v>39</v>
      </c>
      <c r="G82" s="9">
        <f t="shared" si="3"/>
        <v>2.6153846153846154</v>
      </c>
      <c r="H82">
        <v>6</v>
      </c>
      <c r="I82">
        <v>9</v>
      </c>
      <c r="J82">
        <v>2</v>
      </c>
      <c r="K82">
        <v>1</v>
      </c>
      <c r="L82">
        <v>4</v>
      </c>
      <c r="M82">
        <v>4</v>
      </c>
      <c r="N82">
        <v>3</v>
      </c>
      <c r="O82">
        <v>4</v>
      </c>
      <c r="P82">
        <v>0</v>
      </c>
      <c r="Q82">
        <v>0</v>
      </c>
      <c r="R82">
        <v>0</v>
      </c>
      <c r="S82">
        <v>1</v>
      </c>
      <c r="T82">
        <v>0</v>
      </c>
      <c r="U82">
        <v>5</v>
      </c>
    </row>
    <row r="83" spans="1:21" x14ac:dyDescent="0.25">
      <c r="A83" s="5" t="s">
        <v>154</v>
      </c>
      <c r="B83" s="6" t="s">
        <v>112</v>
      </c>
      <c r="C83" s="7">
        <v>42560</v>
      </c>
      <c r="D83" s="8" t="s">
        <v>155</v>
      </c>
      <c r="F83">
        <f t="shared" si="2"/>
        <v>136</v>
      </c>
      <c r="G83" s="9">
        <f t="shared" si="3"/>
        <v>9.1538461538461533</v>
      </c>
      <c r="H83">
        <v>12</v>
      </c>
      <c r="I83">
        <v>19</v>
      </c>
      <c r="J83">
        <v>29</v>
      </c>
      <c r="K83">
        <v>9</v>
      </c>
      <c r="L83">
        <v>5</v>
      </c>
      <c r="M83">
        <v>8</v>
      </c>
      <c r="N83">
        <v>10</v>
      </c>
      <c r="O83">
        <v>6</v>
      </c>
      <c r="P83">
        <v>10</v>
      </c>
      <c r="Q83">
        <v>7</v>
      </c>
      <c r="R83">
        <v>1</v>
      </c>
      <c r="S83">
        <v>2</v>
      </c>
      <c r="T83">
        <v>1</v>
      </c>
      <c r="U83">
        <v>17</v>
      </c>
    </row>
    <row r="84" spans="1:21" x14ac:dyDescent="0.25">
      <c r="A84" s="5" t="s">
        <v>156</v>
      </c>
      <c r="B84" s="6" t="s">
        <v>112</v>
      </c>
      <c r="C84" s="7">
        <v>42560</v>
      </c>
      <c r="D84" s="8" t="s">
        <v>155</v>
      </c>
      <c r="F84">
        <f t="shared" si="2"/>
        <v>52</v>
      </c>
      <c r="G84" s="9">
        <f t="shared" si="3"/>
        <v>3.8461538461538463</v>
      </c>
      <c r="H84">
        <v>5</v>
      </c>
      <c r="I84">
        <v>6</v>
      </c>
      <c r="J84">
        <v>4</v>
      </c>
      <c r="K84">
        <v>7</v>
      </c>
      <c r="L84">
        <v>2</v>
      </c>
      <c r="M84">
        <v>4</v>
      </c>
      <c r="N84">
        <v>10</v>
      </c>
      <c r="O84">
        <v>2</v>
      </c>
      <c r="P84">
        <v>8</v>
      </c>
      <c r="Q84">
        <v>1</v>
      </c>
      <c r="R84">
        <v>0</v>
      </c>
      <c r="S84">
        <v>1</v>
      </c>
      <c r="T84">
        <v>0</v>
      </c>
      <c r="U84">
        <v>2</v>
      </c>
    </row>
    <row r="85" spans="1:21" x14ac:dyDescent="0.25">
      <c r="A85" s="5" t="s">
        <v>157</v>
      </c>
      <c r="B85" s="6" t="s">
        <v>112</v>
      </c>
      <c r="C85" s="7">
        <v>42560</v>
      </c>
      <c r="D85" s="8" t="s">
        <v>153</v>
      </c>
      <c r="F85">
        <f t="shared" si="2"/>
        <v>78</v>
      </c>
      <c r="G85" s="9">
        <f t="shared" si="3"/>
        <v>5.2307692307692308</v>
      </c>
      <c r="H85">
        <v>14</v>
      </c>
      <c r="I85">
        <v>8</v>
      </c>
      <c r="J85">
        <v>3</v>
      </c>
      <c r="K85">
        <v>4</v>
      </c>
      <c r="L85">
        <v>2</v>
      </c>
      <c r="M85">
        <v>3</v>
      </c>
      <c r="N85">
        <v>12</v>
      </c>
      <c r="O85">
        <v>4</v>
      </c>
      <c r="P85">
        <v>3</v>
      </c>
      <c r="Q85">
        <v>4</v>
      </c>
      <c r="R85">
        <v>2</v>
      </c>
      <c r="S85">
        <v>1</v>
      </c>
      <c r="T85">
        <v>8</v>
      </c>
      <c r="U85">
        <v>10</v>
      </c>
    </row>
    <row r="86" spans="1:21" x14ac:dyDescent="0.25">
      <c r="A86" s="5" t="s">
        <v>158</v>
      </c>
      <c r="B86" s="6" t="s">
        <v>112</v>
      </c>
      <c r="C86" s="7">
        <v>42558</v>
      </c>
      <c r="D86" s="8" t="s">
        <v>31</v>
      </c>
      <c r="F86">
        <f t="shared" si="2"/>
        <v>732</v>
      </c>
      <c r="G86" s="9">
        <f t="shared" si="3"/>
        <v>54.230769230769234</v>
      </c>
      <c r="H86">
        <f>72</f>
        <v>72</v>
      </c>
      <c r="I86">
        <f>136</f>
        <v>136</v>
      </c>
      <c r="J86">
        <f>61</f>
        <v>61</v>
      </c>
      <c r="K86">
        <f>74</f>
        <v>74</v>
      </c>
      <c r="L86">
        <f>110</f>
        <v>110</v>
      </c>
      <c r="M86">
        <f>62</f>
        <v>62</v>
      </c>
      <c r="N86">
        <f>42</f>
        <v>42</v>
      </c>
      <c r="O86">
        <f>45</f>
        <v>45</v>
      </c>
      <c r="P86">
        <f>29</f>
        <v>29</v>
      </c>
      <c r="Q86">
        <f>16</f>
        <v>16</v>
      </c>
      <c r="R86">
        <f>10</f>
        <v>10</v>
      </c>
      <c r="S86">
        <f>27</f>
        <v>27</v>
      </c>
      <c r="T86">
        <f>21</f>
        <v>21</v>
      </c>
      <c r="U86">
        <f>27</f>
        <v>27</v>
      </c>
    </row>
    <row r="87" spans="1:21" x14ac:dyDescent="0.25">
      <c r="A87" s="5" t="s">
        <v>159</v>
      </c>
      <c r="B87" s="6" t="s">
        <v>112</v>
      </c>
      <c r="C87" s="7">
        <v>42557</v>
      </c>
      <c r="D87" s="8" t="s">
        <v>124</v>
      </c>
      <c r="F87">
        <f t="shared" si="2"/>
        <v>215</v>
      </c>
      <c r="G87" s="9">
        <f t="shared" si="3"/>
        <v>15.692307692307692</v>
      </c>
      <c r="H87">
        <v>22</v>
      </c>
      <c r="I87">
        <v>30</v>
      </c>
      <c r="J87">
        <v>13</v>
      </c>
      <c r="K87">
        <v>12</v>
      </c>
      <c r="L87">
        <v>8</v>
      </c>
      <c r="M87">
        <v>14</v>
      </c>
      <c r="N87">
        <v>20</v>
      </c>
      <c r="O87">
        <v>23</v>
      </c>
      <c r="P87">
        <v>29</v>
      </c>
      <c r="Q87">
        <v>19</v>
      </c>
      <c r="R87">
        <v>10</v>
      </c>
      <c r="S87">
        <v>1</v>
      </c>
      <c r="T87">
        <v>3</v>
      </c>
      <c r="U87">
        <v>11</v>
      </c>
    </row>
    <row r="88" spans="1:21" x14ac:dyDescent="0.25">
      <c r="A88" s="5" t="s">
        <v>160</v>
      </c>
      <c r="B88" s="6" t="s">
        <v>112</v>
      </c>
      <c r="C88" s="7">
        <v>42557</v>
      </c>
      <c r="D88" s="8" t="s">
        <v>84</v>
      </c>
      <c r="F88">
        <f t="shared" si="2"/>
        <v>310</v>
      </c>
      <c r="G88" s="9">
        <f t="shared" si="3"/>
        <v>23.53846153846154</v>
      </c>
      <c r="H88">
        <v>49</v>
      </c>
      <c r="I88">
        <v>43</v>
      </c>
      <c r="J88">
        <v>42</v>
      </c>
      <c r="K88">
        <v>23</v>
      </c>
      <c r="L88">
        <v>24</v>
      </c>
      <c r="M88">
        <v>28</v>
      </c>
      <c r="N88">
        <v>33</v>
      </c>
      <c r="O88">
        <v>12</v>
      </c>
      <c r="P88">
        <v>16</v>
      </c>
      <c r="Q88">
        <v>11</v>
      </c>
      <c r="R88">
        <v>7</v>
      </c>
      <c r="S88">
        <v>8</v>
      </c>
      <c r="T88">
        <v>10</v>
      </c>
      <c r="U88">
        <v>4</v>
      </c>
    </row>
    <row r="89" spans="1:21" x14ac:dyDescent="0.25">
      <c r="A89" s="5" t="s">
        <v>161</v>
      </c>
      <c r="B89" s="6" t="s">
        <v>112</v>
      </c>
      <c r="C89" s="7">
        <v>42552</v>
      </c>
      <c r="D89" s="8" t="s">
        <v>153</v>
      </c>
      <c r="F89">
        <f t="shared" si="2"/>
        <v>55</v>
      </c>
      <c r="G89" s="9">
        <f t="shared" si="3"/>
        <v>4.1538461538461542</v>
      </c>
      <c r="H89">
        <v>8</v>
      </c>
      <c r="I89">
        <v>12</v>
      </c>
      <c r="J89">
        <v>5</v>
      </c>
      <c r="K89">
        <v>5</v>
      </c>
      <c r="L89">
        <v>1</v>
      </c>
      <c r="M89">
        <v>5</v>
      </c>
      <c r="N89">
        <v>5</v>
      </c>
      <c r="O89">
        <v>8</v>
      </c>
      <c r="P89">
        <v>1</v>
      </c>
      <c r="Q89">
        <v>0</v>
      </c>
      <c r="R89">
        <v>2</v>
      </c>
      <c r="S89">
        <v>2</v>
      </c>
      <c r="T89">
        <v>0</v>
      </c>
      <c r="U89">
        <v>1</v>
      </c>
    </row>
    <row r="90" spans="1:21" x14ac:dyDescent="0.25">
      <c r="A90" s="5" t="s">
        <v>162</v>
      </c>
      <c r="B90" s="6" t="s">
        <v>112</v>
      </c>
      <c r="C90" s="7">
        <v>42552</v>
      </c>
      <c r="D90" s="8" t="s">
        <v>153</v>
      </c>
      <c r="F90">
        <f t="shared" si="2"/>
        <v>87</v>
      </c>
      <c r="G90" s="9">
        <f t="shared" si="3"/>
        <v>6.5384615384615383</v>
      </c>
      <c r="H90">
        <v>17</v>
      </c>
      <c r="I90">
        <v>18</v>
      </c>
      <c r="J90">
        <v>10</v>
      </c>
      <c r="K90">
        <v>5</v>
      </c>
      <c r="L90">
        <v>4</v>
      </c>
      <c r="M90">
        <v>7</v>
      </c>
      <c r="N90">
        <v>5</v>
      </c>
      <c r="O90">
        <v>6</v>
      </c>
      <c r="P90">
        <v>1</v>
      </c>
      <c r="Q90">
        <v>3</v>
      </c>
      <c r="R90">
        <v>2</v>
      </c>
      <c r="S90">
        <v>1</v>
      </c>
      <c r="T90">
        <v>6</v>
      </c>
      <c r="U90">
        <v>2</v>
      </c>
    </row>
    <row r="91" spans="1:21" x14ac:dyDescent="0.25">
      <c r="A91" s="5" t="s">
        <v>163</v>
      </c>
      <c r="B91" s="6" t="s">
        <v>112</v>
      </c>
      <c r="C91" s="7">
        <v>42552</v>
      </c>
      <c r="D91" s="8" t="s">
        <v>153</v>
      </c>
      <c r="F91">
        <f t="shared" si="2"/>
        <v>62</v>
      </c>
      <c r="G91" s="9">
        <f t="shared" si="3"/>
        <v>4.6923076923076925</v>
      </c>
      <c r="H91">
        <v>9</v>
      </c>
      <c r="I91">
        <v>12</v>
      </c>
      <c r="J91">
        <v>5</v>
      </c>
      <c r="K91">
        <v>1</v>
      </c>
      <c r="L91">
        <v>3</v>
      </c>
      <c r="M91">
        <v>2</v>
      </c>
      <c r="N91">
        <v>9</v>
      </c>
      <c r="O91">
        <v>9</v>
      </c>
      <c r="P91">
        <v>1</v>
      </c>
      <c r="Q91">
        <v>4</v>
      </c>
      <c r="R91">
        <v>5</v>
      </c>
      <c r="S91">
        <v>0</v>
      </c>
      <c r="T91">
        <v>1</v>
      </c>
      <c r="U91">
        <v>1</v>
      </c>
    </row>
    <row r="92" spans="1:21" x14ac:dyDescent="0.25">
      <c r="A92" s="5" t="s">
        <v>164</v>
      </c>
      <c r="B92" s="6" t="s">
        <v>112</v>
      </c>
      <c r="C92" s="7">
        <v>42552</v>
      </c>
      <c r="D92" s="8" t="s">
        <v>77</v>
      </c>
      <c r="F92">
        <f t="shared" si="2"/>
        <v>280</v>
      </c>
      <c r="G92" s="9">
        <f t="shared" si="3"/>
        <v>20.76923076923077</v>
      </c>
      <c r="H92">
        <v>19</v>
      </c>
      <c r="I92">
        <v>18</v>
      </c>
      <c r="J92">
        <v>31</v>
      </c>
      <c r="K92">
        <v>39</v>
      </c>
      <c r="L92">
        <v>59</v>
      </c>
      <c r="M92">
        <v>38</v>
      </c>
      <c r="N92">
        <v>13</v>
      </c>
      <c r="O92">
        <v>11</v>
      </c>
      <c r="P92">
        <v>1</v>
      </c>
      <c r="Q92">
        <v>5</v>
      </c>
      <c r="R92">
        <v>19</v>
      </c>
      <c r="S92">
        <v>11</v>
      </c>
      <c r="T92">
        <v>6</v>
      </c>
      <c r="U92">
        <v>10</v>
      </c>
    </row>
    <row r="93" spans="1:21" x14ac:dyDescent="0.25">
      <c r="A93" s="5" t="s">
        <v>165</v>
      </c>
      <c r="B93" s="6" t="s">
        <v>112</v>
      </c>
      <c r="C93" s="7">
        <v>42551</v>
      </c>
      <c r="D93" s="8" t="s">
        <v>166</v>
      </c>
      <c r="F93">
        <f t="shared" si="2"/>
        <v>168</v>
      </c>
      <c r="G93" s="9">
        <f t="shared" si="3"/>
        <v>12.076923076923077</v>
      </c>
      <c r="H93">
        <v>7</v>
      </c>
      <c r="I93">
        <v>10</v>
      </c>
      <c r="J93">
        <v>4</v>
      </c>
      <c r="K93">
        <v>8</v>
      </c>
      <c r="L93">
        <v>2</v>
      </c>
      <c r="M93">
        <v>2</v>
      </c>
      <c r="N93">
        <v>9</v>
      </c>
      <c r="O93">
        <v>8</v>
      </c>
      <c r="P93">
        <v>1</v>
      </c>
      <c r="Q93">
        <v>61</v>
      </c>
      <c r="R93">
        <v>29</v>
      </c>
      <c r="S93">
        <v>6</v>
      </c>
      <c r="T93">
        <v>10</v>
      </c>
      <c r="U93">
        <v>11</v>
      </c>
    </row>
    <row r="94" spans="1:21" x14ac:dyDescent="0.25">
      <c r="A94" s="5" t="s">
        <v>167</v>
      </c>
      <c r="B94" s="6" t="s">
        <v>112</v>
      </c>
      <c r="C94" s="7">
        <v>42551</v>
      </c>
      <c r="D94" s="8" t="s">
        <v>166</v>
      </c>
      <c r="F94">
        <f t="shared" si="2"/>
        <v>163</v>
      </c>
      <c r="G94" s="9">
        <f t="shared" si="3"/>
        <v>12.076923076923077</v>
      </c>
      <c r="H94">
        <v>8</v>
      </c>
      <c r="I94">
        <v>3</v>
      </c>
      <c r="J94">
        <v>2</v>
      </c>
      <c r="K94">
        <v>0</v>
      </c>
      <c r="L94">
        <v>3</v>
      </c>
      <c r="M94">
        <v>9</v>
      </c>
      <c r="N94">
        <v>9</v>
      </c>
      <c r="O94">
        <v>1</v>
      </c>
      <c r="P94">
        <v>58</v>
      </c>
      <c r="Q94">
        <v>31</v>
      </c>
      <c r="R94">
        <v>10</v>
      </c>
      <c r="S94">
        <v>12</v>
      </c>
      <c r="T94">
        <v>11</v>
      </c>
      <c r="U94">
        <v>6</v>
      </c>
    </row>
    <row r="95" spans="1:21" x14ac:dyDescent="0.25">
      <c r="A95" s="5" t="s">
        <v>168</v>
      </c>
      <c r="B95" s="6" t="s">
        <v>112</v>
      </c>
      <c r="C95" s="7">
        <v>42551</v>
      </c>
      <c r="D95" s="8" t="s">
        <v>166</v>
      </c>
      <c r="F95">
        <f t="shared" si="2"/>
        <v>139</v>
      </c>
      <c r="G95" s="9">
        <f t="shared" si="3"/>
        <v>10.461538461538462</v>
      </c>
      <c r="H95">
        <v>6</v>
      </c>
      <c r="I95">
        <v>4</v>
      </c>
      <c r="J95">
        <v>1</v>
      </c>
      <c r="K95">
        <v>0</v>
      </c>
      <c r="L95">
        <v>1</v>
      </c>
      <c r="M95">
        <v>4</v>
      </c>
      <c r="N95">
        <v>4</v>
      </c>
      <c r="O95">
        <v>3</v>
      </c>
      <c r="P95">
        <v>57</v>
      </c>
      <c r="Q95">
        <v>29</v>
      </c>
      <c r="R95">
        <v>7</v>
      </c>
      <c r="S95">
        <v>13</v>
      </c>
      <c r="T95">
        <v>7</v>
      </c>
      <c r="U95">
        <v>3</v>
      </c>
    </row>
    <row r="96" spans="1:21" x14ac:dyDescent="0.25">
      <c r="A96" s="5" t="s">
        <v>169</v>
      </c>
      <c r="B96" s="6" t="s">
        <v>112</v>
      </c>
      <c r="C96" s="7">
        <v>42550</v>
      </c>
      <c r="D96" s="8" t="s">
        <v>170</v>
      </c>
      <c r="F96">
        <f t="shared" si="2"/>
        <v>929</v>
      </c>
      <c r="G96" s="9">
        <f t="shared" si="3"/>
        <v>68.692307692307693</v>
      </c>
      <c r="H96">
        <v>260</v>
      </c>
      <c r="I96">
        <v>165</v>
      </c>
      <c r="J96">
        <v>75</v>
      </c>
      <c r="K96">
        <v>27</v>
      </c>
      <c r="L96">
        <v>23</v>
      </c>
      <c r="M96">
        <v>59</v>
      </c>
      <c r="N96">
        <v>47</v>
      </c>
      <c r="O96">
        <v>98</v>
      </c>
      <c r="P96">
        <v>61</v>
      </c>
      <c r="Q96">
        <v>37</v>
      </c>
      <c r="R96">
        <v>14</v>
      </c>
      <c r="S96">
        <v>9</v>
      </c>
      <c r="T96">
        <v>18</v>
      </c>
      <c r="U96">
        <v>36</v>
      </c>
    </row>
    <row r="97" spans="1:21" x14ac:dyDescent="0.25">
      <c r="A97" s="5" t="s">
        <v>171</v>
      </c>
      <c r="B97" s="6" t="s">
        <v>112</v>
      </c>
      <c r="C97" s="7">
        <v>42550</v>
      </c>
      <c r="D97" s="8" t="s">
        <v>172</v>
      </c>
      <c r="F97">
        <f t="shared" si="2"/>
        <v>1326</v>
      </c>
      <c r="G97" s="9">
        <f t="shared" si="3"/>
        <v>100.38461538461539</v>
      </c>
      <c r="H97">
        <v>527</v>
      </c>
      <c r="I97">
        <v>244</v>
      </c>
      <c r="J97">
        <v>147</v>
      </c>
      <c r="K97">
        <v>58</v>
      </c>
      <c r="L97">
        <v>51</v>
      </c>
      <c r="M97">
        <v>62</v>
      </c>
      <c r="N97">
        <v>87</v>
      </c>
      <c r="O97">
        <v>35</v>
      </c>
      <c r="P97">
        <v>38</v>
      </c>
      <c r="Q97">
        <v>14</v>
      </c>
      <c r="R97">
        <v>5</v>
      </c>
      <c r="S97">
        <v>14</v>
      </c>
      <c r="T97">
        <v>23</v>
      </c>
      <c r="U97">
        <v>21</v>
      </c>
    </row>
    <row r="98" spans="1:21" x14ac:dyDescent="0.25">
      <c r="A98" s="5" t="s">
        <v>173</v>
      </c>
      <c r="B98" s="6" t="s">
        <v>112</v>
      </c>
      <c r="C98" s="7">
        <v>42542</v>
      </c>
      <c r="D98" s="8" t="s">
        <v>109</v>
      </c>
      <c r="F98">
        <f t="shared" si="2"/>
        <v>259</v>
      </c>
      <c r="G98" s="9">
        <f t="shared" si="3"/>
        <v>19.692307692307693</v>
      </c>
      <c r="H98">
        <v>66</v>
      </c>
      <c r="I98">
        <v>88</v>
      </c>
      <c r="J98">
        <v>28</v>
      </c>
      <c r="K98">
        <v>15</v>
      </c>
      <c r="L98">
        <v>7</v>
      </c>
      <c r="M98">
        <v>9</v>
      </c>
      <c r="N98">
        <v>20</v>
      </c>
      <c r="O98">
        <v>5</v>
      </c>
      <c r="P98">
        <v>4</v>
      </c>
      <c r="Q98">
        <v>9</v>
      </c>
      <c r="R98">
        <v>5</v>
      </c>
      <c r="S98">
        <v>0</v>
      </c>
      <c r="T98">
        <v>0</v>
      </c>
      <c r="U98">
        <v>3</v>
      </c>
    </row>
    <row r="99" spans="1:21" x14ac:dyDescent="0.25">
      <c r="A99" s="5" t="s">
        <v>174</v>
      </c>
      <c r="B99" s="6" t="s">
        <v>112</v>
      </c>
      <c r="C99" s="7">
        <v>42536</v>
      </c>
      <c r="D99" s="8" t="s">
        <v>175</v>
      </c>
      <c r="F99">
        <f t="shared" si="2"/>
        <v>424</v>
      </c>
      <c r="G99" s="9">
        <f t="shared" si="3"/>
        <v>31.846153846153847</v>
      </c>
      <c r="H99">
        <v>48</v>
      </c>
      <c r="I99">
        <v>82</v>
      </c>
      <c r="J99">
        <v>43</v>
      </c>
      <c r="K99">
        <v>25</v>
      </c>
      <c r="L99">
        <v>37</v>
      </c>
      <c r="M99">
        <v>49</v>
      </c>
      <c r="N99">
        <v>50</v>
      </c>
      <c r="O99">
        <v>28</v>
      </c>
      <c r="P99">
        <v>21</v>
      </c>
      <c r="Q99">
        <v>8</v>
      </c>
      <c r="R99">
        <v>5</v>
      </c>
      <c r="S99">
        <v>6</v>
      </c>
      <c r="T99">
        <v>12</v>
      </c>
      <c r="U99">
        <v>10</v>
      </c>
    </row>
    <row r="100" spans="1:21" x14ac:dyDescent="0.25">
      <c r="A100" s="5" t="s">
        <v>176</v>
      </c>
      <c r="B100" s="6" t="s">
        <v>112</v>
      </c>
      <c r="C100" s="7">
        <v>42536</v>
      </c>
      <c r="D100" s="8" t="s">
        <v>31</v>
      </c>
      <c r="F100">
        <f t="shared" si="2"/>
        <v>1163</v>
      </c>
      <c r="G100" s="9">
        <f t="shared" si="3"/>
        <v>86.307692307692307</v>
      </c>
      <c r="H100">
        <v>174</v>
      </c>
      <c r="I100">
        <v>234</v>
      </c>
      <c r="J100">
        <v>123</v>
      </c>
      <c r="K100">
        <v>61</v>
      </c>
      <c r="L100">
        <v>84</v>
      </c>
      <c r="M100">
        <v>113</v>
      </c>
      <c r="N100">
        <v>116</v>
      </c>
      <c r="O100">
        <v>62</v>
      </c>
      <c r="P100">
        <v>54</v>
      </c>
      <c r="Q100">
        <v>16</v>
      </c>
      <c r="R100">
        <v>19</v>
      </c>
      <c r="S100">
        <v>25</v>
      </c>
      <c r="T100">
        <v>41</v>
      </c>
      <c r="U100">
        <v>41</v>
      </c>
    </row>
    <row r="101" spans="1:21" x14ac:dyDescent="0.25">
      <c r="A101" s="5" t="s">
        <v>177</v>
      </c>
      <c r="B101" s="6" t="s">
        <v>112</v>
      </c>
      <c r="C101" s="7">
        <v>42535</v>
      </c>
      <c r="D101" s="8" t="s">
        <v>178</v>
      </c>
      <c r="F101">
        <f t="shared" si="2"/>
        <v>186</v>
      </c>
      <c r="G101" s="9">
        <f t="shared" si="3"/>
        <v>13.923076923076923</v>
      </c>
      <c r="H101">
        <v>34</v>
      </c>
      <c r="I101">
        <v>37</v>
      </c>
      <c r="J101">
        <v>21</v>
      </c>
      <c r="K101">
        <v>17</v>
      </c>
      <c r="L101">
        <v>7</v>
      </c>
      <c r="M101">
        <v>7</v>
      </c>
      <c r="N101">
        <v>20</v>
      </c>
      <c r="O101">
        <v>13</v>
      </c>
      <c r="P101">
        <v>14</v>
      </c>
      <c r="Q101">
        <v>5</v>
      </c>
      <c r="R101">
        <v>1</v>
      </c>
      <c r="S101">
        <v>0</v>
      </c>
      <c r="T101">
        <v>5</v>
      </c>
      <c r="U101">
        <v>5</v>
      </c>
    </row>
    <row r="102" spans="1:21" x14ac:dyDescent="0.25">
      <c r="A102" s="5" t="s">
        <v>179</v>
      </c>
      <c r="B102" s="6" t="s">
        <v>112</v>
      </c>
      <c r="C102" s="7">
        <v>42528</v>
      </c>
      <c r="D102" s="8" t="s">
        <v>180</v>
      </c>
      <c r="F102">
        <f t="shared" si="2"/>
        <v>167</v>
      </c>
      <c r="G102" s="9">
        <f t="shared" si="3"/>
        <v>12.692307692307692</v>
      </c>
      <c r="H102">
        <v>7</v>
      </c>
      <c r="I102">
        <v>14</v>
      </c>
      <c r="J102">
        <v>11</v>
      </c>
      <c r="K102">
        <v>10</v>
      </c>
      <c r="L102">
        <v>14</v>
      </c>
      <c r="M102">
        <v>26</v>
      </c>
      <c r="N102">
        <v>40</v>
      </c>
      <c r="O102">
        <v>15</v>
      </c>
      <c r="P102">
        <v>16</v>
      </c>
      <c r="Q102">
        <v>6</v>
      </c>
      <c r="R102">
        <v>1</v>
      </c>
      <c r="S102">
        <v>3</v>
      </c>
      <c r="T102">
        <v>2</v>
      </c>
      <c r="U102">
        <v>2</v>
      </c>
    </row>
    <row r="103" spans="1:21" x14ac:dyDescent="0.25">
      <c r="A103" s="5" t="s">
        <v>181</v>
      </c>
      <c r="B103" s="6" t="s">
        <v>112</v>
      </c>
      <c r="C103" s="7">
        <v>42524</v>
      </c>
      <c r="D103" s="8" t="s">
        <v>182</v>
      </c>
      <c r="F103">
        <f t="shared" si="2"/>
        <v>538</v>
      </c>
      <c r="G103" s="9">
        <f t="shared" si="3"/>
        <v>39.769230769230766</v>
      </c>
      <c r="H103">
        <v>19</v>
      </c>
      <c r="I103">
        <v>45</v>
      </c>
      <c r="J103">
        <v>61</v>
      </c>
      <c r="K103">
        <v>73</v>
      </c>
      <c r="L103">
        <v>62</v>
      </c>
      <c r="M103">
        <v>43</v>
      </c>
      <c r="N103">
        <v>43</v>
      </c>
      <c r="O103">
        <v>19</v>
      </c>
      <c r="P103">
        <v>22</v>
      </c>
      <c r="Q103">
        <v>16</v>
      </c>
      <c r="R103">
        <v>31</v>
      </c>
      <c r="S103">
        <v>39</v>
      </c>
      <c r="T103">
        <v>44</v>
      </c>
      <c r="U103">
        <v>21</v>
      </c>
    </row>
    <row r="104" spans="1:21" x14ac:dyDescent="0.25">
      <c r="A104" s="5" t="s">
        <v>183</v>
      </c>
      <c r="B104" s="6" t="s">
        <v>112</v>
      </c>
      <c r="C104" s="7">
        <v>42523</v>
      </c>
      <c r="D104" s="8" t="s">
        <v>57</v>
      </c>
      <c r="F104">
        <f t="shared" si="2"/>
        <v>147</v>
      </c>
      <c r="G104" s="9">
        <f t="shared" si="3"/>
        <v>11.076923076923077</v>
      </c>
      <c r="H104">
        <v>19</v>
      </c>
      <c r="I104">
        <v>33</v>
      </c>
      <c r="J104">
        <v>11</v>
      </c>
      <c r="K104">
        <v>17</v>
      </c>
      <c r="L104">
        <v>19</v>
      </c>
      <c r="M104">
        <v>15</v>
      </c>
      <c r="N104">
        <v>8</v>
      </c>
      <c r="O104">
        <v>3</v>
      </c>
      <c r="P104">
        <v>0</v>
      </c>
      <c r="Q104">
        <v>0</v>
      </c>
      <c r="R104">
        <v>4</v>
      </c>
      <c r="S104">
        <v>5</v>
      </c>
      <c r="T104">
        <v>10</v>
      </c>
      <c r="U104">
        <v>3</v>
      </c>
    </row>
    <row r="105" spans="1:21" x14ac:dyDescent="0.25">
      <c r="A105" s="5" t="s">
        <v>184</v>
      </c>
      <c r="B105" s="6" t="s">
        <v>112</v>
      </c>
      <c r="C105" s="7">
        <v>42523</v>
      </c>
      <c r="D105" s="8" t="s">
        <v>185</v>
      </c>
      <c r="F105">
        <f t="shared" si="2"/>
        <v>179</v>
      </c>
      <c r="G105" s="9">
        <f t="shared" si="3"/>
        <v>13.076923076923077</v>
      </c>
      <c r="H105">
        <v>20</v>
      </c>
      <c r="I105">
        <v>19</v>
      </c>
      <c r="J105">
        <v>21</v>
      </c>
      <c r="K105">
        <v>27</v>
      </c>
      <c r="L105">
        <v>5</v>
      </c>
      <c r="M105">
        <v>2</v>
      </c>
      <c r="N105">
        <v>13</v>
      </c>
      <c r="O105">
        <v>12</v>
      </c>
      <c r="P105">
        <v>12</v>
      </c>
      <c r="Q105">
        <v>22</v>
      </c>
      <c r="R105">
        <v>11</v>
      </c>
      <c r="S105">
        <v>4</v>
      </c>
      <c r="T105">
        <v>2</v>
      </c>
      <c r="U105">
        <v>9</v>
      </c>
    </row>
    <row r="106" spans="1:21" x14ac:dyDescent="0.25">
      <c r="A106" s="5" t="s">
        <v>186</v>
      </c>
      <c r="B106" s="6" t="s">
        <v>112</v>
      </c>
      <c r="C106" s="7">
        <v>42521</v>
      </c>
      <c r="D106" s="8" t="s">
        <v>31</v>
      </c>
      <c r="F106">
        <f t="shared" si="2"/>
        <v>326</v>
      </c>
      <c r="G106" s="9">
        <f t="shared" si="3"/>
        <v>24.153846153846153</v>
      </c>
      <c r="H106">
        <f t="shared" ref="H106:U106" si="4">SUM(H104:H105)</f>
        <v>39</v>
      </c>
      <c r="I106">
        <f t="shared" si="4"/>
        <v>52</v>
      </c>
      <c r="J106">
        <f t="shared" si="4"/>
        <v>32</v>
      </c>
      <c r="K106">
        <f t="shared" si="4"/>
        <v>44</v>
      </c>
      <c r="L106">
        <f t="shared" si="4"/>
        <v>24</v>
      </c>
      <c r="M106">
        <f t="shared" si="4"/>
        <v>17</v>
      </c>
      <c r="N106">
        <f t="shared" si="4"/>
        <v>21</v>
      </c>
      <c r="O106">
        <f t="shared" si="4"/>
        <v>15</v>
      </c>
      <c r="P106">
        <f t="shared" si="4"/>
        <v>12</v>
      </c>
      <c r="Q106">
        <f t="shared" si="4"/>
        <v>22</v>
      </c>
      <c r="R106">
        <f t="shared" si="4"/>
        <v>15</v>
      </c>
      <c r="S106">
        <f t="shared" si="4"/>
        <v>9</v>
      </c>
      <c r="T106">
        <f t="shared" si="4"/>
        <v>12</v>
      </c>
      <c r="U106">
        <f t="shared" si="4"/>
        <v>12</v>
      </c>
    </row>
    <row r="107" spans="1:21" x14ac:dyDescent="0.25">
      <c r="A107" s="5" t="s">
        <v>186</v>
      </c>
      <c r="B107" s="6" t="s">
        <v>112</v>
      </c>
      <c r="C107" s="7">
        <v>42516</v>
      </c>
      <c r="D107" s="8" t="s">
        <v>31</v>
      </c>
      <c r="F107">
        <f t="shared" si="2"/>
        <v>1632</v>
      </c>
      <c r="G107" s="9">
        <f t="shared" si="3"/>
        <v>122</v>
      </c>
      <c r="H107">
        <f>113</f>
        <v>113</v>
      </c>
      <c r="I107">
        <f>166</f>
        <v>166</v>
      </c>
      <c r="J107">
        <f>119</f>
        <v>119</v>
      </c>
      <c r="K107">
        <f>126</f>
        <v>126</v>
      </c>
      <c r="L107">
        <f>143</f>
        <v>143</v>
      </c>
      <c r="M107">
        <f>110+46</f>
        <v>156</v>
      </c>
      <c r="N107">
        <f>49+204</f>
        <v>253</v>
      </c>
      <c r="O107">
        <f>36+117</f>
        <v>153</v>
      </c>
      <c r="P107">
        <f>18+53</f>
        <v>71</v>
      </c>
      <c r="Q107">
        <f>8+60</f>
        <v>68</v>
      </c>
      <c r="R107">
        <f>10+38</f>
        <v>48</v>
      </c>
      <c r="S107">
        <f>9+76</f>
        <v>85</v>
      </c>
      <c r="T107">
        <f>17+68</f>
        <v>85</v>
      </c>
      <c r="U107">
        <f>7+39</f>
        <v>46</v>
      </c>
    </row>
    <row r="108" spans="1:21" x14ac:dyDescent="0.25">
      <c r="A108" s="5" t="s">
        <v>187</v>
      </c>
      <c r="B108" s="6" t="s">
        <v>112</v>
      </c>
      <c r="C108" s="7">
        <v>42515</v>
      </c>
      <c r="D108" s="8" t="s">
        <v>84</v>
      </c>
      <c r="F108">
        <f t="shared" si="2"/>
        <v>1425</v>
      </c>
      <c r="G108" s="9">
        <f t="shared" si="3"/>
        <v>103</v>
      </c>
      <c r="H108">
        <v>28</v>
      </c>
      <c r="I108">
        <v>252</v>
      </c>
      <c r="J108">
        <v>172</v>
      </c>
      <c r="K108">
        <v>115</v>
      </c>
      <c r="L108">
        <v>103</v>
      </c>
      <c r="M108">
        <v>147</v>
      </c>
      <c r="N108">
        <v>65</v>
      </c>
      <c r="O108">
        <v>57</v>
      </c>
      <c r="P108">
        <v>97</v>
      </c>
      <c r="Q108">
        <v>56</v>
      </c>
      <c r="R108">
        <v>54</v>
      </c>
      <c r="S108">
        <v>85</v>
      </c>
      <c r="T108">
        <v>108</v>
      </c>
      <c r="U108">
        <v>86</v>
      </c>
    </row>
    <row r="109" spans="1:21" x14ac:dyDescent="0.25">
      <c r="A109" s="5" t="s">
        <v>188</v>
      </c>
      <c r="B109" s="6" t="s">
        <v>112</v>
      </c>
      <c r="C109" s="7">
        <v>42514</v>
      </c>
      <c r="D109" s="8" t="s">
        <v>189</v>
      </c>
      <c r="F109">
        <f t="shared" si="2"/>
        <v>275</v>
      </c>
      <c r="G109" s="9">
        <f t="shared" si="3"/>
        <v>20.923076923076923</v>
      </c>
      <c r="H109">
        <v>28</v>
      </c>
      <c r="I109">
        <v>25</v>
      </c>
      <c r="J109">
        <v>21</v>
      </c>
      <c r="K109">
        <v>9</v>
      </c>
      <c r="L109">
        <v>9</v>
      </c>
      <c r="M109">
        <v>18</v>
      </c>
      <c r="N109">
        <v>81</v>
      </c>
      <c r="O109">
        <v>21</v>
      </c>
      <c r="P109">
        <v>11</v>
      </c>
      <c r="Q109">
        <v>21</v>
      </c>
      <c r="R109">
        <v>4</v>
      </c>
      <c r="S109">
        <v>6</v>
      </c>
      <c r="T109">
        <v>18</v>
      </c>
      <c r="U109">
        <v>3</v>
      </c>
    </row>
    <row r="110" spans="1:21" x14ac:dyDescent="0.25">
      <c r="A110" s="5" t="s">
        <v>190</v>
      </c>
      <c r="B110" s="6" t="s">
        <v>112</v>
      </c>
      <c r="C110" s="7">
        <v>42513</v>
      </c>
      <c r="D110" s="8" t="s">
        <v>191</v>
      </c>
      <c r="F110">
        <f t="shared" si="2"/>
        <v>1914</v>
      </c>
      <c r="G110" s="9">
        <f t="shared" si="3"/>
        <v>146.61538461538461</v>
      </c>
      <c r="H110">
        <v>30</v>
      </c>
      <c r="I110">
        <v>288</v>
      </c>
      <c r="J110">
        <v>470</v>
      </c>
      <c r="K110">
        <v>380</v>
      </c>
      <c r="L110">
        <v>280</v>
      </c>
      <c r="M110">
        <v>133</v>
      </c>
      <c r="N110">
        <v>58</v>
      </c>
      <c r="O110">
        <v>23</v>
      </c>
      <c r="P110">
        <v>57</v>
      </c>
      <c r="Q110">
        <v>61</v>
      </c>
      <c r="R110">
        <v>59</v>
      </c>
      <c r="S110">
        <v>45</v>
      </c>
      <c r="T110">
        <v>22</v>
      </c>
      <c r="U110">
        <v>8</v>
      </c>
    </row>
    <row r="111" spans="1:21" x14ac:dyDescent="0.25">
      <c r="A111" s="5" t="s">
        <v>192</v>
      </c>
      <c r="B111" s="6" t="s">
        <v>112</v>
      </c>
      <c r="C111" s="7">
        <v>42510</v>
      </c>
      <c r="D111" s="8" t="s">
        <v>193</v>
      </c>
      <c r="F111">
        <f t="shared" si="2"/>
        <v>233</v>
      </c>
      <c r="G111" s="9">
        <f t="shared" si="3"/>
        <v>17.53846153846154</v>
      </c>
      <c r="H111">
        <v>39</v>
      </c>
      <c r="I111">
        <v>27</v>
      </c>
      <c r="J111">
        <v>29</v>
      </c>
      <c r="K111">
        <v>30</v>
      </c>
      <c r="L111">
        <v>31</v>
      </c>
      <c r="M111">
        <v>15</v>
      </c>
      <c r="N111">
        <v>18</v>
      </c>
      <c r="O111">
        <v>5</v>
      </c>
      <c r="P111">
        <v>6</v>
      </c>
      <c r="Q111">
        <v>7</v>
      </c>
      <c r="R111">
        <v>9</v>
      </c>
      <c r="S111">
        <v>8</v>
      </c>
      <c r="T111">
        <v>4</v>
      </c>
      <c r="U111">
        <v>5</v>
      </c>
    </row>
    <row r="112" spans="1:21" x14ac:dyDescent="0.25">
      <c r="A112" s="5" t="s">
        <v>194</v>
      </c>
      <c r="B112" s="6" t="s">
        <v>112</v>
      </c>
      <c r="C112" s="7">
        <v>42509</v>
      </c>
      <c r="D112" s="8" t="s">
        <v>31</v>
      </c>
      <c r="F112">
        <f t="shared" ref="F112:F117" si="5">SUM(H112:U112)</f>
        <v>1229</v>
      </c>
      <c r="G112" s="9">
        <f t="shared" si="3"/>
        <v>93.384615384615387</v>
      </c>
      <c r="H112">
        <f>69</f>
        <v>69</v>
      </c>
      <c r="I112">
        <f>143</f>
        <v>143</v>
      </c>
      <c r="J112">
        <f>44</f>
        <v>44</v>
      </c>
      <c r="K112">
        <f>159</f>
        <v>159</v>
      </c>
      <c r="L112">
        <f>125</f>
        <v>125</v>
      </c>
      <c r="M112">
        <f>355</f>
        <v>355</v>
      </c>
      <c r="N112">
        <f>117</f>
        <v>117</v>
      </c>
      <c r="O112">
        <f>45</f>
        <v>45</v>
      </c>
      <c r="P112">
        <f>23</f>
        <v>23</v>
      </c>
      <c r="Q112">
        <f>18</f>
        <v>18</v>
      </c>
      <c r="R112">
        <f>81</f>
        <v>81</v>
      </c>
      <c r="S112">
        <f>18</f>
        <v>18</v>
      </c>
      <c r="T112">
        <f>17</f>
        <v>17</v>
      </c>
      <c r="U112">
        <f>15</f>
        <v>15</v>
      </c>
    </row>
    <row r="113" spans="1:21" x14ac:dyDescent="0.25">
      <c r="A113" s="5" t="s">
        <v>195</v>
      </c>
      <c r="B113" s="6" t="s">
        <v>112</v>
      </c>
      <c r="C113" s="7">
        <v>42508</v>
      </c>
      <c r="D113" s="8" t="s">
        <v>196</v>
      </c>
      <c r="F113">
        <f t="shared" si="5"/>
        <v>269</v>
      </c>
      <c r="G113" s="9">
        <f t="shared" si="3"/>
        <v>19.923076923076923</v>
      </c>
      <c r="H113">
        <v>18</v>
      </c>
      <c r="I113">
        <v>71</v>
      </c>
      <c r="J113">
        <v>41</v>
      </c>
      <c r="K113">
        <v>23</v>
      </c>
      <c r="L113">
        <v>11</v>
      </c>
      <c r="M113">
        <v>22</v>
      </c>
      <c r="N113">
        <v>10</v>
      </c>
      <c r="O113">
        <v>19</v>
      </c>
      <c r="P113">
        <v>22</v>
      </c>
      <c r="Q113">
        <v>7</v>
      </c>
      <c r="R113">
        <v>2</v>
      </c>
      <c r="S113">
        <v>7</v>
      </c>
      <c r="T113">
        <v>6</v>
      </c>
      <c r="U113">
        <v>10</v>
      </c>
    </row>
    <row r="114" spans="1:21" x14ac:dyDescent="0.25">
      <c r="A114" s="5" t="s">
        <v>197</v>
      </c>
      <c r="B114" s="6" t="s">
        <v>112</v>
      </c>
      <c r="C114" s="7">
        <v>42508</v>
      </c>
      <c r="D114" s="8" t="s">
        <v>198</v>
      </c>
      <c r="F114">
        <f t="shared" si="5"/>
        <v>718</v>
      </c>
      <c r="G114" s="9">
        <f t="shared" si="3"/>
        <v>50</v>
      </c>
      <c r="H114">
        <v>23</v>
      </c>
      <c r="I114">
        <v>40</v>
      </c>
      <c r="J114">
        <v>15</v>
      </c>
      <c r="K114">
        <v>3</v>
      </c>
      <c r="L114">
        <v>5</v>
      </c>
      <c r="M114">
        <v>106</v>
      </c>
      <c r="N114">
        <v>44</v>
      </c>
      <c r="O114">
        <v>30</v>
      </c>
      <c r="P114">
        <v>126</v>
      </c>
      <c r="Q114">
        <v>149</v>
      </c>
      <c r="R114">
        <v>32</v>
      </c>
      <c r="S114">
        <v>29</v>
      </c>
      <c r="T114">
        <v>48</v>
      </c>
      <c r="U114">
        <v>68</v>
      </c>
    </row>
    <row r="115" spans="1:21" x14ac:dyDescent="0.25">
      <c r="A115" s="5" t="s">
        <v>199</v>
      </c>
      <c r="B115" s="6" t="s">
        <v>112</v>
      </c>
      <c r="C115" s="7">
        <v>42507</v>
      </c>
      <c r="D115" s="8" t="s">
        <v>200</v>
      </c>
      <c r="F115">
        <f t="shared" si="5"/>
        <v>316</v>
      </c>
      <c r="G115" s="9">
        <f t="shared" si="3"/>
        <v>24.076923076923077</v>
      </c>
      <c r="H115">
        <v>18</v>
      </c>
      <c r="I115">
        <v>85</v>
      </c>
      <c r="J115">
        <v>52</v>
      </c>
      <c r="K115">
        <v>15</v>
      </c>
      <c r="L115">
        <v>7</v>
      </c>
      <c r="M115">
        <v>20</v>
      </c>
      <c r="N115">
        <v>62</v>
      </c>
      <c r="O115">
        <v>32</v>
      </c>
      <c r="P115">
        <v>7</v>
      </c>
      <c r="Q115">
        <v>8</v>
      </c>
      <c r="R115">
        <v>4</v>
      </c>
      <c r="S115">
        <v>1</v>
      </c>
      <c r="T115">
        <v>2</v>
      </c>
      <c r="U115">
        <v>3</v>
      </c>
    </row>
    <row r="116" spans="1:21" x14ac:dyDescent="0.25">
      <c r="A116" s="5" t="s">
        <v>201</v>
      </c>
      <c r="B116" s="6" t="s">
        <v>112</v>
      </c>
      <c r="C116" s="7">
        <v>42507</v>
      </c>
      <c r="D116" s="8" t="s">
        <v>153</v>
      </c>
      <c r="F116">
        <f t="shared" si="5"/>
        <v>668</v>
      </c>
      <c r="G116" s="9">
        <f t="shared" si="3"/>
        <v>51.07692307692308</v>
      </c>
      <c r="H116">
        <v>70</v>
      </c>
      <c r="I116">
        <v>163</v>
      </c>
      <c r="J116">
        <v>107</v>
      </c>
      <c r="K116">
        <v>51</v>
      </c>
      <c r="L116">
        <v>30</v>
      </c>
      <c r="M116">
        <v>27</v>
      </c>
      <c r="N116">
        <v>66</v>
      </c>
      <c r="O116">
        <v>53</v>
      </c>
      <c r="P116">
        <v>23</v>
      </c>
      <c r="Q116">
        <v>25</v>
      </c>
      <c r="R116">
        <v>24</v>
      </c>
      <c r="S116">
        <v>9</v>
      </c>
      <c r="T116">
        <v>16</v>
      </c>
      <c r="U116">
        <v>4</v>
      </c>
    </row>
    <row r="117" spans="1:21" x14ac:dyDescent="0.25">
      <c r="A117" s="5" t="s">
        <v>202</v>
      </c>
      <c r="B117" s="6" t="s">
        <v>112</v>
      </c>
      <c r="C117" s="7">
        <v>42506</v>
      </c>
      <c r="D117" s="8" t="s">
        <v>203</v>
      </c>
      <c r="F117">
        <f t="shared" si="5"/>
        <v>465</v>
      </c>
      <c r="G117" s="9">
        <f t="shared" si="3"/>
        <v>35.153846153846153</v>
      </c>
      <c r="H117">
        <v>49</v>
      </c>
      <c r="I117">
        <v>233</v>
      </c>
      <c r="J117">
        <v>54</v>
      </c>
      <c r="K117">
        <v>27</v>
      </c>
      <c r="L117">
        <v>7</v>
      </c>
      <c r="M117">
        <v>7</v>
      </c>
      <c r="N117">
        <v>18</v>
      </c>
      <c r="O117">
        <v>25</v>
      </c>
      <c r="P117">
        <v>6</v>
      </c>
      <c r="Q117">
        <v>11</v>
      </c>
      <c r="R117">
        <v>9</v>
      </c>
      <c r="S117">
        <v>7</v>
      </c>
      <c r="T117">
        <v>4</v>
      </c>
      <c r="U117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tabSelected="1" workbookViewId="0">
      <pane xSplit="1" topLeftCell="B1" activePane="topRight" state="frozen"/>
      <selection pane="topRight" activeCell="D109" sqref="D109"/>
    </sheetView>
  </sheetViews>
  <sheetFormatPr defaultColWidth="11" defaultRowHeight="15.75" x14ac:dyDescent="0.25"/>
  <cols>
    <col min="1" max="1" width="102.125" bestFit="1" customWidth="1"/>
    <col min="3" max="3" width="12.5" customWidth="1"/>
    <col min="4" max="4" width="12.5" bestFit="1" customWidth="1"/>
  </cols>
  <sheetData>
    <row r="1" spans="1:4" ht="16.5" thickBot="1" x14ac:dyDescent="0.3">
      <c r="A1" s="41" t="s">
        <v>0</v>
      </c>
      <c r="B1" s="42" t="s">
        <v>4</v>
      </c>
      <c r="C1" s="43" t="s">
        <v>272</v>
      </c>
      <c r="D1" s="44" t="s">
        <v>273</v>
      </c>
    </row>
    <row r="2" spans="1:4" x14ac:dyDescent="0.25">
      <c r="A2" s="39" t="s">
        <v>97</v>
      </c>
      <c r="B2" s="40">
        <v>1154</v>
      </c>
      <c r="C2" s="10" t="s">
        <v>215</v>
      </c>
      <c r="D2" s="10" t="s">
        <v>215</v>
      </c>
    </row>
    <row r="3" spans="1:4" x14ac:dyDescent="0.25">
      <c r="A3" s="5" t="s">
        <v>96</v>
      </c>
      <c r="B3" s="38">
        <v>296</v>
      </c>
      <c r="C3" s="10" t="s">
        <v>215</v>
      </c>
      <c r="D3" s="10" t="s">
        <v>215</v>
      </c>
    </row>
    <row r="4" spans="1:4" x14ac:dyDescent="0.25">
      <c r="A4" s="5" t="s">
        <v>94</v>
      </c>
      <c r="B4" s="38">
        <v>715</v>
      </c>
      <c r="C4" s="10" t="s">
        <v>215</v>
      </c>
      <c r="D4" s="10" t="s">
        <v>215</v>
      </c>
    </row>
    <row r="5" spans="1:4" x14ac:dyDescent="0.25">
      <c r="A5" s="5" t="s">
        <v>93</v>
      </c>
      <c r="B5" s="38">
        <v>1296</v>
      </c>
      <c r="C5" s="10" t="s">
        <v>215</v>
      </c>
      <c r="D5" s="10" t="s">
        <v>215</v>
      </c>
    </row>
    <row r="6" spans="1:4" x14ac:dyDescent="0.25">
      <c r="A6" s="5" t="s">
        <v>91</v>
      </c>
      <c r="B6" s="38">
        <v>1339</v>
      </c>
      <c r="C6" s="10" t="s">
        <v>215</v>
      </c>
      <c r="D6" s="10" t="s">
        <v>215</v>
      </c>
    </row>
    <row r="7" spans="1:4" x14ac:dyDescent="0.25">
      <c r="A7" s="5" t="s">
        <v>87</v>
      </c>
      <c r="B7" s="38">
        <v>648</v>
      </c>
      <c r="C7" s="10" t="s">
        <v>215</v>
      </c>
      <c r="D7" s="10" t="s">
        <v>215</v>
      </c>
    </row>
    <row r="8" spans="1:4" x14ac:dyDescent="0.25">
      <c r="A8" s="5" t="s">
        <v>89</v>
      </c>
      <c r="B8" s="38">
        <v>335</v>
      </c>
      <c r="C8" s="10" t="s">
        <v>215</v>
      </c>
      <c r="D8" s="10" t="s">
        <v>215</v>
      </c>
    </row>
    <row r="9" spans="1:4" x14ac:dyDescent="0.25">
      <c r="A9" s="5" t="s">
        <v>86</v>
      </c>
      <c r="B9" s="38">
        <v>1106</v>
      </c>
      <c r="C9" s="10" t="s">
        <v>215</v>
      </c>
      <c r="D9" s="10" t="s">
        <v>215</v>
      </c>
    </row>
    <row r="10" spans="1:4" x14ac:dyDescent="0.25">
      <c r="A10" s="5" t="s">
        <v>81</v>
      </c>
      <c r="B10" s="38">
        <v>2579</v>
      </c>
      <c r="C10" s="10" t="s">
        <v>215</v>
      </c>
      <c r="D10" s="10" t="s">
        <v>215</v>
      </c>
    </row>
    <row r="11" spans="1:4" x14ac:dyDescent="0.25">
      <c r="A11" s="5" t="s">
        <v>83</v>
      </c>
      <c r="B11" s="38">
        <v>770</v>
      </c>
      <c r="C11" s="10" t="s">
        <v>215</v>
      </c>
      <c r="D11" s="10" t="s">
        <v>215</v>
      </c>
    </row>
    <row r="12" spans="1:4" x14ac:dyDescent="0.25">
      <c r="A12" s="5" t="s">
        <v>85</v>
      </c>
      <c r="B12" s="38">
        <v>1959</v>
      </c>
      <c r="C12" s="10" t="s">
        <v>215</v>
      </c>
      <c r="D12" s="10" t="s">
        <v>215</v>
      </c>
    </row>
    <row r="13" spans="1:4" x14ac:dyDescent="0.25">
      <c r="A13" s="5" t="s">
        <v>79</v>
      </c>
      <c r="B13" s="38">
        <v>305</v>
      </c>
      <c r="C13" s="10" t="s">
        <v>215</v>
      </c>
      <c r="D13" s="10" t="s">
        <v>215</v>
      </c>
    </row>
    <row r="14" spans="1:4" x14ac:dyDescent="0.25">
      <c r="A14" s="5" t="s">
        <v>78</v>
      </c>
      <c r="B14" s="38">
        <v>1019</v>
      </c>
      <c r="C14" s="10" t="s">
        <v>215</v>
      </c>
      <c r="D14" s="10" t="s">
        <v>215</v>
      </c>
    </row>
    <row r="15" spans="1:4" x14ac:dyDescent="0.25">
      <c r="A15" s="5" t="s">
        <v>76</v>
      </c>
      <c r="B15" s="38">
        <v>145</v>
      </c>
      <c r="C15" s="10" t="s">
        <v>215</v>
      </c>
      <c r="D15" s="10" t="s">
        <v>215</v>
      </c>
    </row>
    <row r="16" spans="1:4" x14ac:dyDescent="0.25">
      <c r="A16" s="5" t="s">
        <v>75</v>
      </c>
      <c r="B16" s="38">
        <v>487</v>
      </c>
      <c r="C16" s="10" t="s">
        <v>215</v>
      </c>
      <c r="D16" s="10" t="s">
        <v>215</v>
      </c>
    </row>
    <row r="17" spans="1:4" x14ac:dyDescent="0.25">
      <c r="A17" s="5" t="s">
        <v>73</v>
      </c>
      <c r="B17" s="38">
        <v>350</v>
      </c>
      <c r="C17" s="10" t="s">
        <v>215</v>
      </c>
      <c r="D17" s="10" t="s">
        <v>215</v>
      </c>
    </row>
    <row r="18" spans="1:4" x14ac:dyDescent="0.25">
      <c r="A18" s="5" t="s">
        <v>74</v>
      </c>
      <c r="B18" s="38">
        <v>1378</v>
      </c>
      <c r="C18" s="10" t="s">
        <v>215</v>
      </c>
      <c r="D18" s="10" t="s">
        <v>215</v>
      </c>
    </row>
    <row r="19" spans="1:4" x14ac:dyDescent="0.25">
      <c r="A19" s="5" t="s">
        <v>71</v>
      </c>
      <c r="B19" s="38">
        <v>326</v>
      </c>
      <c r="C19" s="10" t="s">
        <v>215</v>
      </c>
      <c r="D19" s="10" t="s">
        <v>215</v>
      </c>
    </row>
    <row r="20" spans="1:4" x14ac:dyDescent="0.25">
      <c r="A20" s="5" t="s">
        <v>69</v>
      </c>
      <c r="B20" s="38">
        <v>488</v>
      </c>
      <c r="C20" s="10" t="s">
        <v>215</v>
      </c>
      <c r="D20" s="10" t="s">
        <v>215</v>
      </c>
    </row>
    <row r="21" spans="1:4" x14ac:dyDescent="0.25">
      <c r="A21" s="5" t="s">
        <v>63</v>
      </c>
      <c r="B21" s="38">
        <v>955</v>
      </c>
      <c r="C21" s="10" t="s">
        <v>215</v>
      </c>
      <c r="D21" s="10" t="s">
        <v>215</v>
      </c>
    </row>
    <row r="22" spans="1:4" x14ac:dyDescent="0.25">
      <c r="A22" s="5" t="s">
        <v>65</v>
      </c>
      <c r="B22" s="38">
        <v>637</v>
      </c>
      <c r="C22" s="10" t="s">
        <v>215</v>
      </c>
      <c r="D22" s="10" t="s">
        <v>215</v>
      </c>
    </row>
    <row r="23" spans="1:4" x14ac:dyDescent="0.25">
      <c r="A23" s="5" t="s">
        <v>67</v>
      </c>
      <c r="B23" s="38">
        <v>108</v>
      </c>
      <c r="C23" s="10" t="s">
        <v>215</v>
      </c>
      <c r="D23" s="10" t="s">
        <v>215</v>
      </c>
    </row>
    <row r="24" spans="1:4" x14ac:dyDescent="0.25">
      <c r="A24" s="5" t="s">
        <v>61</v>
      </c>
      <c r="B24" s="38">
        <v>470</v>
      </c>
      <c r="C24" s="10" t="s">
        <v>215</v>
      </c>
      <c r="D24" s="10" t="s">
        <v>215</v>
      </c>
    </row>
    <row r="25" spans="1:4" x14ac:dyDescent="0.25">
      <c r="A25" s="5" t="s">
        <v>58</v>
      </c>
      <c r="B25" s="6">
        <v>536</v>
      </c>
      <c r="C25" s="10" t="s">
        <v>215</v>
      </c>
      <c r="D25" s="10" t="s">
        <v>215</v>
      </c>
    </row>
    <row r="26" spans="1:4" x14ac:dyDescent="0.25">
      <c r="A26" s="5" t="s">
        <v>59</v>
      </c>
      <c r="B26" s="6">
        <v>354</v>
      </c>
      <c r="C26" s="10" t="s">
        <v>215</v>
      </c>
      <c r="D26" s="10" t="s">
        <v>215</v>
      </c>
    </row>
    <row r="27" spans="1:4" x14ac:dyDescent="0.25">
      <c r="A27" s="5" t="s">
        <v>60</v>
      </c>
      <c r="B27" s="6">
        <v>538</v>
      </c>
      <c r="C27" s="10" t="s">
        <v>215</v>
      </c>
      <c r="D27" s="10" t="s">
        <v>215</v>
      </c>
    </row>
    <row r="28" spans="1:4" x14ac:dyDescent="0.25">
      <c r="A28" s="5" t="s">
        <v>56</v>
      </c>
      <c r="B28" s="6">
        <v>759</v>
      </c>
      <c r="C28" s="10" t="s">
        <v>215</v>
      </c>
      <c r="D28" s="10" t="s">
        <v>215</v>
      </c>
    </row>
    <row r="29" spans="1:4" x14ac:dyDescent="0.25">
      <c r="A29" s="5" t="s">
        <v>55</v>
      </c>
      <c r="B29" s="6">
        <v>651</v>
      </c>
      <c r="C29" s="10" t="s">
        <v>215</v>
      </c>
      <c r="D29" s="10" t="s">
        <v>215</v>
      </c>
    </row>
    <row r="30" spans="1:4" s="47" customFormat="1" x14ac:dyDescent="0.25">
      <c r="A30" s="45" t="s">
        <v>49</v>
      </c>
      <c r="B30" s="46">
        <v>2674</v>
      </c>
      <c r="C30" s="10" t="s">
        <v>215</v>
      </c>
      <c r="D30" s="62" t="s">
        <v>216</v>
      </c>
    </row>
    <row r="31" spans="1:4" x14ac:dyDescent="0.25">
      <c r="A31" s="5" t="s">
        <v>51</v>
      </c>
      <c r="B31" s="6">
        <v>624</v>
      </c>
      <c r="C31" s="10" t="s">
        <v>215</v>
      </c>
      <c r="D31" s="10" t="s">
        <v>215</v>
      </c>
    </row>
    <row r="32" spans="1:4" x14ac:dyDescent="0.25">
      <c r="A32" s="5" t="s">
        <v>53</v>
      </c>
      <c r="B32" s="6">
        <v>1825</v>
      </c>
      <c r="C32" s="10" t="s">
        <v>215</v>
      </c>
      <c r="D32" s="10" t="s">
        <v>215</v>
      </c>
    </row>
    <row r="33" spans="1:4" x14ac:dyDescent="0.25">
      <c r="A33" s="5" t="s">
        <v>45</v>
      </c>
      <c r="B33" s="6">
        <v>559</v>
      </c>
      <c r="C33" s="10" t="s">
        <v>215</v>
      </c>
      <c r="D33" s="10" t="s">
        <v>215</v>
      </c>
    </row>
    <row r="34" spans="1:4" x14ac:dyDescent="0.25">
      <c r="A34" s="5" t="s">
        <v>47</v>
      </c>
      <c r="B34" s="6">
        <v>1548</v>
      </c>
      <c r="C34" s="10" t="s">
        <v>215</v>
      </c>
      <c r="D34" s="10" t="s">
        <v>215</v>
      </c>
    </row>
    <row r="35" spans="1:4" x14ac:dyDescent="0.25">
      <c r="A35" s="5" t="s">
        <v>43</v>
      </c>
      <c r="B35" s="6">
        <v>555</v>
      </c>
      <c r="C35" s="10" t="s">
        <v>215</v>
      </c>
      <c r="D35" s="10" t="s">
        <v>215</v>
      </c>
    </row>
    <row r="36" spans="1:4" s="47" customFormat="1" x14ac:dyDescent="0.25">
      <c r="A36" s="45" t="s">
        <v>41</v>
      </c>
      <c r="B36" s="46">
        <v>2099</v>
      </c>
      <c r="C36" s="10" t="s">
        <v>215</v>
      </c>
      <c r="D36" s="62" t="s">
        <v>216</v>
      </c>
    </row>
    <row r="37" spans="1:4" s="47" customFormat="1" x14ac:dyDescent="0.25">
      <c r="A37" s="45" t="s">
        <v>40</v>
      </c>
      <c r="B37" s="46">
        <v>2372</v>
      </c>
      <c r="C37" s="10" t="s">
        <v>215</v>
      </c>
      <c r="D37" s="62" t="s">
        <v>216</v>
      </c>
    </row>
    <row r="38" spans="1:4" x14ac:dyDescent="0.25">
      <c r="A38" s="5" t="s">
        <v>38</v>
      </c>
      <c r="B38" s="6">
        <v>2081</v>
      </c>
      <c r="C38" s="10" t="s">
        <v>215</v>
      </c>
      <c r="D38" s="10" t="s">
        <v>215</v>
      </c>
    </row>
    <row r="39" spans="1:4" s="47" customFormat="1" x14ac:dyDescent="0.25">
      <c r="A39" s="45" t="s">
        <v>36</v>
      </c>
      <c r="B39" s="46">
        <v>1561</v>
      </c>
      <c r="C39" s="10" t="s">
        <v>215</v>
      </c>
      <c r="D39" s="62" t="s">
        <v>216</v>
      </c>
    </row>
    <row r="40" spans="1:4" x14ac:dyDescent="0.25">
      <c r="A40" s="5" t="s">
        <v>34</v>
      </c>
      <c r="B40" s="6">
        <v>555</v>
      </c>
      <c r="C40" s="10" t="s">
        <v>215</v>
      </c>
      <c r="D40" s="10" t="s">
        <v>215</v>
      </c>
    </row>
    <row r="41" spans="1:4" x14ac:dyDescent="0.25">
      <c r="A41" s="5" t="s">
        <v>32</v>
      </c>
      <c r="B41" s="6">
        <v>1287</v>
      </c>
      <c r="C41" s="10" t="s">
        <v>215</v>
      </c>
      <c r="D41" s="10" t="s">
        <v>215</v>
      </c>
    </row>
    <row r="42" spans="1:4" s="47" customFormat="1" x14ac:dyDescent="0.25">
      <c r="A42" s="45" t="s">
        <v>28</v>
      </c>
      <c r="B42" s="46">
        <v>1011</v>
      </c>
      <c r="C42" s="10" t="s">
        <v>215</v>
      </c>
      <c r="D42" s="63" t="s">
        <v>216</v>
      </c>
    </row>
    <row r="43" spans="1:4" s="61" customFormat="1" x14ac:dyDescent="0.25">
      <c r="A43" s="59" t="s">
        <v>30</v>
      </c>
      <c r="B43" s="60">
        <v>4121</v>
      </c>
      <c r="C43" s="62" t="s">
        <v>216</v>
      </c>
      <c r="D43" s="61" t="s">
        <v>216</v>
      </c>
    </row>
    <row r="44" spans="1:4" x14ac:dyDescent="0.25">
      <c r="A44" s="5" t="s">
        <v>26</v>
      </c>
      <c r="B44" s="6">
        <v>647</v>
      </c>
      <c r="C44" s="10" t="s">
        <v>215</v>
      </c>
      <c r="D44" s="62" t="s">
        <v>215</v>
      </c>
    </row>
    <row r="45" spans="1:4" x14ac:dyDescent="0.25">
      <c r="A45" s="5" t="s">
        <v>21</v>
      </c>
      <c r="B45" s="6">
        <v>974</v>
      </c>
      <c r="C45" s="10" t="s">
        <v>215</v>
      </c>
      <c r="D45" s="11" t="s">
        <v>215</v>
      </c>
    </row>
    <row r="46" spans="1:4" s="47" customFormat="1" x14ac:dyDescent="0.25">
      <c r="A46" s="45" t="s">
        <v>24</v>
      </c>
      <c r="B46" s="46">
        <v>845</v>
      </c>
      <c r="C46" s="10" t="s">
        <v>215</v>
      </c>
      <c r="D46" s="63" t="s">
        <v>216</v>
      </c>
    </row>
    <row r="47" spans="1:4" x14ac:dyDescent="0.25">
      <c r="A47" s="5" t="s">
        <v>110</v>
      </c>
      <c r="B47" s="38">
        <v>541</v>
      </c>
      <c r="C47" s="10" t="s">
        <v>215</v>
      </c>
      <c r="D47" t="s">
        <v>215</v>
      </c>
    </row>
    <row r="48" spans="1:4" x14ac:dyDescent="0.25">
      <c r="A48" s="5" t="s">
        <v>108</v>
      </c>
      <c r="B48" s="38">
        <v>648</v>
      </c>
      <c r="C48" s="10" t="s">
        <v>215</v>
      </c>
      <c r="D48" t="s">
        <v>215</v>
      </c>
    </row>
    <row r="49" spans="1:4" x14ac:dyDescent="0.25">
      <c r="A49" s="5" t="s">
        <v>106</v>
      </c>
      <c r="B49" s="38">
        <v>688</v>
      </c>
      <c r="C49" s="10" t="s">
        <v>215</v>
      </c>
      <c r="D49" t="s">
        <v>215</v>
      </c>
    </row>
    <row r="50" spans="1:4" x14ac:dyDescent="0.25">
      <c r="A50" s="5" t="s">
        <v>105</v>
      </c>
      <c r="B50" s="6">
        <v>460</v>
      </c>
      <c r="C50" s="10" t="s">
        <v>215</v>
      </c>
      <c r="D50" t="s">
        <v>215</v>
      </c>
    </row>
    <row r="51" spans="1:4" s="47" customFormat="1" x14ac:dyDescent="0.25">
      <c r="A51" s="45" t="s">
        <v>103</v>
      </c>
      <c r="B51" s="46">
        <v>1678</v>
      </c>
      <c r="C51" s="10" t="s">
        <v>215</v>
      </c>
      <c r="D51" s="63" t="s">
        <v>216</v>
      </c>
    </row>
    <row r="52" spans="1:4" s="47" customFormat="1" x14ac:dyDescent="0.25">
      <c r="A52" s="45" t="s">
        <v>101</v>
      </c>
      <c r="B52" s="46">
        <v>508</v>
      </c>
      <c r="C52" s="10" t="s">
        <v>215</v>
      </c>
      <c r="D52" s="63" t="s">
        <v>216</v>
      </c>
    </row>
    <row r="53" spans="1:4" x14ac:dyDescent="0.25">
      <c r="A53" s="5" t="s">
        <v>98</v>
      </c>
      <c r="B53" s="6">
        <v>599</v>
      </c>
      <c r="C53" s="10" t="s">
        <v>215</v>
      </c>
      <c r="D53" t="s">
        <v>215</v>
      </c>
    </row>
    <row r="54" spans="1:4" x14ac:dyDescent="0.25">
      <c r="A54" s="5" t="s">
        <v>214</v>
      </c>
      <c r="B54" s="38">
        <v>671</v>
      </c>
      <c r="C54" s="10" t="s">
        <v>215</v>
      </c>
      <c r="D54" t="s">
        <v>215</v>
      </c>
    </row>
    <row r="55" spans="1:4" x14ac:dyDescent="0.25">
      <c r="A55" s="5" t="s">
        <v>199</v>
      </c>
      <c r="B55" s="38">
        <v>511</v>
      </c>
      <c r="C55" s="10" t="s">
        <v>215</v>
      </c>
      <c r="D55" t="s">
        <v>215</v>
      </c>
    </row>
    <row r="56" spans="1:4" x14ac:dyDescent="0.25">
      <c r="A56" s="5" t="s">
        <v>201</v>
      </c>
      <c r="B56" s="38">
        <v>1008</v>
      </c>
      <c r="C56" s="10" t="s">
        <v>215</v>
      </c>
      <c r="D56" t="s">
        <v>215</v>
      </c>
    </row>
    <row r="57" spans="1:4" x14ac:dyDescent="0.25">
      <c r="A57" s="5" t="s">
        <v>195</v>
      </c>
      <c r="B57" s="38">
        <v>430</v>
      </c>
      <c r="C57" s="10" t="s">
        <v>215</v>
      </c>
      <c r="D57" t="s">
        <v>215</v>
      </c>
    </row>
    <row r="58" spans="1:4" x14ac:dyDescent="0.25">
      <c r="A58" s="5" t="s">
        <v>197</v>
      </c>
      <c r="B58" s="38">
        <v>1360</v>
      </c>
      <c r="C58" s="10" t="s">
        <v>215</v>
      </c>
      <c r="D58" t="s">
        <v>215</v>
      </c>
    </row>
    <row r="59" spans="1:4" x14ac:dyDescent="0.25">
      <c r="A59" s="5" t="s">
        <v>194</v>
      </c>
      <c r="B59" s="38">
        <v>1500</v>
      </c>
      <c r="C59" s="10" t="s">
        <v>215</v>
      </c>
      <c r="D59" t="s">
        <v>215</v>
      </c>
    </row>
    <row r="60" spans="1:4" x14ac:dyDescent="0.25">
      <c r="A60" s="5" t="s">
        <v>192</v>
      </c>
      <c r="B60" s="38">
        <v>389</v>
      </c>
      <c r="C60" s="10" t="s">
        <v>215</v>
      </c>
      <c r="D60" t="s">
        <v>215</v>
      </c>
    </row>
    <row r="61" spans="1:4" x14ac:dyDescent="0.25">
      <c r="A61" s="5" t="s">
        <v>190</v>
      </c>
      <c r="B61" s="38">
        <v>3173</v>
      </c>
      <c r="C61" s="10" t="s">
        <v>215</v>
      </c>
      <c r="D61" t="s">
        <v>215</v>
      </c>
    </row>
    <row r="62" spans="1:4" x14ac:dyDescent="0.25">
      <c r="A62" s="5" t="s">
        <v>188</v>
      </c>
      <c r="B62" s="38">
        <v>504</v>
      </c>
      <c r="C62" s="10" t="s">
        <v>215</v>
      </c>
      <c r="D62" t="s">
        <v>215</v>
      </c>
    </row>
    <row r="63" spans="1:4" x14ac:dyDescent="0.25">
      <c r="A63" s="5" t="s">
        <v>187</v>
      </c>
      <c r="B63" s="38">
        <v>1813</v>
      </c>
      <c r="C63" s="10" t="s">
        <v>215</v>
      </c>
      <c r="D63" t="s">
        <v>215</v>
      </c>
    </row>
    <row r="64" spans="1:4" x14ac:dyDescent="0.25">
      <c r="A64" s="5" t="s">
        <v>186</v>
      </c>
      <c r="B64" s="38">
        <v>1319</v>
      </c>
      <c r="C64" s="10" t="s">
        <v>215</v>
      </c>
      <c r="D64" t="s">
        <v>215</v>
      </c>
    </row>
    <row r="65" spans="1:4" x14ac:dyDescent="0.25">
      <c r="A65" s="5" t="s">
        <v>186</v>
      </c>
      <c r="B65" s="38">
        <v>1502</v>
      </c>
      <c r="C65" s="10" t="s">
        <v>215</v>
      </c>
      <c r="D65" t="s">
        <v>215</v>
      </c>
    </row>
    <row r="66" spans="1:4" x14ac:dyDescent="0.25">
      <c r="A66" s="5" t="s">
        <v>213</v>
      </c>
      <c r="B66" s="38">
        <v>260</v>
      </c>
      <c r="C66" s="10" t="s">
        <v>215</v>
      </c>
      <c r="D66" t="s">
        <v>215</v>
      </c>
    </row>
    <row r="67" spans="1:4" x14ac:dyDescent="0.25">
      <c r="A67" s="5" t="s">
        <v>184</v>
      </c>
      <c r="B67" s="38">
        <v>385</v>
      </c>
      <c r="C67" s="10" t="s">
        <v>215</v>
      </c>
      <c r="D67" t="s">
        <v>215</v>
      </c>
    </row>
    <row r="68" spans="1:4" x14ac:dyDescent="0.25">
      <c r="A68" s="5" t="s">
        <v>181</v>
      </c>
      <c r="B68" s="38">
        <v>1027</v>
      </c>
      <c r="C68" s="10" t="s">
        <v>215</v>
      </c>
      <c r="D68" t="s">
        <v>215</v>
      </c>
    </row>
    <row r="69" spans="1:4" x14ac:dyDescent="0.25">
      <c r="A69" s="5" t="s">
        <v>179</v>
      </c>
      <c r="B69" s="38">
        <v>266</v>
      </c>
      <c r="C69" s="10" t="s">
        <v>215</v>
      </c>
      <c r="D69" t="s">
        <v>215</v>
      </c>
    </row>
    <row r="70" spans="1:4" x14ac:dyDescent="0.25">
      <c r="A70" s="5" t="s">
        <v>177</v>
      </c>
      <c r="B70" s="38">
        <v>252</v>
      </c>
      <c r="C70" s="10" t="s">
        <v>215</v>
      </c>
      <c r="D70" t="s">
        <v>215</v>
      </c>
    </row>
    <row r="71" spans="1:4" x14ac:dyDescent="0.25">
      <c r="A71" s="5" t="s">
        <v>174</v>
      </c>
      <c r="B71" s="38">
        <v>669</v>
      </c>
      <c r="C71" s="10" t="s">
        <v>215</v>
      </c>
      <c r="D71" t="s">
        <v>215</v>
      </c>
    </row>
    <row r="72" spans="1:4" x14ac:dyDescent="0.25">
      <c r="A72" s="5" t="s">
        <v>176</v>
      </c>
      <c r="B72" s="38">
        <v>2177</v>
      </c>
      <c r="C72" s="10" t="s">
        <v>215</v>
      </c>
      <c r="D72" t="s">
        <v>215</v>
      </c>
    </row>
    <row r="73" spans="1:4" x14ac:dyDescent="0.25">
      <c r="A73" s="5" t="s">
        <v>173</v>
      </c>
      <c r="B73" s="38">
        <v>332</v>
      </c>
      <c r="C73" s="10" t="s">
        <v>215</v>
      </c>
      <c r="D73" t="s">
        <v>215</v>
      </c>
    </row>
    <row r="74" spans="1:4" x14ac:dyDescent="0.25">
      <c r="A74" s="5" t="s">
        <v>169</v>
      </c>
      <c r="B74" s="38">
        <v>957</v>
      </c>
      <c r="C74" s="10" t="s">
        <v>215</v>
      </c>
      <c r="D74" t="s">
        <v>215</v>
      </c>
    </row>
    <row r="75" spans="1:4" x14ac:dyDescent="0.25">
      <c r="A75" s="5" t="s">
        <v>171</v>
      </c>
      <c r="B75" s="38">
        <v>1618</v>
      </c>
      <c r="C75" s="10" t="s">
        <v>215</v>
      </c>
      <c r="D75" t="s">
        <v>215</v>
      </c>
    </row>
    <row r="76" spans="1:4" x14ac:dyDescent="0.25">
      <c r="A76" s="5" t="s">
        <v>165</v>
      </c>
      <c r="B76" s="38">
        <v>321</v>
      </c>
      <c r="C76" s="10" t="s">
        <v>215</v>
      </c>
      <c r="D76" t="s">
        <v>215</v>
      </c>
    </row>
    <row r="77" spans="1:4" x14ac:dyDescent="0.25">
      <c r="A77" s="5" t="s">
        <v>167</v>
      </c>
      <c r="B77" s="38">
        <v>261</v>
      </c>
      <c r="C77" s="10" t="s">
        <v>215</v>
      </c>
      <c r="D77" t="s">
        <v>215</v>
      </c>
    </row>
    <row r="78" spans="1:4" x14ac:dyDescent="0.25">
      <c r="A78" s="5" t="s">
        <v>168</v>
      </c>
      <c r="B78" s="38">
        <v>276</v>
      </c>
      <c r="C78" s="10" t="s">
        <v>215</v>
      </c>
      <c r="D78" t="s">
        <v>215</v>
      </c>
    </row>
    <row r="79" spans="1:4" x14ac:dyDescent="0.25">
      <c r="A79" s="5" t="s">
        <v>161</v>
      </c>
      <c r="B79" s="38">
        <v>105</v>
      </c>
      <c r="C79" s="10" t="s">
        <v>215</v>
      </c>
      <c r="D79" t="s">
        <v>215</v>
      </c>
    </row>
    <row r="80" spans="1:4" x14ac:dyDescent="0.25">
      <c r="A80" s="5" t="s">
        <v>162</v>
      </c>
      <c r="B80" s="38">
        <v>122</v>
      </c>
      <c r="C80" s="10" t="s">
        <v>215</v>
      </c>
      <c r="D80" t="s">
        <v>215</v>
      </c>
    </row>
    <row r="81" spans="1:4" x14ac:dyDescent="0.25">
      <c r="A81" s="5" t="s">
        <v>163</v>
      </c>
      <c r="B81" s="38">
        <v>87</v>
      </c>
      <c r="C81" s="10" t="s">
        <v>215</v>
      </c>
      <c r="D81" t="s">
        <v>215</v>
      </c>
    </row>
    <row r="82" spans="1:4" x14ac:dyDescent="0.25">
      <c r="A82" s="5" t="s">
        <v>164</v>
      </c>
      <c r="B82" s="38">
        <v>406</v>
      </c>
      <c r="C82" s="10" t="s">
        <v>215</v>
      </c>
      <c r="D82" t="s">
        <v>215</v>
      </c>
    </row>
    <row r="83" spans="1:4" x14ac:dyDescent="0.25">
      <c r="A83" s="5" t="s">
        <v>160</v>
      </c>
      <c r="B83" s="6">
        <v>562</v>
      </c>
      <c r="C83" s="10" t="s">
        <v>215</v>
      </c>
      <c r="D83" t="s">
        <v>215</v>
      </c>
    </row>
    <row r="84" spans="1:4" x14ac:dyDescent="0.25">
      <c r="A84" s="5" t="s">
        <v>158</v>
      </c>
      <c r="B84" s="6">
        <v>1019</v>
      </c>
      <c r="C84" s="10" t="s">
        <v>215</v>
      </c>
      <c r="D84" t="s">
        <v>215</v>
      </c>
    </row>
    <row r="85" spans="1:4" x14ac:dyDescent="0.25">
      <c r="A85" s="5" t="s">
        <v>152</v>
      </c>
      <c r="B85" s="6">
        <v>54</v>
      </c>
      <c r="C85" s="10" t="s">
        <v>215</v>
      </c>
      <c r="D85" t="s">
        <v>215</v>
      </c>
    </row>
    <row r="86" spans="1:4" x14ac:dyDescent="0.25">
      <c r="A86" s="5" t="s">
        <v>154</v>
      </c>
      <c r="B86" s="6">
        <v>179</v>
      </c>
      <c r="C86" s="10" t="s">
        <v>215</v>
      </c>
      <c r="D86" t="s">
        <v>215</v>
      </c>
    </row>
    <row r="87" spans="1:4" x14ac:dyDescent="0.25">
      <c r="A87" s="5" t="s">
        <v>156</v>
      </c>
      <c r="B87" s="6">
        <v>64</v>
      </c>
      <c r="C87" s="10" t="s">
        <v>215</v>
      </c>
      <c r="D87" t="s">
        <v>215</v>
      </c>
    </row>
    <row r="88" spans="1:4" x14ac:dyDescent="0.25">
      <c r="A88" s="5" t="s">
        <v>157</v>
      </c>
      <c r="B88" s="6">
        <v>99</v>
      </c>
      <c r="C88" s="10" t="s">
        <v>215</v>
      </c>
      <c r="D88" t="s">
        <v>215</v>
      </c>
    </row>
    <row r="89" spans="1:4" x14ac:dyDescent="0.25">
      <c r="A89" s="5" t="s">
        <v>151</v>
      </c>
      <c r="B89" s="6">
        <v>1009</v>
      </c>
      <c r="C89" s="10" t="s">
        <v>215</v>
      </c>
      <c r="D89" t="s">
        <v>215</v>
      </c>
    </row>
    <row r="90" spans="1:4" x14ac:dyDescent="0.25">
      <c r="A90" s="5" t="s">
        <v>149</v>
      </c>
      <c r="B90" s="6">
        <v>450</v>
      </c>
      <c r="C90" s="10" t="s">
        <v>215</v>
      </c>
      <c r="D90" t="s">
        <v>215</v>
      </c>
    </row>
    <row r="91" spans="1:4" x14ac:dyDescent="0.25">
      <c r="A91" s="5" t="s">
        <v>148</v>
      </c>
      <c r="B91" s="6">
        <v>1354</v>
      </c>
      <c r="C91" s="10" t="s">
        <v>215</v>
      </c>
      <c r="D91" t="s">
        <v>215</v>
      </c>
    </row>
    <row r="92" spans="1:4" x14ac:dyDescent="0.25">
      <c r="A92" s="5" t="s">
        <v>147</v>
      </c>
      <c r="B92" s="6">
        <v>770</v>
      </c>
      <c r="C92" s="10" t="s">
        <v>215</v>
      </c>
      <c r="D92" t="s">
        <v>215</v>
      </c>
    </row>
    <row r="93" spans="1:4" x14ac:dyDescent="0.25">
      <c r="A93" s="5" t="s">
        <v>145</v>
      </c>
      <c r="B93" s="6">
        <v>917</v>
      </c>
      <c r="C93" s="10" t="s">
        <v>215</v>
      </c>
      <c r="D93" t="s">
        <v>215</v>
      </c>
    </row>
    <row r="94" spans="1:4" x14ac:dyDescent="0.25">
      <c r="A94" s="5" t="s">
        <v>143</v>
      </c>
      <c r="B94" s="6">
        <v>75</v>
      </c>
      <c r="C94" s="10" t="s">
        <v>215</v>
      </c>
      <c r="D94" t="s">
        <v>215</v>
      </c>
    </row>
    <row r="95" spans="1:4" x14ac:dyDescent="0.25">
      <c r="A95" s="5" t="s">
        <v>142</v>
      </c>
      <c r="B95" s="6">
        <v>2501</v>
      </c>
      <c r="C95" s="10" t="s">
        <v>215</v>
      </c>
      <c r="D95" t="s">
        <v>215</v>
      </c>
    </row>
    <row r="96" spans="1:4" s="47" customFormat="1" x14ac:dyDescent="0.25">
      <c r="A96" s="45" t="s">
        <v>140</v>
      </c>
      <c r="B96" s="46">
        <v>5050</v>
      </c>
      <c r="C96" s="62" t="s">
        <v>216</v>
      </c>
      <c r="D96" s="47" t="s">
        <v>215</v>
      </c>
    </row>
    <row r="97" spans="1:4" x14ac:dyDescent="0.25">
      <c r="A97" s="5" t="s">
        <v>139</v>
      </c>
      <c r="B97" s="6">
        <v>1046</v>
      </c>
      <c r="C97" s="10" t="s">
        <v>215</v>
      </c>
      <c r="D97" t="s">
        <v>215</v>
      </c>
    </row>
    <row r="98" spans="1:4" x14ac:dyDescent="0.25">
      <c r="A98" s="5" t="s">
        <v>137</v>
      </c>
      <c r="B98" s="6">
        <v>123</v>
      </c>
      <c r="C98" s="10" t="s">
        <v>215</v>
      </c>
      <c r="D98" t="s">
        <v>215</v>
      </c>
    </row>
    <row r="99" spans="1:4" x14ac:dyDescent="0.25">
      <c r="A99" s="5" t="s">
        <v>136</v>
      </c>
      <c r="B99" s="6">
        <v>2411</v>
      </c>
      <c r="C99" s="13" t="s">
        <v>215</v>
      </c>
      <c r="D99" t="s">
        <v>215</v>
      </c>
    </row>
    <row r="100" spans="1:4" s="61" customFormat="1" x14ac:dyDescent="0.25">
      <c r="A100" s="59" t="s">
        <v>134</v>
      </c>
      <c r="B100" s="60">
        <v>1122</v>
      </c>
      <c r="C100" s="62" t="s">
        <v>216</v>
      </c>
      <c r="D100" s="63" t="s">
        <v>216</v>
      </c>
    </row>
    <row r="101" spans="1:4" s="61" customFormat="1" x14ac:dyDescent="0.25">
      <c r="A101" s="59" t="s">
        <v>130</v>
      </c>
      <c r="B101" s="60">
        <v>3055</v>
      </c>
      <c r="C101" s="62" t="s">
        <v>216</v>
      </c>
      <c r="D101" s="63" t="s">
        <v>216</v>
      </c>
    </row>
    <row r="102" spans="1:4" x14ac:dyDescent="0.25">
      <c r="A102" s="5" t="s">
        <v>131</v>
      </c>
      <c r="B102" s="6">
        <v>781</v>
      </c>
      <c r="C102" s="13" t="s">
        <v>215</v>
      </c>
      <c r="D102" t="s">
        <v>215</v>
      </c>
    </row>
    <row r="103" spans="1:4" x14ac:dyDescent="0.25">
      <c r="A103" s="5" t="s">
        <v>133</v>
      </c>
      <c r="B103" s="6">
        <v>442</v>
      </c>
      <c r="C103" s="13" t="s">
        <v>215</v>
      </c>
      <c r="D103" t="s">
        <v>215</v>
      </c>
    </row>
    <row r="104" spans="1:4" s="61" customFormat="1" x14ac:dyDescent="0.25">
      <c r="A104" s="59" t="s">
        <v>127</v>
      </c>
      <c r="B104" s="60">
        <v>2146</v>
      </c>
      <c r="C104" s="62" t="s">
        <v>216</v>
      </c>
      <c r="D104" s="63" t="s">
        <v>216</v>
      </c>
    </row>
    <row r="105" spans="1:4" x14ac:dyDescent="0.25">
      <c r="A105" s="5" t="s">
        <v>129</v>
      </c>
      <c r="B105" s="6">
        <v>661</v>
      </c>
      <c r="C105" s="11" t="s">
        <v>215</v>
      </c>
      <c r="D105" s="12" t="s">
        <v>215</v>
      </c>
    </row>
    <row r="106" spans="1:4" s="61" customFormat="1" x14ac:dyDescent="0.25">
      <c r="A106" s="59" t="s">
        <v>125</v>
      </c>
      <c r="B106" s="60">
        <v>2200</v>
      </c>
      <c r="C106" s="62" t="s">
        <v>216</v>
      </c>
      <c r="D106" s="63" t="s">
        <v>216</v>
      </c>
    </row>
    <row r="107" spans="1:4" x14ac:dyDescent="0.25">
      <c r="A107" s="5" t="s">
        <v>126</v>
      </c>
      <c r="B107" s="6">
        <v>1552</v>
      </c>
      <c r="C107" s="11" t="s">
        <v>215</v>
      </c>
      <c r="D107" t="s">
        <v>215</v>
      </c>
    </row>
    <row r="108" spans="1:4" s="47" customFormat="1" x14ac:dyDescent="0.25">
      <c r="A108" s="45" t="s">
        <v>122</v>
      </c>
      <c r="B108" s="46">
        <v>1714</v>
      </c>
      <c r="C108" s="11" t="s">
        <v>215</v>
      </c>
      <c r="D108" s="63" t="s">
        <v>216</v>
      </c>
    </row>
    <row r="109" spans="1:4" x14ac:dyDescent="0.25">
      <c r="A109" s="5" t="s">
        <v>121</v>
      </c>
      <c r="B109" s="6">
        <v>812</v>
      </c>
      <c r="C109" s="11" t="s">
        <v>215</v>
      </c>
      <c r="D109" s="12" t="s">
        <v>215</v>
      </c>
    </row>
    <row r="110" spans="1:4" s="47" customFormat="1" x14ac:dyDescent="0.25">
      <c r="A110" s="45" t="s">
        <v>212</v>
      </c>
      <c r="B110" s="46">
        <v>855</v>
      </c>
      <c r="C110" s="11" t="s">
        <v>215</v>
      </c>
      <c r="D110" s="63" t="s">
        <v>216</v>
      </c>
    </row>
    <row r="111" spans="1:4" x14ac:dyDescent="0.25">
      <c r="A111" s="5" t="s">
        <v>118</v>
      </c>
      <c r="B111" s="6">
        <v>277</v>
      </c>
      <c r="C111" s="11" t="s">
        <v>215</v>
      </c>
      <c r="D111" t="s">
        <v>215</v>
      </c>
    </row>
    <row r="112" spans="1:4" s="54" customFormat="1" x14ac:dyDescent="0.25">
      <c r="A112" s="52" t="s">
        <v>120</v>
      </c>
      <c r="B112" s="53">
        <v>1420</v>
      </c>
      <c r="C112" s="11" t="s">
        <v>215</v>
      </c>
      <c r="D112" s="63" t="s">
        <v>216</v>
      </c>
    </row>
    <row r="113" spans="1:4" x14ac:dyDescent="0.25">
      <c r="A113" s="5" t="s">
        <v>114</v>
      </c>
      <c r="B113" s="6">
        <v>269</v>
      </c>
      <c r="C113" s="11" t="s">
        <v>215</v>
      </c>
      <c r="D113" t="s">
        <v>215</v>
      </c>
    </row>
    <row r="114" spans="1:4" s="57" customFormat="1" x14ac:dyDescent="0.25">
      <c r="A114" s="55" t="s">
        <v>113</v>
      </c>
      <c r="B114" s="56">
        <v>899</v>
      </c>
      <c r="C114" s="11" t="s">
        <v>215</v>
      </c>
      <c r="D114" s="63" t="s">
        <v>216</v>
      </c>
    </row>
    <row r="115" spans="1:4" s="47" customFormat="1" ht="16.5" thickBot="1" x14ac:dyDescent="0.3">
      <c r="A115" s="48" t="s">
        <v>111</v>
      </c>
      <c r="B115" s="49">
        <v>1152</v>
      </c>
      <c r="C115" s="11" t="s">
        <v>215</v>
      </c>
      <c r="D115" s="63" t="s">
        <v>216</v>
      </c>
    </row>
    <row r="116" spans="1:4" x14ac:dyDescent="0.25">
      <c r="C116" s="58"/>
    </row>
    <row r="117" spans="1:4" x14ac:dyDescent="0.25">
      <c r="C117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21" sqref="C21"/>
    </sheetView>
  </sheetViews>
  <sheetFormatPr defaultColWidth="11" defaultRowHeight="15.75" x14ac:dyDescent="0.25"/>
  <cols>
    <col min="1" max="1" width="17.875" bestFit="1" customWidth="1"/>
    <col min="2" max="3" width="5.125" bestFit="1" customWidth="1"/>
    <col min="4" max="4" width="6.375" bestFit="1" customWidth="1"/>
    <col min="6" max="6" width="7.125" bestFit="1" customWidth="1"/>
  </cols>
  <sheetData>
    <row r="1" spans="1:6" ht="16.5" thickBot="1" x14ac:dyDescent="0.3"/>
    <row r="2" spans="1:6" ht="16.5" thickBot="1" x14ac:dyDescent="0.3">
      <c r="A2" s="36" t="s">
        <v>217</v>
      </c>
      <c r="B2" s="37" t="s">
        <v>218</v>
      </c>
      <c r="C2" s="37" t="s">
        <v>219</v>
      </c>
      <c r="D2" s="37" t="s">
        <v>220</v>
      </c>
      <c r="E2" s="37" t="s">
        <v>221</v>
      </c>
      <c r="F2" s="37" t="s">
        <v>204</v>
      </c>
    </row>
    <row r="3" spans="1:6" x14ac:dyDescent="0.25">
      <c r="A3" s="31" t="s">
        <v>222</v>
      </c>
      <c r="B3" s="32">
        <v>671</v>
      </c>
      <c r="C3" s="33">
        <v>1790</v>
      </c>
      <c r="D3" s="33">
        <v>583</v>
      </c>
      <c r="E3" s="34"/>
      <c r="F3" s="35">
        <f t="shared" ref="F3:F18" si="0">AVERAGE(B3:D3)</f>
        <v>1014.6666666666666</v>
      </c>
    </row>
    <row r="4" spans="1:6" x14ac:dyDescent="0.25">
      <c r="A4" s="14" t="s">
        <v>31</v>
      </c>
      <c r="B4" s="6">
        <v>1017</v>
      </c>
      <c r="C4" s="16">
        <v>1009</v>
      </c>
      <c r="D4" s="16">
        <v>1361</v>
      </c>
      <c r="E4" s="17"/>
      <c r="F4" s="18">
        <f t="shared" si="0"/>
        <v>1129</v>
      </c>
    </row>
    <row r="5" spans="1:6" x14ac:dyDescent="0.25">
      <c r="A5" s="14" t="s">
        <v>223</v>
      </c>
      <c r="B5" s="16">
        <v>1069</v>
      </c>
      <c r="C5" s="16">
        <v>955</v>
      </c>
      <c r="D5" s="16">
        <v>1086</v>
      </c>
      <c r="E5" s="17"/>
      <c r="F5" s="18">
        <f t="shared" si="0"/>
        <v>1036.6666666666667</v>
      </c>
    </row>
    <row r="6" spans="1:6" x14ac:dyDescent="0.25">
      <c r="A6" s="14" t="s">
        <v>224</v>
      </c>
      <c r="B6" s="6">
        <v>623</v>
      </c>
      <c r="C6" s="16">
        <v>623</v>
      </c>
      <c r="D6" s="16">
        <v>612</v>
      </c>
      <c r="E6" s="17"/>
      <c r="F6" s="18">
        <f t="shared" si="0"/>
        <v>619.33333333333337</v>
      </c>
    </row>
    <row r="7" spans="1:6" x14ac:dyDescent="0.25">
      <c r="A7" s="14" t="s">
        <v>225</v>
      </c>
      <c r="B7" s="6">
        <v>598</v>
      </c>
      <c r="C7" s="16">
        <v>581</v>
      </c>
      <c r="D7" s="16">
        <v>806</v>
      </c>
      <c r="E7" s="17"/>
      <c r="F7" s="18">
        <f t="shared" si="0"/>
        <v>661.66666666666663</v>
      </c>
    </row>
    <row r="8" spans="1:6" x14ac:dyDescent="0.25">
      <c r="A8" s="14" t="s">
        <v>226</v>
      </c>
      <c r="B8" s="6">
        <v>611</v>
      </c>
      <c r="C8" s="16">
        <v>737</v>
      </c>
      <c r="D8" s="16">
        <v>949</v>
      </c>
      <c r="E8" s="17"/>
      <c r="F8" s="18">
        <f t="shared" si="0"/>
        <v>765.66666666666663</v>
      </c>
    </row>
    <row r="9" spans="1:6" x14ac:dyDescent="0.25">
      <c r="A9" s="14" t="s">
        <v>227</v>
      </c>
      <c r="B9" s="6">
        <v>629</v>
      </c>
      <c r="C9" s="16">
        <v>606</v>
      </c>
      <c r="D9" s="16">
        <v>635</v>
      </c>
      <c r="E9" s="17"/>
      <c r="F9" s="18">
        <f t="shared" si="0"/>
        <v>623.33333333333337</v>
      </c>
    </row>
    <row r="10" spans="1:6" x14ac:dyDescent="0.25">
      <c r="A10" s="14" t="s">
        <v>64</v>
      </c>
      <c r="B10" s="6">
        <v>665</v>
      </c>
      <c r="C10" s="16">
        <v>645</v>
      </c>
      <c r="D10" s="16">
        <v>474</v>
      </c>
      <c r="E10" s="17"/>
      <c r="F10" s="18">
        <f t="shared" si="0"/>
        <v>594.66666666666663</v>
      </c>
    </row>
    <row r="11" spans="1:6" x14ac:dyDescent="0.25">
      <c r="A11" s="14" t="s">
        <v>228</v>
      </c>
      <c r="B11" s="6">
        <v>533</v>
      </c>
      <c r="C11" s="16">
        <v>473</v>
      </c>
      <c r="D11" s="16">
        <v>643</v>
      </c>
      <c r="E11" s="17"/>
      <c r="F11" s="18">
        <f t="shared" si="0"/>
        <v>549.66666666666663</v>
      </c>
    </row>
    <row r="12" spans="1:6" x14ac:dyDescent="0.25">
      <c r="A12" s="14" t="s">
        <v>229</v>
      </c>
      <c r="B12" s="16">
        <v>421</v>
      </c>
      <c r="C12" s="16">
        <v>410</v>
      </c>
      <c r="D12" s="16">
        <v>403</v>
      </c>
      <c r="E12" s="17"/>
      <c r="F12" s="18">
        <f t="shared" si="0"/>
        <v>411.33333333333331</v>
      </c>
    </row>
    <row r="13" spans="1:6" x14ac:dyDescent="0.25">
      <c r="A13" s="14" t="s">
        <v>104</v>
      </c>
      <c r="B13" s="16">
        <v>302</v>
      </c>
      <c r="C13" s="16">
        <v>291</v>
      </c>
      <c r="D13" s="16">
        <v>515</v>
      </c>
      <c r="E13" s="17"/>
      <c r="F13" s="18">
        <f t="shared" si="0"/>
        <v>369.33333333333331</v>
      </c>
    </row>
    <row r="14" spans="1:6" x14ac:dyDescent="0.25">
      <c r="A14" s="15" t="s">
        <v>84</v>
      </c>
      <c r="B14" s="16">
        <v>243</v>
      </c>
      <c r="C14" s="16">
        <v>155</v>
      </c>
      <c r="D14" s="16">
        <v>234</v>
      </c>
      <c r="E14" s="17"/>
      <c r="F14" s="18">
        <f t="shared" si="0"/>
        <v>210.66666666666666</v>
      </c>
    </row>
    <row r="15" spans="1:6" x14ac:dyDescent="0.25">
      <c r="A15" s="15" t="s">
        <v>230</v>
      </c>
      <c r="B15" s="16">
        <v>234</v>
      </c>
      <c r="C15" s="16">
        <v>348</v>
      </c>
      <c r="D15" s="16">
        <v>201</v>
      </c>
      <c r="E15" s="17"/>
      <c r="F15" s="18">
        <f t="shared" si="0"/>
        <v>261</v>
      </c>
    </row>
    <row r="16" spans="1:6" x14ac:dyDescent="0.25">
      <c r="A16" s="14" t="s">
        <v>231</v>
      </c>
      <c r="B16" s="16">
        <v>212</v>
      </c>
      <c r="C16" s="16">
        <v>180</v>
      </c>
      <c r="D16" s="16">
        <v>192</v>
      </c>
      <c r="E16" s="17"/>
      <c r="F16" s="18">
        <f t="shared" si="0"/>
        <v>194.66666666666666</v>
      </c>
    </row>
    <row r="17" spans="1:6" x14ac:dyDescent="0.25">
      <c r="A17" s="14" t="s">
        <v>153</v>
      </c>
      <c r="B17" s="16">
        <v>183</v>
      </c>
      <c r="C17" s="16">
        <v>213</v>
      </c>
      <c r="D17" s="16">
        <v>163</v>
      </c>
      <c r="E17" s="17"/>
      <c r="F17" s="18">
        <f t="shared" si="0"/>
        <v>186.33333333333334</v>
      </c>
    </row>
    <row r="18" spans="1:6" ht="16.5" thickBot="1" x14ac:dyDescent="0.3">
      <c r="A18" s="27" t="s">
        <v>135</v>
      </c>
      <c r="B18" s="28">
        <v>162</v>
      </c>
      <c r="C18" s="28">
        <v>268</v>
      </c>
      <c r="D18" s="28">
        <v>203</v>
      </c>
      <c r="E18" s="29"/>
      <c r="F18" s="30">
        <f t="shared" si="0"/>
        <v>211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Views'!B12:D12</xm:f>
              <xm:sqref>E12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Views'!B11:D11</xm:f>
              <xm:sqref>E11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Views'!B10:D10</xm:f>
              <xm:sqref>E10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Views'!B17:D17</xm:f>
              <xm:sqref>E17</xm:sqref>
            </x14:sparkline>
            <x14:sparkline>
              <xm:f>'Expert Views'!B18:D18</xm:f>
              <xm:sqref>E18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Views'!B13:D13</xm:f>
              <xm:sqref>E13</xm:sqref>
            </x14:sparkline>
            <x14:sparkline>
              <xm:f>'Expert Views'!B14:D14</xm:f>
              <xm:sqref>E14</xm:sqref>
            </x14:sparkline>
            <x14:sparkline>
              <xm:f>'Expert Views'!B15:D15</xm:f>
              <xm:sqref>E15</xm:sqref>
            </x14:sparkline>
            <x14:sparkline>
              <xm:f>'Expert Views'!B16:D16</xm:f>
              <xm:sqref>E16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Views'!B3:D3</xm:f>
              <xm:sqref>E3</xm:sqref>
            </x14:sparkline>
            <x14:sparkline>
              <xm:f>'Expert Views'!B4:D4</xm:f>
              <xm:sqref>E4</xm:sqref>
            </x14:sparkline>
            <x14:sparkline>
              <xm:f>'Expert Views'!B5:D5</xm:f>
              <xm:sqref>E5</xm:sqref>
            </x14:sparkline>
            <x14:sparkline>
              <xm:f>'Expert Views'!B6:D6</xm:f>
              <xm:sqref>E6</xm:sqref>
            </x14:sparkline>
            <x14:sparkline>
              <xm:f>'Expert Views'!B7:D7</xm:f>
              <xm:sqref>E7</xm:sqref>
            </x14:sparkline>
            <x14:sparkline>
              <xm:f>'Expert Views'!B8:D8</xm:f>
              <xm:sqref>E8</xm:sqref>
            </x14:sparkline>
            <x14:sparkline>
              <xm:f>'Expert Views'!B9:D9</xm:f>
              <xm:sqref>E9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D2" sqref="D2"/>
    </sheetView>
  </sheetViews>
  <sheetFormatPr defaultColWidth="11" defaultRowHeight="15.75" x14ac:dyDescent="0.25"/>
  <cols>
    <col min="1" max="1" width="18.625" bestFit="1" customWidth="1"/>
    <col min="2" max="2" width="7.625" bestFit="1" customWidth="1"/>
    <col min="3" max="3" width="10" bestFit="1" customWidth="1"/>
  </cols>
  <sheetData>
    <row r="1" spans="1:5" x14ac:dyDescent="0.25">
      <c r="C1" t="s">
        <v>232</v>
      </c>
      <c r="D1" t="s">
        <v>233</v>
      </c>
    </row>
    <row r="2" spans="1:5" x14ac:dyDescent="0.25">
      <c r="A2" t="s">
        <v>234</v>
      </c>
      <c r="C2">
        <v>13</v>
      </c>
      <c r="D2" s="19">
        <f>B2/C2</f>
        <v>0</v>
      </c>
      <c r="E2" s="19"/>
    </row>
    <row r="3" spans="1:5" x14ac:dyDescent="0.25">
      <c r="A3" t="s">
        <v>235</v>
      </c>
      <c r="C3">
        <v>13</v>
      </c>
      <c r="D3" s="19">
        <f t="shared" ref="D3:D8" si="0">B3/C3</f>
        <v>0</v>
      </c>
      <c r="E3" s="19"/>
    </row>
    <row r="4" spans="1:5" x14ac:dyDescent="0.25">
      <c r="A4" t="s">
        <v>236</v>
      </c>
      <c r="C4">
        <v>13</v>
      </c>
      <c r="D4" s="19">
        <f t="shared" si="0"/>
        <v>0</v>
      </c>
      <c r="E4" s="19"/>
    </row>
    <row r="5" spans="1:5" x14ac:dyDescent="0.25">
      <c r="A5" t="s">
        <v>237</v>
      </c>
      <c r="C5">
        <v>14</v>
      </c>
      <c r="D5" s="19">
        <f t="shared" si="0"/>
        <v>0</v>
      </c>
      <c r="E5" s="19"/>
    </row>
    <row r="6" spans="1:5" x14ac:dyDescent="0.25">
      <c r="A6" t="s">
        <v>238</v>
      </c>
      <c r="C6">
        <v>13</v>
      </c>
      <c r="D6" s="19">
        <f t="shared" si="0"/>
        <v>0</v>
      </c>
      <c r="E6" s="19"/>
    </row>
    <row r="7" spans="1:5" x14ac:dyDescent="0.25">
      <c r="A7" t="s">
        <v>239</v>
      </c>
      <c r="C7">
        <v>13</v>
      </c>
      <c r="D7" s="19">
        <f t="shared" si="0"/>
        <v>0</v>
      </c>
      <c r="E7" s="19"/>
    </row>
    <row r="8" spans="1:5" x14ac:dyDescent="0.25">
      <c r="A8" t="s">
        <v>240</v>
      </c>
      <c r="C8">
        <v>13</v>
      </c>
      <c r="D8" s="19">
        <f t="shared" si="0"/>
        <v>0</v>
      </c>
      <c r="E8" s="19"/>
    </row>
    <row r="26" spans="1:6" x14ac:dyDescent="0.25">
      <c r="A26" s="26" t="s">
        <v>270</v>
      </c>
      <c r="B26" s="26" t="s">
        <v>218</v>
      </c>
      <c r="C26" s="26" t="s">
        <v>219</v>
      </c>
      <c r="D26" s="26" t="s">
        <v>220</v>
      </c>
      <c r="E26" s="26" t="s">
        <v>221</v>
      </c>
      <c r="F26" s="26" t="s">
        <v>204</v>
      </c>
    </row>
    <row r="27" spans="1:6" x14ac:dyDescent="0.25">
      <c r="A27" t="s">
        <v>269</v>
      </c>
      <c r="B27" s="20">
        <v>60391</v>
      </c>
      <c r="C27">
        <f>62328</f>
        <v>62328</v>
      </c>
      <c r="D27">
        <v>61083</v>
      </c>
      <c r="F27" s="20">
        <f>AVERAGE(B27:D27)</f>
        <v>61267.333333333336</v>
      </c>
    </row>
    <row r="28" spans="1:6" x14ac:dyDescent="0.25">
      <c r="A28" t="s">
        <v>241</v>
      </c>
      <c r="B28" s="23">
        <f>82012+6719</f>
        <v>88731</v>
      </c>
      <c r="C28">
        <f>95078+6876</f>
        <v>101954</v>
      </c>
      <c r="D28">
        <f>107991+7127</f>
        <v>115118</v>
      </c>
      <c r="F28" s="20">
        <f t="shared" ref="F28:F36" si="1">AVERAGE(B28:D28)</f>
        <v>101934.33333333333</v>
      </c>
    </row>
    <row r="29" spans="1:6" x14ac:dyDescent="0.25">
      <c r="A29" t="s">
        <v>242</v>
      </c>
      <c r="B29" s="23">
        <f>78996+13044+6538</f>
        <v>98578</v>
      </c>
      <c r="C29">
        <f>69868+12808+5274</f>
        <v>87950</v>
      </c>
      <c r="D29">
        <f>46328+9045+3054</f>
        <v>58427</v>
      </c>
      <c r="F29" s="20">
        <f t="shared" si="1"/>
        <v>81651.666666666672</v>
      </c>
    </row>
    <row r="30" spans="1:6" x14ac:dyDescent="0.25">
      <c r="A30" t="s">
        <v>243</v>
      </c>
      <c r="B30" s="23">
        <f>44136+4872+828</f>
        <v>49836</v>
      </c>
      <c r="C30">
        <f>44618+4595+741</f>
        <v>49954</v>
      </c>
      <c r="D30">
        <f>44830+4476+792</f>
        <v>50098</v>
      </c>
      <c r="F30" s="20">
        <f t="shared" si="1"/>
        <v>49962.666666666664</v>
      </c>
    </row>
    <row r="31" spans="1:6" x14ac:dyDescent="0.25">
      <c r="A31" t="s">
        <v>217</v>
      </c>
      <c r="B31" s="23">
        <f>28893+4746</f>
        <v>33639</v>
      </c>
      <c r="C31">
        <f>29477+4354</f>
        <v>33831</v>
      </c>
      <c r="D31">
        <f>30964+4848</f>
        <v>35812</v>
      </c>
      <c r="F31" s="20">
        <f t="shared" si="1"/>
        <v>34427.333333333336</v>
      </c>
    </row>
    <row r="32" spans="1:6" x14ac:dyDescent="0.25">
      <c r="A32" t="s">
        <v>245</v>
      </c>
      <c r="B32" s="23">
        <f>20089+7943</f>
        <v>28032</v>
      </c>
      <c r="C32">
        <f>20368+7654</f>
        <v>28022</v>
      </c>
      <c r="D32">
        <f>22114+7935</f>
        <v>30049</v>
      </c>
      <c r="F32" s="20">
        <f t="shared" si="1"/>
        <v>28701</v>
      </c>
    </row>
    <row r="33" spans="1:6" x14ac:dyDescent="0.25">
      <c r="A33" t="s">
        <v>246</v>
      </c>
      <c r="B33" s="23">
        <f>12137+4625</f>
        <v>16762</v>
      </c>
      <c r="C33">
        <f>11966+4714</f>
        <v>16680</v>
      </c>
      <c r="D33">
        <f>12871+4878</f>
        <v>17749</v>
      </c>
      <c r="F33" s="20">
        <f t="shared" si="1"/>
        <v>17063.666666666668</v>
      </c>
    </row>
    <row r="34" spans="1:6" x14ac:dyDescent="0.25">
      <c r="A34" t="s">
        <v>247</v>
      </c>
      <c r="B34" s="23">
        <f>9271+4817</f>
        <v>14088</v>
      </c>
      <c r="C34">
        <f>9216+4960</f>
        <v>14176</v>
      </c>
      <c r="D34">
        <f>10592+4994</f>
        <v>15586</v>
      </c>
      <c r="F34" s="20">
        <f t="shared" si="1"/>
        <v>14616.666666666666</v>
      </c>
    </row>
    <row r="35" spans="1:6" x14ac:dyDescent="0.25">
      <c r="A35" t="s">
        <v>268</v>
      </c>
      <c r="B35" s="23">
        <f>6157+1850</f>
        <v>8007</v>
      </c>
      <c r="C35">
        <f>7912+1875</f>
        <v>9787</v>
      </c>
      <c r="D35">
        <f>7215+1620</f>
        <v>8835</v>
      </c>
      <c r="F35" s="20">
        <f t="shared" si="1"/>
        <v>8876.3333333333339</v>
      </c>
    </row>
    <row r="36" spans="1:6" x14ac:dyDescent="0.25">
      <c r="A36" t="s">
        <v>244</v>
      </c>
      <c r="B36" s="20">
        <f>493875-(SUM(B27:B35))</f>
        <v>95811</v>
      </c>
      <c r="C36">
        <f>501997-SUM(C27:C35)</f>
        <v>97315</v>
      </c>
      <c r="D36">
        <f>484837-SUM(D27:D35)</f>
        <v>92080</v>
      </c>
      <c r="F36" s="20">
        <f t="shared" si="1"/>
        <v>95068.666666666672</v>
      </c>
    </row>
    <row r="38" spans="1:6" x14ac:dyDescent="0.25">
      <c r="A38" s="26" t="s">
        <v>243</v>
      </c>
      <c r="B38" s="26" t="s">
        <v>218</v>
      </c>
      <c r="C38" s="26" t="s">
        <v>219</v>
      </c>
      <c r="D38" s="26" t="s">
        <v>220</v>
      </c>
    </row>
    <row r="39" spans="1:6" x14ac:dyDescent="0.25">
      <c r="A39" s="22" t="s">
        <v>211</v>
      </c>
      <c r="B39" s="22">
        <f>6572+1107</f>
        <v>7679</v>
      </c>
      <c r="C39" s="22">
        <f>6239+1069</f>
        <v>7308</v>
      </c>
      <c r="D39" s="22">
        <f>6861+1309</f>
        <v>8170</v>
      </c>
    </row>
    <row r="40" spans="1:6" x14ac:dyDescent="0.25">
      <c r="A40" s="22" t="s">
        <v>209</v>
      </c>
      <c r="B40" s="22">
        <f>5440+837</f>
        <v>6277</v>
      </c>
      <c r="C40" s="22">
        <f>5988+931</f>
        <v>6919</v>
      </c>
      <c r="D40" s="22">
        <f>6118+1189</f>
        <v>7307</v>
      </c>
    </row>
    <row r="41" spans="1:6" x14ac:dyDescent="0.25">
      <c r="A41" s="22" t="s">
        <v>248</v>
      </c>
      <c r="B41" s="23">
        <f>4505+355</f>
        <v>4860</v>
      </c>
      <c r="C41" s="22">
        <f>1824+217</f>
        <v>2041</v>
      </c>
      <c r="D41" s="22">
        <f>1216+265</f>
        <v>1481</v>
      </c>
      <c r="F41" s="19"/>
    </row>
    <row r="42" spans="1:6" x14ac:dyDescent="0.25">
      <c r="A42" s="22" t="s">
        <v>249</v>
      </c>
      <c r="B42" s="23">
        <f>1061+341</f>
        <v>1402</v>
      </c>
      <c r="C42" s="22">
        <f>4533+469</f>
        <v>5002</v>
      </c>
      <c r="D42" s="22">
        <f>1492+340</f>
        <v>1832</v>
      </c>
      <c r="F42" s="19"/>
    </row>
    <row r="43" spans="1:6" x14ac:dyDescent="0.25">
      <c r="A43" s="22" t="s">
        <v>206</v>
      </c>
      <c r="B43" s="23">
        <f>1394+339</f>
        <v>1733</v>
      </c>
      <c r="C43" s="22">
        <f>1571+303</f>
        <v>1874</v>
      </c>
      <c r="D43" s="22">
        <f>2259+329</f>
        <v>2588</v>
      </c>
      <c r="F43" s="19"/>
    </row>
    <row r="44" spans="1:6" x14ac:dyDescent="0.25">
      <c r="A44" s="22" t="s">
        <v>208</v>
      </c>
      <c r="B44" s="23">
        <f>1195+667</f>
        <v>1862</v>
      </c>
      <c r="C44" s="22">
        <f>1146+500</f>
        <v>1646</v>
      </c>
      <c r="D44" s="22">
        <f>1458+713</f>
        <v>2171</v>
      </c>
      <c r="F44" s="19"/>
    </row>
    <row r="45" spans="1:6" x14ac:dyDescent="0.25">
      <c r="A45" s="22" t="s">
        <v>250</v>
      </c>
      <c r="B45" s="23">
        <f>1051+514</f>
        <v>1565</v>
      </c>
      <c r="C45" s="22">
        <f>1187+499</f>
        <v>1686</v>
      </c>
      <c r="D45" s="22">
        <f>1118+522</f>
        <v>1640</v>
      </c>
      <c r="F45" s="19"/>
    </row>
    <row r="46" spans="1:6" x14ac:dyDescent="0.25">
      <c r="A46" s="22" t="s">
        <v>252</v>
      </c>
      <c r="B46" s="22">
        <f>879+432</f>
        <v>1311</v>
      </c>
      <c r="C46" s="22">
        <f>780+413</f>
        <v>1193</v>
      </c>
      <c r="D46" s="22">
        <f>986+390</f>
        <v>1376</v>
      </c>
      <c r="F46" s="19"/>
    </row>
    <row r="47" spans="1:6" x14ac:dyDescent="0.25">
      <c r="A47" s="22" t="s">
        <v>253</v>
      </c>
      <c r="B47" s="22">
        <f>640+552</f>
        <v>1192</v>
      </c>
      <c r="C47" s="22">
        <f>507+423</f>
        <v>930</v>
      </c>
      <c r="D47" s="22">
        <f>468+562</f>
        <v>1030</v>
      </c>
      <c r="F47" s="19"/>
    </row>
    <row r="48" spans="1:6" x14ac:dyDescent="0.25">
      <c r="A48" s="22" t="s">
        <v>207</v>
      </c>
      <c r="B48" s="22">
        <f>554+478</f>
        <v>1032</v>
      </c>
      <c r="C48" s="22">
        <f>664+447</f>
        <v>1111</v>
      </c>
      <c r="D48" s="22">
        <f>583+370</f>
        <v>953</v>
      </c>
      <c r="F48" s="19"/>
    </row>
    <row r="49" spans="1:6" x14ac:dyDescent="0.25">
      <c r="A49" s="22" t="s">
        <v>255</v>
      </c>
      <c r="B49" s="22">
        <f>510+440</f>
        <v>950</v>
      </c>
      <c r="C49" s="22">
        <f>621+605</f>
        <v>1226</v>
      </c>
      <c r="D49" s="22">
        <f>470+421</f>
        <v>891</v>
      </c>
      <c r="F49" s="19"/>
    </row>
    <row r="50" spans="1:6" x14ac:dyDescent="0.25">
      <c r="A50" s="22" t="s">
        <v>254</v>
      </c>
      <c r="B50" s="22">
        <f>502+363</f>
        <v>865</v>
      </c>
      <c r="C50" s="22">
        <f>847+367</f>
        <v>1214</v>
      </c>
      <c r="D50" s="22">
        <f>543+433</f>
        <v>976</v>
      </c>
      <c r="F50" s="19"/>
    </row>
    <row r="51" spans="1:6" x14ac:dyDescent="0.25">
      <c r="A51" s="22" t="s">
        <v>210</v>
      </c>
      <c r="B51" s="22">
        <f>582+382</f>
        <v>964</v>
      </c>
      <c r="C51" s="22">
        <f>559+376</f>
        <v>935</v>
      </c>
      <c r="D51" s="22">
        <f>667+476</f>
        <v>1143</v>
      </c>
      <c r="F51" s="19"/>
    </row>
    <row r="52" spans="1:6" x14ac:dyDescent="0.25">
      <c r="A52" s="22" t="s">
        <v>251</v>
      </c>
      <c r="B52" s="22">
        <f>901+70</f>
        <v>971</v>
      </c>
      <c r="C52" s="22">
        <f>925+71</f>
        <v>996</v>
      </c>
      <c r="D52" s="22">
        <f>984+68</f>
        <v>1052</v>
      </c>
      <c r="F52" s="19"/>
    </row>
    <row r="53" spans="1:6" x14ac:dyDescent="0.25">
      <c r="A53" s="22" t="s">
        <v>267</v>
      </c>
      <c r="B53" s="22">
        <f>541+237</f>
        <v>778</v>
      </c>
      <c r="C53" s="22">
        <f>617+243</f>
        <v>860</v>
      </c>
      <c r="D53" s="22">
        <f>646+242</f>
        <v>888</v>
      </c>
      <c r="F53" s="19"/>
    </row>
    <row r="54" spans="1:6" x14ac:dyDescent="0.25">
      <c r="A54" s="22" t="s">
        <v>205</v>
      </c>
      <c r="B54" s="22">
        <f>389+349</f>
        <v>738</v>
      </c>
      <c r="C54" s="22">
        <f>481+332</f>
        <v>813</v>
      </c>
      <c r="D54" s="22">
        <f>579+338</f>
        <v>917</v>
      </c>
      <c r="F54" s="19"/>
    </row>
    <row r="55" spans="1:6" x14ac:dyDescent="0.25">
      <c r="B55" s="22"/>
      <c r="F55" s="19"/>
    </row>
    <row r="56" spans="1:6" x14ac:dyDescent="0.25">
      <c r="B56" s="22"/>
      <c r="F56" s="19"/>
    </row>
    <row r="57" spans="1:6" x14ac:dyDescent="0.25">
      <c r="B57" s="22"/>
    </row>
    <row r="58" spans="1:6" x14ac:dyDescent="0.25">
      <c r="B58" s="22"/>
    </row>
    <row r="59" spans="1:6" ht="16.5" x14ac:dyDescent="0.25">
      <c r="B59" s="22"/>
      <c r="D59" s="21"/>
      <c r="E59" s="21"/>
    </row>
    <row r="61" spans="1:6" x14ac:dyDescent="0.25">
      <c r="B61" t="s">
        <v>218</v>
      </c>
      <c r="C61" t="s">
        <v>219</v>
      </c>
      <c r="D61" t="s">
        <v>220</v>
      </c>
      <c r="E61" t="s">
        <v>221</v>
      </c>
      <c r="F61" t="s">
        <v>204</v>
      </c>
    </row>
    <row r="62" spans="1:6" ht="17.25" x14ac:dyDescent="0.3">
      <c r="A62" t="s">
        <v>256</v>
      </c>
      <c r="B62" s="24">
        <v>1067</v>
      </c>
      <c r="C62" s="24">
        <v>1058</v>
      </c>
      <c r="D62" s="25">
        <f>1089</f>
        <v>1089</v>
      </c>
      <c r="E62" s="25"/>
      <c r="F62" s="19">
        <f>AVERAGE(B62:D62)</f>
        <v>1071.3333333333333</v>
      </c>
    </row>
    <row r="63" spans="1:6" ht="17.25" x14ac:dyDescent="0.3">
      <c r="A63" t="s">
        <v>257</v>
      </c>
      <c r="B63" s="24">
        <f>922+512</f>
        <v>1434</v>
      </c>
      <c r="C63" s="24">
        <f>537+368</f>
        <v>905</v>
      </c>
      <c r="D63" s="25">
        <f>1233+519</f>
        <v>1752</v>
      </c>
      <c r="E63" s="25"/>
      <c r="F63" s="19">
        <f t="shared" ref="F63:F72" si="2">AVERAGE(B63:D63)</f>
        <v>1363.6666666666667</v>
      </c>
    </row>
    <row r="64" spans="1:6" ht="17.25" x14ac:dyDescent="0.3">
      <c r="A64" t="s">
        <v>258</v>
      </c>
      <c r="B64" s="24">
        <f>526+81</f>
        <v>607</v>
      </c>
      <c r="C64" s="24">
        <f>602+78</f>
        <v>680</v>
      </c>
      <c r="D64" s="25">
        <f>642+122</f>
        <v>764</v>
      </c>
      <c r="E64" s="25"/>
      <c r="F64" s="19">
        <f t="shared" si="2"/>
        <v>683.66666666666663</v>
      </c>
    </row>
    <row r="65" spans="1:6" ht="17.25" x14ac:dyDescent="0.3">
      <c r="A65" t="s">
        <v>259</v>
      </c>
      <c r="B65" s="24">
        <f>291+55</f>
        <v>346</v>
      </c>
      <c r="C65" s="24">
        <f>195+20</f>
        <v>215</v>
      </c>
      <c r="D65" s="24">
        <f>241+36</f>
        <v>277</v>
      </c>
      <c r="E65" s="25"/>
      <c r="F65" s="19">
        <f t="shared" si="2"/>
        <v>279.33333333333331</v>
      </c>
    </row>
    <row r="66" spans="1:6" x14ac:dyDescent="0.25">
      <c r="A66" t="s">
        <v>260</v>
      </c>
      <c r="B66" s="25">
        <f>277+251</f>
        <v>528</v>
      </c>
      <c r="C66" s="25">
        <f>226+208</f>
        <v>434</v>
      </c>
      <c r="D66" s="25">
        <f>217+208</f>
        <v>425</v>
      </c>
      <c r="E66" s="25"/>
      <c r="F66" s="19">
        <f t="shared" si="2"/>
        <v>462.33333333333331</v>
      </c>
    </row>
    <row r="67" spans="1:6" ht="17.25" x14ac:dyDescent="0.3">
      <c r="A67" t="s">
        <v>261</v>
      </c>
      <c r="B67" s="24">
        <v>199</v>
      </c>
      <c r="C67" s="24">
        <v>183</v>
      </c>
      <c r="D67" s="24">
        <v>229</v>
      </c>
      <c r="E67" s="25"/>
      <c r="F67" s="19">
        <f t="shared" si="2"/>
        <v>203.66666666666666</v>
      </c>
    </row>
    <row r="68" spans="1:6" ht="17.25" x14ac:dyDescent="0.3">
      <c r="A68" t="s">
        <v>262</v>
      </c>
      <c r="B68" s="24">
        <f>182+21</f>
        <v>203</v>
      </c>
      <c r="C68" s="25">
        <f>176+137</f>
        <v>313</v>
      </c>
      <c r="D68" s="25">
        <f>194+137</f>
        <v>331</v>
      </c>
      <c r="E68" s="25"/>
      <c r="F68" s="19">
        <f t="shared" si="2"/>
        <v>282.33333333333331</v>
      </c>
    </row>
    <row r="69" spans="1:6" ht="17.25" x14ac:dyDescent="0.3">
      <c r="A69" t="s">
        <v>263</v>
      </c>
      <c r="B69" s="24">
        <f>173+23</f>
        <v>196</v>
      </c>
      <c r="C69" s="24">
        <f>112+26</f>
        <v>138</v>
      </c>
      <c r="D69" s="25">
        <f>3</f>
        <v>3</v>
      </c>
      <c r="E69" s="25"/>
      <c r="F69" s="19">
        <f t="shared" si="2"/>
        <v>112.33333333333333</v>
      </c>
    </row>
    <row r="70" spans="1:6" ht="17.25" x14ac:dyDescent="0.3">
      <c r="A70" t="s">
        <v>264</v>
      </c>
      <c r="B70" s="25">
        <f>133+99</f>
        <v>232</v>
      </c>
      <c r="C70" s="24">
        <f>1170+206</f>
        <v>1376</v>
      </c>
      <c r="D70" s="25">
        <f>312+149</f>
        <v>461</v>
      </c>
      <c r="E70" s="25"/>
      <c r="F70" s="19">
        <f t="shared" si="2"/>
        <v>689.66666666666663</v>
      </c>
    </row>
    <row r="71" spans="1:6" ht="17.25" x14ac:dyDescent="0.3">
      <c r="A71" t="s">
        <v>265</v>
      </c>
      <c r="B71" s="25">
        <f>143+32</f>
        <v>175</v>
      </c>
      <c r="C71" s="24">
        <f>134+25</f>
        <v>159</v>
      </c>
      <c r="D71" s="25">
        <f>129+39</f>
        <v>168</v>
      </c>
      <c r="E71" s="25"/>
      <c r="F71" s="19">
        <f t="shared" si="2"/>
        <v>167.33333333333334</v>
      </c>
    </row>
    <row r="72" spans="1:6" x14ac:dyDescent="0.25">
      <c r="A72" t="s">
        <v>266</v>
      </c>
      <c r="B72" s="25">
        <f>78+61</f>
        <v>139</v>
      </c>
      <c r="C72" s="25">
        <f>108+53</f>
        <v>161</v>
      </c>
      <c r="D72" s="25">
        <f>88+81</f>
        <v>169</v>
      </c>
      <c r="E72" s="25"/>
      <c r="F72" s="19">
        <f t="shared" si="2"/>
        <v>156.33333333333334</v>
      </c>
    </row>
  </sheetData>
  <sortState ref="A40:F57">
    <sortCondition descending="1" ref="F40:F57"/>
  </sortState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'Random Work'!B62:D62</xm:f>
              <xm:sqref>E62</xm:sqref>
            </x14:sparkline>
            <x14:sparkline>
              <xm:f>'Random Work'!B63:D63</xm:f>
              <xm:sqref>E63</xm:sqref>
            </x14:sparkline>
            <x14:sparkline>
              <xm:f>'Random Work'!B64:D64</xm:f>
              <xm:sqref>E64</xm:sqref>
            </x14:sparkline>
            <x14:sparkline>
              <xm:f>'Random Work'!B65:D65</xm:f>
              <xm:sqref>E65</xm:sqref>
            </x14:sparkline>
            <x14:sparkline>
              <xm:f>'Random Work'!B66:D66</xm:f>
              <xm:sqref>E66</xm:sqref>
            </x14:sparkline>
            <x14:sparkline>
              <xm:f>'Random Work'!B67:D67</xm:f>
              <xm:sqref>E67</xm:sqref>
            </x14:sparkline>
            <x14:sparkline>
              <xm:f>'Random Work'!B68:D68</xm:f>
              <xm:sqref>E68</xm:sqref>
            </x14:sparkline>
            <x14:sparkline>
              <xm:f>'Random Work'!B69:D69</xm:f>
              <xm:sqref>E69</xm:sqref>
            </x14:sparkline>
            <x14:sparkline>
              <xm:f>'Random Work'!B70:D70</xm:f>
              <xm:sqref>E70</xm:sqref>
            </x14:sparkline>
            <x14:sparkline>
              <xm:f>'Random Work'!B71:D71</xm:f>
              <xm:sqref>E71</xm:sqref>
            </x14:sparkline>
            <x14:sparkline>
              <xm:f>'Random Work'!B72:D72</xm:f>
              <xm:sqref>E72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'Random Work'!B39:D39</xm:f>
              <xm:sqref>E39</xm:sqref>
            </x14:sparkline>
            <x14:sparkline>
              <xm:f>'Random Work'!B40:D40</xm:f>
              <xm:sqref>E40</xm:sqref>
            </x14:sparkline>
            <x14:sparkline>
              <xm:f>'Random Work'!B41:D41</xm:f>
              <xm:sqref>E41</xm:sqref>
            </x14:sparkline>
            <x14:sparkline>
              <xm:f>'Random Work'!B42:D42</xm:f>
              <xm:sqref>E42</xm:sqref>
            </x14:sparkline>
            <x14:sparkline>
              <xm:f>'Random Work'!B43:D43</xm:f>
              <xm:sqref>E43</xm:sqref>
            </x14:sparkline>
            <x14:sparkline>
              <xm:f>'Random Work'!B44:D44</xm:f>
              <xm:sqref>E44</xm:sqref>
            </x14:sparkline>
            <x14:sparkline>
              <xm:f>'Random Work'!B45:D45</xm:f>
              <xm:sqref>E45</xm:sqref>
            </x14:sparkline>
            <x14:sparkline>
              <xm:f>'Random Work'!B46:D46</xm:f>
              <xm:sqref>E46</xm:sqref>
            </x14:sparkline>
            <x14:sparkline>
              <xm:f>'Random Work'!B47:D47</xm:f>
              <xm:sqref>E47</xm:sqref>
            </x14:sparkline>
            <x14:sparkline>
              <xm:f>'Random Work'!B48:D48</xm:f>
              <xm:sqref>E48</xm:sqref>
            </x14:sparkline>
            <x14:sparkline>
              <xm:f>'Random Work'!B49:D49</xm:f>
              <xm:sqref>E49</xm:sqref>
            </x14:sparkline>
            <x14:sparkline>
              <xm:f>'Random Work'!B50:D50</xm:f>
              <xm:sqref>E50</xm:sqref>
            </x14:sparkline>
            <x14:sparkline>
              <xm:f>'Random Work'!B51:D51</xm:f>
              <xm:sqref>E51</xm:sqref>
            </x14:sparkline>
            <x14:sparkline>
              <xm:f>'Random Work'!B52:D52</xm:f>
              <xm:sqref>E52</xm:sqref>
            </x14:sparkline>
            <x14:sparkline>
              <xm:f>'Random Work'!B53:D53</xm:f>
              <xm:sqref>E53</xm:sqref>
            </x14:sparkline>
            <x14:sparkline>
              <xm:f>'Random Work'!B54:D54</xm:f>
              <xm:sqref>E54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'Random Work'!B27:D27</xm:f>
              <xm:sqref>E27</xm:sqref>
            </x14:sparkline>
            <x14:sparkline>
              <xm:f>'Random Work'!B28:D28</xm:f>
              <xm:sqref>E28</xm:sqref>
            </x14:sparkline>
            <x14:sparkline>
              <xm:f>'Random Work'!B29:D29</xm:f>
              <xm:sqref>E29</xm:sqref>
            </x14:sparkline>
            <x14:sparkline>
              <xm:f>'Random Work'!B30:D30</xm:f>
              <xm:sqref>E30</xm:sqref>
            </x14:sparkline>
            <x14:sparkline>
              <xm:f>'Random Work'!B31:D31</xm:f>
              <xm:sqref>E31</xm:sqref>
            </x14:sparkline>
            <x14:sparkline>
              <xm:f>'Random Work'!B32:D32</xm:f>
              <xm:sqref>E32</xm:sqref>
            </x14:sparkline>
            <x14:sparkline>
              <xm:f>'Random Work'!B33:D33</xm:f>
              <xm:sqref>E33</xm:sqref>
            </x14:sparkline>
            <x14:sparkline>
              <xm:f>'Random Work'!B34:D34</xm:f>
              <xm:sqref>E34</xm:sqref>
            </x14:sparkline>
            <x14:sparkline>
              <xm:f>'Random Work'!B35:D35</xm:f>
              <xm:sqref>E35</xm:sqref>
            </x14:sparkline>
            <x14:sparkline>
              <xm:f>'Random Work'!B36:D36</xm:f>
              <xm:sqref>E36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View Data</vt:lpstr>
      <vt:lpstr>Raw Report Info</vt:lpstr>
      <vt:lpstr>Expert Views</vt:lpstr>
      <vt:lpstr>Random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csisuser</cp:lastModifiedBy>
  <dcterms:created xsi:type="dcterms:W3CDTF">2016-09-11T22:40:47Z</dcterms:created>
  <dcterms:modified xsi:type="dcterms:W3CDTF">2016-09-12T18:24:45Z</dcterms:modified>
</cp:coreProperties>
</file>